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8" sheetId="78" r:id="rId67"/>
    <sheet name="310" sheetId="21" r:id="rId68"/>
    <sheet name="309" sheetId="70" r:id="rId69"/>
    <sheet name="313" sheetId="73" r:id="rId70"/>
    <sheet name="321" sheetId="80" r:id="rId71"/>
    <sheet name="322" sheetId="81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20" sheetId="99" r:id="rId82"/>
    <sheet name="413" sheetId="94" r:id="rId83"/>
    <sheet name="414" sheetId="95" r:id="rId84"/>
    <sheet name="415" sheetId="96" r:id="rId85"/>
    <sheet name="418" sheetId="98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50" sheetId="108" r:id="rId96"/>
    <sheet name="Div 5" sheetId="48" r:id="rId97"/>
    <sheet name="501" sheetId="110" r:id="rId98"/>
    <sheet name="Dept" sheetId="111" state="hidden" r:id="rId99"/>
    <sheet name="OSR_Dept_Y0WUKY" sheetId="112" state="hidden" r:id="rId100"/>
    <sheet name="OSR_Summary (...56e5d78f_5JEYZH" sheetId="113" state="hidden" r:id="rId101"/>
  </sheets>
  <definedNames>
    <definedName name="OSRRefD13x_0" localSheetId="44">'204'!$D$13</definedName>
    <definedName name="OSRRefD13x_0" localSheetId="48">'300'!$D$13:$D$103</definedName>
    <definedName name="OSRRefD13x_0" localSheetId="49">'300 &amp; 317'!$D$13:$D$121</definedName>
    <definedName name="OSRRefD13x_0" localSheetId="53">'307'!$D$13:$D$43</definedName>
    <definedName name="OSRRefD13x_0" localSheetId="55">'308'!$D$13:$D$40</definedName>
    <definedName name="OSRRefD13x_0" localSheetId="68">'309'!$D$13:$D$15</definedName>
    <definedName name="OSRRefD13x_0" localSheetId="67">'310'!$D$13:$D$22</definedName>
    <definedName name="OSRRefD13x_0" localSheetId="75">'310 &amp; 491'!$D$13:$D$29</definedName>
    <definedName name="OSRRefD13x_0" localSheetId="56">'311'!$D$13:$D$40</definedName>
    <definedName name="OSRRefD13x_0" localSheetId="69">'313'!$D$13:$D$18</definedName>
    <definedName name="OSRRefD13x_0" localSheetId="54">'314'!$D$13:$D$34</definedName>
    <definedName name="OSRRefD13x_0" localSheetId="59">'315'!$D$13:$D$33</definedName>
    <definedName name="OSRRefD13x_0" localSheetId="62">'316'!$D$13:$D$25</definedName>
    <definedName name="OSRRefD13x_0" localSheetId="65">'317'!$D$13:$D$38</definedName>
    <definedName name="OSRRefD13x_0" localSheetId="63">'320'!$D$13:$D$17</definedName>
    <definedName name="OSRRefD13x_0" localSheetId="70">'321'!$D$13:$D$15</definedName>
    <definedName name="OSRRefD13x_0" localSheetId="71">'322'!$D$13:$D$15</definedName>
    <definedName name="OSRRefD13x_0" localSheetId="57">'324'!$D$13:$D$15</definedName>
    <definedName name="OSRRefD13x_0" localSheetId="72">'325'!$D$13:$D$15</definedName>
    <definedName name="OSRRefD13x_0" localSheetId="60">'326'!$D$13:$D$32</definedName>
    <definedName name="OSRRefD13x_0" localSheetId="73">'327'!$D$13:$D$14</definedName>
    <definedName name="OSRRefD13x_0" localSheetId="52">'330'!$D$13:$D$48</definedName>
    <definedName name="OSRRefD13x_0" localSheetId="58">'331'!$D$13:$D$40</definedName>
    <definedName name="OSRRefD13x_0" localSheetId="61">'332'!$D$13:$D$28</definedName>
    <definedName name="OSRRefD13x_0" localSheetId="77">'405'!$D$13:$D$15</definedName>
    <definedName name="OSRRefD13x_0" localSheetId="78">'406'!$D$13:$D$16</definedName>
    <definedName name="OSRRefD13x_0" localSheetId="80">'412'!$D$13:$D$16</definedName>
    <definedName name="OSRRefD13x_0" localSheetId="82">'413'!$D$13:$D$16</definedName>
    <definedName name="OSRRefD13x_0" localSheetId="83">'414'!$D$13:$D$16</definedName>
    <definedName name="OSRRefD13x_0" localSheetId="84">'415'!$D$13:$D$15</definedName>
    <definedName name="OSRRefD13x_0" localSheetId="85">'418'!$D$13:$D$16</definedName>
    <definedName name="OSRRefD13x_0" localSheetId="81">'420'!$D$13:$D$14</definedName>
    <definedName name="OSRRefD13x_0" localSheetId="87">'424'!$D$13:$D$15</definedName>
    <definedName name="OSRRefD13x_0" localSheetId="88">'425'!$D$13:$D$16</definedName>
    <definedName name="OSRRefD13x_0" localSheetId="92">'433'!$D$13:$D$16</definedName>
    <definedName name="OSRRefD13x_0" localSheetId="93">'435'!$D$13:$D$16</definedName>
    <definedName name="OSRRefD13x_0" localSheetId="94">'444'!$D$13:$D$16</definedName>
    <definedName name="OSRRefD13x_0" localSheetId="95">'450'!$D$13:$D$16</definedName>
    <definedName name="OSRRefD13x_0" localSheetId="76">'491'!$D$13:$D$23</definedName>
    <definedName name="OSRRefD13x_0" localSheetId="90">'492'!$D$13:$D$18</definedName>
    <definedName name="OSRRefD13x_0" localSheetId="97">'501'!$D$13</definedName>
    <definedName name="OSRRefD13x_0" localSheetId="39">'Div 2'!$D$13</definedName>
    <definedName name="OSRRefD13x_0" localSheetId="47">'Div 3'!$D$13:$D$107</definedName>
    <definedName name="OSRRefD13x_0" localSheetId="74">'Div 4'!$D$13:$D$24</definedName>
    <definedName name="OSRRefD13x_0" localSheetId="96">'Div 5'!$D$13</definedName>
    <definedName name="OSRRefD13x_0" localSheetId="64">'Div 6'!$D$13:$D$38</definedName>
    <definedName name="OSRRefD13x_0" localSheetId="2">Summary!$D$13:$D$132</definedName>
    <definedName name="OSRRefD16x_0" localSheetId="48">'300'!$D$106:$D$156</definedName>
    <definedName name="OSRRefD16x_0" localSheetId="49">'300 &amp; 317'!$D$124:$D$181</definedName>
    <definedName name="OSRRefD16x_0" localSheetId="53">'307'!$D$46:$D$66</definedName>
    <definedName name="OSRRefD16x_0" localSheetId="55">'308'!$D$43:$D$58</definedName>
    <definedName name="OSRRefD16x_0" localSheetId="68">'309'!$D$18:$D$20</definedName>
    <definedName name="OSRRefD16x_0" localSheetId="67">'310'!$D$25:$D$27</definedName>
    <definedName name="OSRRefD16x_0" localSheetId="75">'310 &amp; 491'!$D$32:$D$34</definedName>
    <definedName name="OSRRefD16x_0" localSheetId="56">'311'!$D$43:$D$58</definedName>
    <definedName name="OSRRefD16x_0" localSheetId="69">'313'!$D$21:$D$23</definedName>
    <definedName name="OSRRefD16x_0" localSheetId="54">'314'!$D$37:$D$52</definedName>
    <definedName name="OSRRefD16x_0" localSheetId="59">'315'!$D$36:$D$51</definedName>
    <definedName name="OSRRefD16x_0" localSheetId="65">'317'!$D$41:$D$54</definedName>
    <definedName name="OSRRefD16x_0" localSheetId="63">'320'!$D$20:$D$25</definedName>
    <definedName name="OSRRefD16x_0" localSheetId="70">'321'!$D$18:$D$20</definedName>
    <definedName name="OSRRefD16x_0" localSheetId="71">'322'!$D$18:$D$20</definedName>
    <definedName name="OSRRefD16x_0" localSheetId="57">'324'!$D$18:$D$20</definedName>
    <definedName name="OSRRefD16x_0" localSheetId="72">'325'!$D$18:$D$20</definedName>
    <definedName name="OSRRefD16x_0" localSheetId="60">'326'!$D$35:$D$49</definedName>
    <definedName name="OSRRefD16x_0" localSheetId="73">'327'!$D$17:$D$18</definedName>
    <definedName name="OSRRefD16x_0" localSheetId="52">'330'!$D$51:$D$74</definedName>
    <definedName name="OSRRefD16x_0" localSheetId="58">'331'!$D$43:$D$64</definedName>
    <definedName name="OSRRefD16x_0" localSheetId="61">'332'!$D$31:$D$36</definedName>
    <definedName name="OSRRefD16x_0" localSheetId="77">'405'!$D$18:$D$20</definedName>
    <definedName name="OSRRefD16x_0" localSheetId="78">'406'!$D$19:$D$21</definedName>
    <definedName name="OSRRefD16x_0" localSheetId="80">'412'!$D$19:$D$20</definedName>
    <definedName name="OSRRefD16x_0" localSheetId="82">'413'!$D$19:$D$21</definedName>
    <definedName name="OSRRefD16x_0" localSheetId="83">'414'!$D$19:$D$21</definedName>
    <definedName name="OSRRefD16x_0" localSheetId="84">'415'!$D$18:$D$20</definedName>
    <definedName name="OSRRefD16x_0" localSheetId="85">'418'!$D$19:$D$21</definedName>
    <definedName name="OSRRefD16x_0" localSheetId="81">'420'!$D$17</definedName>
    <definedName name="OSRRefD16x_0" localSheetId="86">'423'!$D$15</definedName>
    <definedName name="OSRRefD16x_0" localSheetId="87">'424'!$D$18:$D$20</definedName>
    <definedName name="OSRRefD16x_0" localSheetId="88">'425'!$D$19:$D$21</definedName>
    <definedName name="OSRRefD16x_0" localSheetId="92">'433'!$D$19:$D$21</definedName>
    <definedName name="OSRRefD16x_0" localSheetId="93">'435'!$D$19:$D$21</definedName>
    <definedName name="OSRRefD16x_0" localSheetId="94">'444'!$D$19:$D$21</definedName>
    <definedName name="OSRRefD16x_0" localSheetId="95">'450'!$D$19:$D$21</definedName>
    <definedName name="OSRRefD16x_0" localSheetId="76">'491'!$D$26:$D$28</definedName>
    <definedName name="OSRRefD16x_0" localSheetId="90">'492'!$D$21:$D$23</definedName>
    <definedName name="OSRRefD16x_0" localSheetId="47">'Div 3'!$D$110:$D$162</definedName>
    <definedName name="OSRRefD16x_0" localSheetId="74">'Div 4'!$D$27:$D$29</definedName>
    <definedName name="OSRRefD16x_0" localSheetId="64">'Div 6'!$D$41:$D$54</definedName>
    <definedName name="OSRRefD16x_0" localSheetId="2">Summary!$D$135:$D$194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'300'!$D$162:$D$171</definedName>
    <definedName name="OSRRefD22_0x_0" localSheetId="49">'300 &amp; 317'!$D$187:$D$196</definedName>
    <definedName name="OSRRefD22_0x_0" localSheetId="50">'301'!$D$20:$D$28</definedName>
    <definedName name="OSRRefD22_0x_0" localSheetId="51">'306'!$D$20:$D$28</definedName>
    <definedName name="OSRRefD22_0x_0" localSheetId="53">'307'!$D$72:$D$80</definedName>
    <definedName name="OSRRefD22_0x_0" localSheetId="55">'308'!$D$64:$D$73</definedName>
    <definedName name="OSRRefD22_0x_0" localSheetId="68">'309'!$D$26:$D$34</definedName>
    <definedName name="OSRRefD22_0x_0" localSheetId="67">'310'!$D$33:$D$41</definedName>
    <definedName name="OSRRefD22_0x_0" localSheetId="75">'310 &amp; 491'!$D$40:$D$49</definedName>
    <definedName name="OSRRefD22_0x_0" localSheetId="56">'311'!$D$64:$D$73</definedName>
    <definedName name="OSRRefD22_0x_0" localSheetId="69">'313'!$D$29:$D$37</definedName>
    <definedName name="OSRRefD22_0x_0" localSheetId="54">'314'!$D$58:$D$65</definedName>
    <definedName name="OSRRefD22_0x_0" localSheetId="59">'315'!$D$57:$D$65</definedName>
    <definedName name="OSRRefD22_0x_0" localSheetId="62">'316'!$D$33:$D$41</definedName>
    <definedName name="OSRRefD22_0x_0" localSheetId="65">'317'!$D$60:$D$69</definedName>
    <definedName name="OSRRefD22_0x_0" localSheetId="63">'320'!$D$31:$D$38</definedName>
    <definedName name="OSRRefD22_0x_0" localSheetId="70">'321'!$D$26:$D$33</definedName>
    <definedName name="OSRRefD22_0x_0" localSheetId="71">'322'!$D$26:$D$34</definedName>
    <definedName name="OSRRefD22_0x_0" localSheetId="72">'325'!$D$26:$D$34</definedName>
    <definedName name="OSRRefD22_0x_0" localSheetId="60">'326'!$D$55:$D$63</definedName>
    <definedName name="OSRRefD22_0x_0" localSheetId="73">'327'!$D$24</definedName>
    <definedName name="OSRRefD22_0x_0" localSheetId="52">'330'!$D$80:$D$88</definedName>
    <definedName name="OSRRefD22_0x_0" localSheetId="58">'331'!$D$70:$D$78</definedName>
    <definedName name="OSRRefD22_0x_0" localSheetId="61">'332'!$D$42:$D$50</definedName>
    <definedName name="OSRRefD22_0x_0" localSheetId="77">'405'!$D$26:$D$34</definedName>
    <definedName name="OSRRefD22_0x_0" localSheetId="78">'406'!$D$27:$D$35</definedName>
    <definedName name="OSRRefD22_0x_0" localSheetId="79">'411'!$D$20:$D$29</definedName>
    <definedName name="OSRRefD22_0x_0" localSheetId="80">'412'!$D$26:$D$34</definedName>
    <definedName name="OSRRefD22_0x_0" localSheetId="82">'413'!$D$27:$D$35</definedName>
    <definedName name="OSRRefD22_0x_0" localSheetId="83">'414'!$D$27:$D$35</definedName>
    <definedName name="OSRRefD22_0x_0" localSheetId="84">'415'!$D$26:$D$34</definedName>
    <definedName name="OSRRefD22_0x_0" localSheetId="85">'418'!$D$27:$D$35</definedName>
    <definedName name="OSRRefD22_0x_0" localSheetId="81">'420'!$D$23:$D$29</definedName>
    <definedName name="OSRRefD22_0x_0" localSheetId="86">'423'!$D$21:$D$29</definedName>
    <definedName name="OSRRefD22_0x_0" localSheetId="87">'424'!$D$26:$D$33</definedName>
    <definedName name="OSRRefD22_0x_0" localSheetId="88">'425'!$D$27:$D$35</definedName>
    <definedName name="OSRRefD22_0x_0" localSheetId="91">'430'!$D$20:$D$28</definedName>
    <definedName name="OSRRefD22_0x_0" localSheetId="92">'433'!$D$27:$D$36</definedName>
    <definedName name="OSRRefD22_0x_0" localSheetId="93">'435'!$D$27:$D$34</definedName>
    <definedName name="OSRRefD22_0x_0" localSheetId="94">'444'!$D$27:$D$36</definedName>
    <definedName name="OSRRefD22_0x_0" localSheetId="95">'450'!$D$27:$D$36</definedName>
    <definedName name="OSRRefD22_0x_0" localSheetId="89">'455'!$D$20:$D$27</definedName>
    <definedName name="OSRRefD22_0x_0" localSheetId="76">'491'!$D$34:$D$43</definedName>
    <definedName name="OSRRefD22_0x_0" localSheetId="90">'492'!$D$29:$D$38</definedName>
    <definedName name="OSRRefD22_0x_0" localSheetId="97">'501'!$D$21:$D$29</definedName>
    <definedName name="OSRRefD22_0x_0" localSheetId="39">'Div 2'!$D$21:$D$31</definedName>
    <definedName name="OSRRefD22_0x_0" localSheetId="47">'Div 3'!$D$168:$D$177</definedName>
    <definedName name="OSRRefD22_0x_0" localSheetId="74">'Div 4'!$D$35:$D$44</definedName>
    <definedName name="OSRRefD22_0x_0" localSheetId="96">'Div 5'!$D$21:$D$29</definedName>
    <definedName name="OSRRefD22_0x_0" localSheetId="64">'Div 6'!$D$60:$D$69</definedName>
    <definedName name="OSRRefD22_0x_0" localSheetId="2">Summary!$D$200:$D$209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'204'!$D$63:$D$64</definedName>
    <definedName name="OSRRefD22_10x_0" localSheetId="46">'206'!$D$58</definedName>
    <definedName name="OSRRefD22_10x_0" localSheetId="48">'300'!$D$206:$D$207</definedName>
    <definedName name="OSRRefD22_10x_0" localSheetId="49">'300 &amp; 317'!$D$231:$D$232</definedName>
    <definedName name="OSRRefD22_10x_0" localSheetId="50">'301'!$D$63</definedName>
    <definedName name="OSRRefD22_10x_0" localSheetId="51">'306'!$D$61</definedName>
    <definedName name="OSRRefD22_10x_0" localSheetId="53">'307'!$D$112:$D$113</definedName>
    <definedName name="OSRRefD22_10x_0" localSheetId="55">'308'!$D$106</definedName>
    <definedName name="OSRRefD22_10x_0" localSheetId="68">'309'!$D$65:$D$67</definedName>
    <definedName name="OSRRefD22_10x_0" localSheetId="67">'310'!$D$72</definedName>
    <definedName name="OSRRefD22_10x_0" localSheetId="75">'310 &amp; 491'!$D$81</definedName>
    <definedName name="OSRRefD22_10x_0" localSheetId="56">'311'!$D$106</definedName>
    <definedName name="OSRRefD22_10x_0" localSheetId="69">'313'!$D$66:$D$68</definedName>
    <definedName name="OSRRefD22_10x_0" localSheetId="59">'315'!$D$96:$D$98</definedName>
    <definedName name="OSRRefD22_10x_0" localSheetId="62">'316'!$D$71:$D$72</definedName>
    <definedName name="OSRRefD22_10x_0" localSheetId="65">'317'!$D$99:$D$100</definedName>
    <definedName name="OSRRefD22_10x_0" localSheetId="70">'321'!$D$64:$D$65</definedName>
    <definedName name="OSRRefD22_10x_0" localSheetId="71">'322'!$D$66:$D$68</definedName>
    <definedName name="OSRRefD22_10x_0" localSheetId="72">'325'!$D$65</definedName>
    <definedName name="OSRRefD22_10x_0" localSheetId="60">'326'!$D$93</definedName>
    <definedName name="OSRRefD22_10x_0" localSheetId="52">'330'!$D$119:$D$120</definedName>
    <definedName name="OSRRefD22_10x_0" localSheetId="58">'331'!$D$110</definedName>
    <definedName name="OSRRefD22_10x_0" localSheetId="61">'332'!$D$80:$D$81</definedName>
    <definedName name="OSRRefD22_10x_0" localSheetId="77">'405'!$D$65</definedName>
    <definedName name="OSRRefD22_10x_0" localSheetId="78">'406'!$D$67:$D$69</definedName>
    <definedName name="OSRRefD22_10x_0" localSheetId="79">'411'!$D$61:$D$63</definedName>
    <definedName name="OSRRefD22_10x_0" localSheetId="80">'412'!$D$66</definedName>
    <definedName name="OSRRefD22_10x_0" localSheetId="82">'413'!$D$66:$D$71</definedName>
    <definedName name="OSRRefD22_10x_0" localSheetId="83">'414'!$D$66</definedName>
    <definedName name="OSRRefD22_10x_0" localSheetId="84">'415'!$D$65</definedName>
    <definedName name="OSRRefD22_10x_0" localSheetId="85">'418'!$D$67:$D$69</definedName>
    <definedName name="OSRRefD22_10x_0" localSheetId="87">'424'!$D$64:$D$67</definedName>
    <definedName name="OSRRefD22_10x_0" localSheetId="88">'425'!$D$67:$D$68</definedName>
    <definedName name="OSRRefD22_10x_0" localSheetId="91">'430'!$D$59</definedName>
    <definedName name="OSRRefD22_10x_0" localSheetId="92">'433'!$D$65:$D$67</definedName>
    <definedName name="OSRRefD22_10x_0" localSheetId="94">'444'!$D$65</definedName>
    <definedName name="OSRRefD22_10x_0" localSheetId="95">'450'!$D$66</definedName>
    <definedName name="OSRRefD22_10x_0" localSheetId="76">'491'!$D$76</definedName>
    <definedName name="OSRRefD22_10x_0" localSheetId="90">'492'!$D$69</definedName>
    <definedName name="OSRRefD22_10x_0" localSheetId="97">'501'!$D$58:$D$60</definedName>
    <definedName name="OSRRefD22_10x_0" localSheetId="39">'Div 2'!$D$62</definedName>
    <definedName name="OSRRefD22_10x_0" localSheetId="47">'Div 3'!$D$212:$D$213</definedName>
    <definedName name="OSRRefD22_10x_0" localSheetId="74">'Div 4'!$D$78:$D$79</definedName>
    <definedName name="OSRRefD22_10x_0" localSheetId="96">'Div 5'!$D$58:$D$60</definedName>
    <definedName name="OSRRefD22_10x_0" localSheetId="64">'Div 6'!$D$99:$D$100</definedName>
    <definedName name="OSRRefD22_10x_0" localSheetId="2">Summary!$D$245:$D$246</definedName>
    <definedName name="OSRRefD22_11x_0" localSheetId="41">'201'!$D$62:$D$64</definedName>
    <definedName name="OSRRefD22_11x_0" localSheetId="42">'202'!$D$61:$D$63</definedName>
    <definedName name="OSRRefD22_11x_0" localSheetId="43">'203'!$D$62</definedName>
    <definedName name="OSRRefD22_11x_0" localSheetId="44">'204'!$D$66</definedName>
    <definedName name="OSRRefD22_11x_0" localSheetId="48">'300'!$D$209</definedName>
    <definedName name="OSRRefD22_11x_0" localSheetId="49">'300 &amp; 317'!$D$234</definedName>
    <definedName name="OSRRefD22_11x_0" localSheetId="50">'301'!$D$65</definedName>
    <definedName name="OSRRefD22_11x_0" localSheetId="53">'307'!$D$115</definedName>
    <definedName name="OSRRefD22_11x_0" localSheetId="55">'308'!$D$108:$D$110</definedName>
    <definedName name="OSRRefD22_11x_0" localSheetId="68">'309'!$D$69:$D$71</definedName>
    <definedName name="OSRRefD22_11x_0" localSheetId="67">'310'!$D$74</definedName>
    <definedName name="OSRRefD22_11x_0" localSheetId="75">'310 &amp; 491'!$D$83:$D$84</definedName>
    <definedName name="OSRRefD22_11x_0" localSheetId="56">'311'!$D$108:$D$110</definedName>
    <definedName name="OSRRefD22_11x_0" localSheetId="69">'313'!$D$70</definedName>
    <definedName name="OSRRefD22_11x_0" localSheetId="59">'315'!$D$100:$D$101</definedName>
    <definedName name="OSRRefD22_11x_0" localSheetId="62">'316'!$D$74:$D$78</definedName>
    <definedName name="OSRRefD22_11x_0" localSheetId="65">'317'!$D$102</definedName>
    <definedName name="OSRRefD22_11x_0" localSheetId="70">'321'!$D$67:$D$69</definedName>
    <definedName name="OSRRefD22_11x_0" localSheetId="71">'322'!$D$70:$D$74</definedName>
    <definedName name="OSRRefD22_11x_0" localSheetId="72">'325'!$D$67:$D$69</definedName>
    <definedName name="OSRRefD22_11x_0" localSheetId="60">'326'!$D$95</definedName>
    <definedName name="OSRRefD22_11x_0" localSheetId="52">'330'!$D$122</definedName>
    <definedName name="OSRRefD22_11x_0" localSheetId="58">'331'!$D$112</definedName>
    <definedName name="OSRRefD22_11x_0" localSheetId="61">'332'!$D$83:$D$84</definedName>
    <definedName name="OSRRefD22_11x_0" localSheetId="77">'405'!$D$67:$D$69</definedName>
    <definedName name="OSRRefD22_11x_0" localSheetId="78">'406'!$D$71:$D$76</definedName>
    <definedName name="OSRRefD22_11x_0" localSheetId="79">'411'!$D$65:$D$69</definedName>
    <definedName name="OSRRefD22_11x_0" localSheetId="80">'412'!$D$68:$D$70</definedName>
    <definedName name="OSRRefD22_11x_0" localSheetId="82">'413'!$D$73:$D$74</definedName>
    <definedName name="OSRRefD22_11x_0" localSheetId="83">'414'!$D$68</definedName>
    <definedName name="OSRRefD22_11x_0" localSheetId="84">'415'!$D$67:$D$69</definedName>
    <definedName name="OSRRefD22_11x_0" localSheetId="85">'418'!$D$71:$D$73</definedName>
    <definedName name="OSRRefD22_11x_0" localSheetId="87">'424'!$D$69:$D$70</definedName>
    <definedName name="OSRRefD22_11x_0" localSheetId="88">'425'!$D$70:$D$71</definedName>
    <definedName name="OSRRefD22_11x_0" localSheetId="92">'433'!$D$69:$D$72</definedName>
    <definedName name="OSRRefD22_11x_0" localSheetId="94">'444'!$D$67:$D$69</definedName>
    <definedName name="OSRRefD22_11x_0" localSheetId="95">'450'!$D$68:$D$70</definedName>
    <definedName name="OSRRefD22_11x_0" localSheetId="76">'491'!$D$78</definedName>
    <definedName name="OSRRefD22_11x_0" localSheetId="90">'492'!$D$71</definedName>
    <definedName name="OSRRefD22_11x_0" localSheetId="97">'501'!$D$62:$D$64</definedName>
    <definedName name="OSRRefD22_11x_0" localSheetId="39">'Div 2'!$D$64</definedName>
    <definedName name="OSRRefD22_11x_0" localSheetId="47">'Div 3'!$D$215</definedName>
    <definedName name="OSRRefD22_11x_0" localSheetId="74">'Div 4'!$D$81</definedName>
    <definedName name="OSRRefD22_11x_0" localSheetId="96">'Div 5'!$D$62:$D$64</definedName>
    <definedName name="OSRRefD22_11x_0" localSheetId="64">'Div 6'!$D$102</definedName>
    <definedName name="OSRRefD22_11x_0" localSheetId="2">Summary!$D$248:$D$249</definedName>
    <definedName name="OSRRefD22_12x_0" localSheetId="41">'201'!$D$66</definedName>
    <definedName name="OSRRefD22_12x_0" localSheetId="42">'202'!$D$65</definedName>
    <definedName name="OSRRefD22_12x_0" localSheetId="43">'203'!$D$64:$D$66</definedName>
    <definedName name="OSRRefD22_12x_0" localSheetId="44">'204'!$D$68:$D$69</definedName>
    <definedName name="OSRRefD22_12x_0" localSheetId="48">'300'!$D$211</definedName>
    <definedName name="OSRRefD22_12x_0" localSheetId="49">'300 &amp; 317'!$D$236</definedName>
    <definedName name="OSRRefD22_12x_0" localSheetId="50">'301'!$D$67</definedName>
    <definedName name="OSRRefD22_12x_0" localSheetId="53">'307'!$D$117</definedName>
    <definedName name="OSRRefD22_12x_0" localSheetId="55">'308'!$D$112:$D$113</definedName>
    <definedName name="OSRRefD22_12x_0" localSheetId="68">'309'!$D$73</definedName>
    <definedName name="OSRRefD22_12x_0" localSheetId="67">'310'!$D$76</definedName>
    <definedName name="OSRRefD22_12x_0" localSheetId="75">'310 &amp; 491'!$D$86</definedName>
    <definedName name="OSRRefD22_12x_0" localSheetId="56">'311'!$D$112:$D$113</definedName>
    <definedName name="OSRRefD22_12x_0" localSheetId="69">'313'!$D$72:$D$76</definedName>
    <definedName name="OSRRefD22_12x_0" localSheetId="59">'315'!$D$103:$D$107</definedName>
    <definedName name="OSRRefD22_12x_0" localSheetId="62">'316'!$D$80:$D$81</definedName>
    <definedName name="OSRRefD22_12x_0" localSheetId="65">'317'!$D$104</definedName>
    <definedName name="OSRRefD22_12x_0" localSheetId="70">'321'!$D$71:$D$73</definedName>
    <definedName name="OSRRefD22_12x_0" localSheetId="71">'322'!$D$76</definedName>
    <definedName name="OSRRefD22_12x_0" localSheetId="72">'325'!$D$71:$D$74</definedName>
    <definedName name="OSRRefD22_12x_0" localSheetId="60">'326'!$D$97</definedName>
    <definedName name="OSRRefD22_12x_0" localSheetId="52">'330'!$D$124:$D$125</definedName>
    <definedName name="OSRRefD22_12x_0" localSheetId="58">'331'!$D$114</definedName>
    <definedName name="OSRRefD22_12x_0" localSheetId="61">'332'!$D$86:$D$90</definedName>
    <definedName name="OSRRefD22_12x_0" localSheetId="77">'405'!$D$71</definedName>
    <definedName name="OSRRefD22_12x_0" localSheetId="78">'406'!$D$78:$D$79</definedName>
    <definedName name="OSRRefD22_12x_0" localSheetId="79">'411'!$D$71</definedName>
    <definedName name="OSRRefD22_12x_0" localSheetId="80">'412'!$D$72:$D$77</definedName>
    <definedName name="OSRRefD22_12x_0" localSheetId="82">'413'!$D$76</definedName>
    <definedName name="OSRRefD22_12x_0" localSheetId="83">'414'!$D$70</definedName>
    <definedName name="OSRRefD22_12x_0" localSheetId="84">'415'!$D$71:$D$75</definedName>
    <definedName name="OSRRefD22_12x_0" localSheetId="85">'418'!$D$75:$D$76</definedName>
    <definedName name="OSRRefD22_12x_0" localSheetId="88">'425'!$D$73:$D$79</definedName>
    <definedName name="OSRRefD22_12x_0" localSheetId="92">'433'!$D$74:$D$81</definedName>
    <definedName name="OSRRefD22_12x_0" localSheetId="94">'444'!$D$71:$D$74</definedName>
    <definedName name="OSRRefD22_12x_0" localSheetId="95">'450'!$D$72:$D$74</definedName>
    <definedName name="OSRRefD22_12x_0" localSheetId="76">'491'!$D$80</definedName>
    <definedName name="OSRRefD22_12x_0" localSheetId="90">'492'!$D$73:$D$76</definedName>
    <definedName name="OSRRefD22_12x_0" localSheetId="97">'501'!$D$66</definedName>
    <definedName name="OSRRefD22_12x_0" localSheetId="39">'Div 2'!$D$66:$D$68</definedName>
    <definedName name="OSRRefD22_12x_0" localSheetId="47">'Div 3'!$D$217</definedName>
    <definedName name="OSRRefD22_12x_0" localSheetId="74">'Div 4'!$D$83</definedName>
    <definedName name="OSRRefD22_12x_0" localSheetId="96">'Div 5'!$D$66</definedName>
    <definedName name="OSRRefD22_12x_0" localSheetId="64">'Div 6'!$D$104</definedName>
    <definedName name="OSRRefD22_12x_0" localSheetId="2">Summary!$D$251</definedName>
    <definedName name="OSRRefD22_13x_0" localSheetId="41">'201'!$D$68:$D$70</definedName>
    <definedName name="OSRRefD22_13x_0" localSheetId="42">'202'!$D$67</definedName>
    <definedName name="OSRRefD22_13x_0" localSheetId="43">'203'!$D$68</definedName>
    <definedName name="OSRRefD22_13x_0" localSheetId="48">'300'!$D$213</definedName>
    <definedName name="OSRRefD22_13x_0" localSheetId="49">'300 &amp; 317'!$D$238</definedName>
    <definedName name="OSRRefD22_13x_0" localSheetId="50">'301'!$D$69</definedName>
    <definedName name="OSRRefD22_13x_0" localSheetId="55">'308'!$D$115</definedName>
    <definedName name="OSRRefD22_13x_0" localSheetId="68">'309'!$D$75</definedName>
    <definedName name="OSRRefD22_13x_0" localSheetId="67">'310'!$D$78</definedName>
    <definedName name="OSRRefD22_13x_0" localSheetId="75">'310 &amp; 491'!$D$88</definedName>
    <definedName name="OSRRefD22_13x_0" localSheetId="56">'311'!$D$115</definedName>
    <definedName name="OSRRefD22_13x_0" localSheetId="69">'313'!$D$78</definedName>
    <definedName name="OSRRefD22_13x_0" localSheetId="59">'315'!$D$109</definedName>
    <definedName name="OSRRefD22_13x_0" localSheetId="62">'316'!$D$83</definedName>
    <definedName name="OSRRefD22_13x_0" localSheetId="70">'321'!$D$75</definedName>
    <definedName name="OSRRefD22_13x_0" localSheetId="71">'322'!$D$78</definedName>
    <definedName name="OSRRefD22_13x_0" localSheetId="72">'325'!$D$76</definedName>
    <definedName name="OSRRefD22_13x_0" localSheetId="60">'326'!$D$99:$D$100</definedName>
    <definedName name="OSRRefD22_13x_0" localSheetId="52">'330'!$D$127</definedName>
    <definedName name="OSRRefD22_13x_0" localSheetId="58">'331'!$D$116</definedName>
    <definedName name="OSRRefD22_13x_0" localSheetId="61">'332'!$D$92:$D$93</definedName>
    <definedName name="OSRRefD22_13x_0" localSheetId="77">'405'!$D$73:$D$75</definedName>
    <definedName name="OSRRefD22_13x_0" localSheetId="78">'406'!$D$81</definedName>
    <definedName name="OSRRefD22_13x_0" localSheetId="79">'411'!$D$73:$D$79</definedName>
    <definedName name="OSRRefD22_13x_0" localSheetId="80">'412'!$D$79</definedName>
    <definedName name="OSRRefD22_13x_0" localSheetId="83">'414'!$D$72:$D$78</definedName>
    <definedName name="OSRRefD22_13x_0" localSheetId="84">'415'!$D$77:$D$78</definedName>
    <definedName name="OSRRefD22_13x_0" localSheetId="85">'418'!$D$78:$D$84</definedName>
    <definedName name="OSRRefD22_13x_0" localSheetId="88">'425'!$D$81:$D$82</definedName>
    <definedName name="OSRRefD22_13x_0" localSheetId="92">'433'!$D$83</definedName>
    <definedName name="OSRRefD22_13x_0" localSheetId="94">'444'!$D$76:$D$83</definedName>
    <definedName name="OSRRefD22_13x_0" localSheetId="95">'450'!$D$76:$D$81</definedName>
    <definedName name="OSRRefD22_13x_0" localSheetId="76">'491'!$D$82</definedName>
    <definedName name="OSRRefD22_13x_0" localSheetId="90">'492'!$D$78:$D$81</definedName>
    <definedName name="OSRRefD22_13x_0" localSheetId="97">'501'!$D$68</definedName>
    <definedName name="OSRRefD22_13x_0" localSheetId="39">'Div 2'!$D$70:$D$73</definedName>
    <definedName name="OSRRefD22_13x_0" localSheetId="47">'Div 3'!$D$219</definedName>
    <definedName name="OSRRefD22_13x_0" localSheetId="74">'Div 4'!$D$85</definedName>
    <definedName name="OSRRefD22_13x_0" localSheetId="96">'Div 5'!$D$68</definedName>
    <definedName name="OSRRefD22_13x_0" localSheetId="2">Summary!$D$253</definedName>
    <definedName name="OSRRefD22_14x_0" localSheetId="41">'201'!$D$72</definedName>
    <definedName name="OSRRefD22_14x_0" localSheetId="42">'202'!$D$69:$D$70</definedName>
    <definedName name="OSRRefD22_14x_0" localSheetId="43">'203'!$D$70</definedName>
    <definedName name="OSRRefD22_14x_0" localSheetId="48">'300'!$D$215</definedName>
    <definedName name="OSRRefD22_14x_0" localSheetId="49">'300 &amp; 317'!$D$240</definedName>
    <definedName name="OSRRefD22_14x_0" localSheetId="50">'301'!$D$71</definedName>
    <definedName name="OSRRefD22_14x_0" localSheetId="55">'308'!$D$117:$D$118</definedName>
    <definedName name="OSRRefD22_14x_0" localSheetId="67">'310'!$D$80</definedName>
    <definedName name="OSRRefD22_14x_0" localSheetId="75">'310 &amp; 491'!$D$90</definedName>
    <definedName name="OSRRefD22_14x_0" localSheetId="56">'311'!$D$117:$D$118</definedName>
    <definedName name="OSRRefD22_14x_0" localSheetId="69">'313'!$D$80</definedName>
    <definedName name="OSRRefD22_14x_0" localSheetId="59">'315'!$D$111</definedName>
    <definedName name="OSRRefD22_14x_0" localSheetId="70">'321'!$D$77</definedName>
    <definedName name="OSRRefD22_14x_0" localSheetId="72">'325'!$D$78:$D$84</definedName>
    <definedName name="OSRRefD22_14x_0" localSheetId="60">'326'!$D$102:$D$104</definedName>
    <definedName name="OSRRefD22_14x_0" localSheetId="52">'330'!$D$129</definedName>
    <definedName name="OSRRefD22_14x_0" localSheetId="58">'331'!$D$118:$D$119</definedName>
    <definedName name="OSRRefD22_14x_0" localSheetId="61">'332'!$D$95</definedName>
    <definedName name="OSRRefD22_14x_0" localSheetId="77">'405'!$D$77:$D$78</definedName>
    <definedName name="OSRRefD22_14x_0" localSheetId="78">'406'!$D$83</definedName>
    <definedName name="OSRRefD22_14x_0" localSheetId="79">'411'!$D$81</definedName>
    <definedName name="OSRRefD22_14x_0" localSheetId="80">'412'!$D$81</definedName>
    <definedName name="OSRRefD22_14x_0" localSheetId="83">'414'!$D$80</definedName>
    <definedName name="OSRRefD22_14x_0" localSheetId="84">'415'!$D$80:$D$87</definedName>
    <definedName name="OSRRefD22_14x_0" localSheetId="85">'418'!$D$86</definedName>
    <definedName name="OSRRefD22_14x_0" localSheetId="88">'425'!$D$84</definedName>
    <definedName name="OSRRefD22_14x_0" localSheetId="92">'433'!$D$85</definedName>
    <definedName name="OSRRefD22_14x_0" localSheetId="94">'444'!$D$85</definedName>
    <definedName name="OSRRefD22_14x_0" localSheetId="95">'450'!$D$83</definedName>
    <definedName name="OSRRefD22_14x_0" localSheetId="76">'491'!$D$84:$D$87</definedName>
    <definedName name="OSRRefD22_14x_0" localSheetId="90">'492'!$D$83:$D$91</definedName>
    <definedName name="OSRRefD22_14x_0" localSheetId="39">'Div 2'!$D$75:$D$78</definedName>
    <definedName name="OSRRefD22_14x_0" localSheetId="47">'Div 3'!$D$221</definedName>
    <definedName name="OSRRefD22_14x_0" localSheetId="74">'Div 4'!$D$87</definedName>
    <definedName name="OSRRefD22_14x_0" localSheetId="2">Summary!$D$255</definedName>
    <definedName name="OSRRefD22_15x_0" localSheetId="41">'201'!$D$74</definedName>
    <definedName name="OSRRefD22_15x_0" localSheetId="42">'202'!$D$72</definedName>
    <definedName name="OSRRefD22_15x_0" localSheetId="43">'203'!$D$72</definedName>
    <definedName name="OSRRefD22_15x_0" localSheetId="48">'300'!$D$217</definedName>
    <definedName name="OSRRefD22_15x_0" localSheetId="49">'300 &amp; 317'!$D$242</definedName>
    <definedName name="OSRRefD22_15x_0" localSheetId="50">'301'!$D$73:$D$75</definedName>
    <definedName name="OSRRefD22_15x_0" localSheetId="67">'310'!$D$82:$D$84</definedName>
    <definedName name="OSRRefD22_15x_0" localSheetId="75">'310 &amp; 491'!$D$92</definedName>
    <definedName name="OSRRefD22_15x_0" localSheetId="59">'315'!$D$113:$D$114</definedName>
    <definedName name="OSRRefD22_15x_0" localSheetId="72">'325'!$D$86</definedName>
    <definedName name="OSRRefD22_15x_0" localSheetId="60">'326'!$D$106:$D$107</definedName>
    <definedName name="OSRRefD22_15x_0" localSheetId="52">'330'!$D$131</definedName>
    <definedName name="OSRRefD22_15x_0" localSheetId="58">'331'!$D$121:$D$123</definedName>
    <definedName name="OSRRefD22_15x_0" localSheetId="77">'405'!$D$80:$D$88</definedName>
    <definedName name="OSRRefD22_15x_0" localSheetId="79">'411'!$D$83</definedName>
    <definedName name="OSRRefD22_15x_0" localSheetId="83">'414'!$D$82</definedName>
    <definedName name="OSRRefD22_15x_0" localSheetId="84">'415'!$D$89</definedName>
    <definedName name="OSRRefD22_15x_0" localSheetId="85">'418'!$D$88</definedName>
    <definedName name="OSRRefD22_15x_0" localSheetId="88">'425'!$D$86</definedName>
    <definedName name="OSRRefD22_15x_0" localSheetId="92">'433'!$D$87:$D$88</definedName>
    <definedName name="OSRRefD22_15x_0" localSheetId="94">'444'!$D$87</definedName>
    <definedName name="OSRRefD22_15x_0" localSheetId="95">'450'!$D$85</definedName>
    <definedName name="OSRRefD22_15x_0" localSheetId="76">'491'!$D$89:$D$91</definedName>
    <definedName name="OSRRefD22_15x_0" localSheetId="90">'492'!$D$93</definedName>
    <definedName name="OSRRefD22_15x_0" localSheetId="39">'Div 2'!$D$80:$D$81</definedName>
    <definedName name="OSRRefD22_15x_0" localSheetId="47">'Div 3'!$D$223</definedName>
    <definedName name="OSRRefD22_15x_0" localSheetId="74">'Div 4'!$D$89</definedName>
    <definedName name="OSRRefD22_15x_0" localSheetId="2">Summary!$D$257</definedName>
    <definedName name="OSRRefD22_16x_0" localSheetId="41">'201'!$D$76:$D$77</definedName>
    <definedName name="OSRRefD22_16x_0" localSheetId="42">'202'!$D$74</definedName>
    <definedName name="OSRRefD22_16x_0" localSheetId="48">'300'!$D$219:$D$222</definedName>
    <definedName name="OSRRefD22_16x_0" localSheetId="49">'300 &amp; 317'!$D$244:$D$247</definedName>
    <definedName name="OSRRefD22_16x_0" localSheetId="50">'301'!$D$77:$D$79</definedName>
    <definedName name="OSRRefD22_16x_0" localSheetId="67">'310'!$D$86:$D$87</definedName>
    <definedName name="OSRRefD22_16x_0" localSheetId="75">'310 &amp; 491'!$D$94</definedName>
    <definedName name="OSRRefD22_16x_0" localSheetId="72">'325'!$D$88</definedName>
    <definedName name="OSRRefD22_16x_0" localSheetId="60">'326'!$D$109:$D$113</definedName>
    <definedName name="OSRRefD22_16x_0" localSheetId="58">'331'!$D$125:$D$127</definedName>
    <definedName name="OSRRefD22_16x_0" localSheetId="77">'405'!$D$90</definedName>
    <definedName name="OSRRefD22_16x_0" localSheetId="79">'411'!$D$85:$D$87</definedName>
    <definedName name="OSRRefD22_16x_0" localSheetId="84">'415'!$D$91</definedName>
    <definedName name="OSRRefD22_16x_0" localSheetId="85">'418'!$D$90</definedName>
    <definedName name="OSRRefD22_16x_0" localSheetId="94">'444'!$D$89</definedName>
    <definedName name="OSRRefD22_16x_0" localSheetId="95">'450'!$D$87:$D$88</definedName>
    <definedName name="OSRRefD22_16x_0" localSheetId="76">'491'!$D$93:$D$97</definedName>
    <definedName name="OSRRefD22_16x_0" localSheetId="90">'492'!$D$95</definedName>
    <definedName name="OSRRefD22_16x_0" localSheetId="39">'Div 2'!$D$83:$D$84</definedName>
    <definedName name="OSRRefD22_16x_0" localSheetId="47">'Div 3'!$D$225</definedName>
    <definedName name="OSRRefD22_16x_0" localSheetId="74">'Div 4'!$D$91:$D$94</definedName>
    <definedName name="OSRRefD22_16x_0" localSheetId="2">Summary!$D$259</definedName>
    <definedName name="OSRRefD22_17x_0" localSheetId="48">'300'!$D$224:$D$227</definedName>
    <definedName name="OSRRefD22_17x_0" localSheetId="49">'300 &amp; 317'!$D$249:$D$252</definedName>
    <definedName name="OSRRefD22_17x_0" localSheetId="50">'301'!$D$81:$D$82</definedName>
    <definedName name="OSRRefD22_17x_0" localSheetId="67">'310'!$D$89:$D$93</definedName>
    <definedName name="OSRRefD22_17x_0" localSheetId="75">'310 &amp; 491'!$D$96:$D$99</definedName>
    <definedName name="OSRRefD22_17x_0" localSheetId="72">'325'!$D$90</definedName>
    <definedName name="OSRRefD22_17x_0" localSheetId="60">'326'!$D$115:$D$116</definedName>
    <definedName name="OSRRefD22_17x_0" localSheetId="58">'331'!$D$129:$D$130</definedName>
    <definedName name="OSRRefD22_17x_0" localSheetId="77">'405'!$D$92</definedName>
    <definedName name="OSRRefD22_17x_0" localSheetId="79">'411'!$D$89</definedName>
    <definedName name="OSRRefD22_17x_0" localSheetId="84">'415'!$D$93:$D$94</definedName>
    <definedName name="OSRRefD22_17x_0" localSheetId="76">'491'!$D$99:$D$100</definedName>
    <definedName name="OSRRefD22_17x_0" localSheetId="90">'492'!$D$97:$D$98</definedName>
    <definedName name="OSRRefD22_17x_0" localSheetId="39">'Div 2'!$D$86:$D$89</definedName>
    <definedName name="OSRRefD22_17x_0" localSheetId="47">'Div 3'!$D$227</definedName>
    <definedName name="OSRRefD22_17x_0" localSheetId="74">'Div 4'!$D$96:$D$98</definedName>
    <definedName name="OSRRefD22_17x_0" localSheetId="2">Summary!$D$261</definedName>
    <definedName name="OSRRefD22_18x_0" localSheetId="48">'300'!$D$229:$D$232</definedName>
    <definedName name="OSRRefD22_18x_0" localSheetId="49">'300 &amp; 317'!$D$254:$D$257</definedName>
    <definedName name="OSRRefD22_18x_0" localSheetId="50">'301'!$D$84:$D$89</definedName>
    <definedName name="OSRRefD22_18x_0" localSheetId="67">'310'!$D$95</definedName>
    <definedName name="OSRRefD22_18x_0" localSheetId="75">'310 &amp; 491'!$D$101:$D$103</definedName>
    <definedName name="OSRRefD22_18x_0" localSheetId="72">'325'!$D$92</definedName>
    <definedName name="OSRRefD22_18x_0" localSheetId="60">'326'!$D$118</definedName>
    <definedName name="OSRRefD22_18x_0" localSheetId="58">'331'!$D$132:$D$137</definedName>
    <definedName name="OSRRefD22_18x_0" localSheetId="77">'405'!$D$94</definedName>
    <definedName name="OSRRefD22_18x_0" localSheetId="84">'415'!$D$96</definedName>
    <definedName name="OSRRefD22_18x_0" localSheetId="76">'491'!$D$102:$D$111</definedName>
    <definedName name="OSRRefD22_18x_0" localSheetId="39">'Div 2'!$D$91:$D$92</definedName>
    <definedName name="OSRRefD22_18x_0" localSheetId="47">'Div 3'!$D$229:$D$232</definedName>
    <definedName name="OSRRefD22_18x_0" localSheetId="74">'Div 4'!$D$100:$D$104</definedName>
    <definedName name="OSRRefD22_18x_0" localSheetId="2">Summary!$D$263:$D$266</definedName>
    <definedName name="OSRRefD22_19x_0" localSheetId="48">'300'!$D$234:$D$235</definedName>
    <definedName name="OSRRefD22_19x_0" localSheetId="49">'300 &amp; 317'!$D$259:$D$260</definedName>
    <definedName name="OSRRefD22_19x_0" localSheetId="50">'301'!$D$91</definedName>
    <definedName name="OSRRefD22_19x_0" localSheetId="67">'310'!$D$97:$D$104</definedName>
    <definedName name="OSRRefD22_19x_0" localSheetId="75">'310 &amp; 491'!$D$105:$D$110</definedName>
    <definedName name="OSRRefD22_19x_0" localSheetId="60">'326'!$D$120</definedName>
    <definedName name="OSRRefD22_19x_0" localSheetId="58">'331'!$D$139:$D$140</definedName>
    <definedName name="OSRRefD22_19x_0" localSheetId="76">'491'!$D$113:$D$114</definedName>
    <definedName name="OSRRefD22_19x_0" localSheetId="39">'Div 2'!$D$94</definedName>
    <definedName name="OSRRefD22_19x_0" localSheetId="47">'Div 3'!$D$234:$D$237</definedName>
    <definedName name="OSRRefD22_19x_0" localSheetId="74">'Div 4'!$D$106:$D$107</definedName>
    <definedName name="OSRRefD22_19x_0" localSheetId="2">Summary!$D$268:$D$271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'300'!$D$173:$D$182</definedName>
    <definedName name="OSRRefD22_1x_0" localSheetId="49">'300 &amp; 317'!$D$198:$D$207</definedName>
    <definedName name="OSRRefD22_1x_0" localSheetId="50">'301'!$D$30:$D$39</definedName>
    <definedName name="OSRRefD22_1x_0" localSheetId="51">'306'!$D$30:$D$39</definedName>
    <definedName name="OSRRefD22_1x_0" localSheetId="53">'307'!$D$82:$D$91</definedName>
    <definedName name="OSRRefD22_1x_0" localSheetId="55">'308'!$D$75:$D$84</definedName>
    <definedName name="OSRRefD22_1x_0" localSheetId="68">'309'!$D$36:$D$45</definedName>
    <definedName name="OSRRefD22_1x_0" localSheetId="67">'310'!$D$43:$D$52</definedName>
    <definedName name="OSRRefD22_1x_0" localSheetId="75">'310 &amp; 491'!$D$51:$D$60</definedName>
    <definedName name="OSRRefD22_1x_0" localSheetId="56">'311'!$D$75:$D$84</definedName>
    <definedName name="OSRRefD22_1x_0" localSheetId="69">'313'!$D$39:$D$48</definedName>
    <definedName name="OSRRefD22_1x_0" localSheetId="54">'314'!$D$67:$D$76</definedName>
    <definedName name="OSRRefD22_1x_0" localSheetId="59">'315'!$D$67:$D$76</definedName>
    <definedName name="OSRRefD22_1x_0" localSheetId="62">'316'!$D$43:$D$52</definedName>
    <definedName name="OSRRefD22_1x_0" localSheetId="65">'317'!$D$71:$D$80</definedName>
    <definedName name="OSRRefD22_1x_0" localSheetId="63">'320'!$D$40:$D$49</definedName>
    <definedName name="OSRRefD22_1x_0" localSheetId="70">'321'!$D$35:$D$44</definedName>
    <definedName name="OSRRefD22_1x_0" localSheetId="71">'322'!$D$36:$D$45</definedName>
    <definedName name="OSRRefD22_1x_0" localSheetId="72">'325'!$D$36:$D$45</definedName>
    <definedName name="OSRRefD22_1x_0" localSheetId="60">'326'!$D$65:$D$74</definedName>
    <definedName name="OSRRefD22_1x_0" localSheetId="73">'327'!$D$26</definedName>
    <definedName name="OSRRefD22_1x_0" localSheetId="52">'330'!$D$90:$D$99</definedName>
    <definedName name="OSRRefD22_1x_0" localSheetId="58">'331'!$D$80:$D$89</definedName>
    <definedName name="OSRRefD22_1x_0" localSheetId="61">'332'!$D$52:$D$61</definedName>
    <definedName name="OSRRefD22_1x_0" localSheetId="77">'405'!$D$36:$D$45</definedName>
    <definedName name="OSRRefD22_1x_0" localSheetId="78">'406'!$D$37:$D$46</definedName>
    <definedName name="OSRRefD22_1x_0" localSheetId="79">'411'!$D$31:$D$40</definedName>
    <definedName name="OSRRefD22_1x_0" localSheetId="80">'412'!$D$36:$D$45</definedName>
    <definedName name="OSRRefD22_1x_0" localSheetId="82">'413'!$D$37:$D$46</definedName>
    <definedName name="OSRRefD22_1x_0" localSheetId="83">'414'!$D$37:$D$46</definedName>
    <definedName name="OSRRefD22_1x_0" localSheetId="84">'415'!$D$36:$D$45</definedName>
    <definedName name="OSRRefD22_1x_0" localSheetId="85">'418'!$D$37:$D$46</definedName>
    <definedName name="OSRRefD22_1x_0" localSheetId="81">'420'!$D$31:$D$34</definedName>
    <definedName name="OSRRefD22_1x_0" localSheetId="86">'423'!$D$31:$D$40</definedName>
    <definedName name="OSRRefD22_1x_0" localSheetId="87">'424'!$D$35:$D$44</definedName>
    <definedName name="OSRRefD22_1x_0" localSheetId="88">'425'!$D$37:$D$46</definedName>
    <definedName name="OSRRefD22_1x_0" localSheetId="91">'430'!$D$30:$D$39</definedName>
    <definedName name="OSRRefD22_1x_0" localSheetId="92">'433'!$D$38:$D$47</definedName>
    <definedName name="OSRRefD22_1x_0" localSheetId="93">'435'!$D$36:$D$45</definedName>
    <definedName name="OSRRefD22_1x_0" localSheetId="94">'444'!$D$38:$D$47</definedName>
    <definedName name="OSRRefD22_1x_0" localSheetId="95">'450'!$D$38:$D$47</definedName>
    <definedName name="OSRRefD22_1x_0" localSheetId="89">'455'!$D$29:$D$38</definedName>
    <definedName name="OSRRefD22_1x_0" localSheetId="76">'491'!$D$45:$D$54</definedName>
    <definedName name="OSRRefD22_1x_0" localSheetId="90">'492'!$D$40:$D$49</definedName>
    <definedName name="OSRRefD22_1x_0" localSheetId="97">'501'!$D$31:$D$40</definedName>
    <definedName name="OSRRefD22_1x_0" localSheetId="39">'Div 2'!$D$33:$D$42</definedName>
    <definedName name="OSRRefD22_1x_0" localSheetId="47">'Div 3'!$D$179:$D$188</definedName>
    <definedName name="OSRRefD22_1x_0" localSheetId="74">'Div 4'!$D$46:$D$55</definedName>
    <definedName name="OSRRefD22_1x_0" localSheetId="96">'Div 5'!$D$31:$D$40</definedName>
    <definedName name="OSRRefD22_1x_0" localSheetId="64">'Div 6'!$D$71:$D$80</definedName>
    <definedName name="OSRRefD22_1x_0" localSheetId="2">Summary!$D$211:$D$220</definedName>
    <definedName name="OSRRefD22_20x_0" localSheetId="48">'300'!$D$237:$D$243</definedName>
    <definedName name="OSRRefD22_20x_0" localSheetId="49">'300 &amp; 317'!$D$262:$D$268</definedName>
    <definedName name="OSRRefD22_20x_0" localSheetId="50">'301'!$D$93</definedName>
    <definedName name="OSRRefD22_20x_0" localSheetId="67">'310'!$D$106</definedName>
    <definedName name="OSRRefD22_20x_0" localSheetId="75">'310 &amp; 491'!$D$112:$D$113</definedName>
    <definedName name="OSRRefD22_20x_0" localSheetId="60">'326'!$D$122</definedName>
    <definedName name="OSRRefD22_20x_0" localSheetId="58">'331'!$D$142</definedName>
    <definedName name="OSRRefD22_20x_0" localSheetId="76">'491'!$D$116</definedName>
    <definedName name="OSRRefD22_20x_0" localSheetId="39">'Div 2'!$D$96:$D$97</definedName>
    <definedName name="OSRRefD22_20x_0" localSheetId="47">'Div 3'!$D$239:$D$244</definedName>
    <definedName name="OSRRefD22_20x_0" localSheetId="74">'Div 4'!$D$109:$D$118</definedName>
    <definedName name="OSRRefD22_20x_0" localSheetId="2">Summary!$D$273:$D$278</definedName>
    <definedName name="OSRRefD22_21x_0" localSheetId="48">'300'!$D$245:$D$246</definedName>
    <definedName name="OSRRefD22_21x_0" localSheetId="49">'300 &amp; 317'!$D$270:$D$271</definedName>
    <definedName name="OSRRefD22_21x_0" localSheetId="50">'301'!$D$95:$D$97</definedName>
    <definedName name="OSRRefD22_21x_0" localSheetId="67">'310'!$D$108</definedName>
    <definedName name="OSRRefD22_21x_0" localSheetId="75">'310 &amp; 491'!$D$115:$D$124</definedName>
    <definedName name="OSRRefD22_21x_0" localSheetId="58">'331'!$D$144:$D$145</definedName>
    <definedName name="OSRRefD22_21x_0" localSheetId="76">'491'!$D$118:$D$120</definedName>
    <definedName name="OSRRefD22_21x_0" localSheetId="47">'Div 3'!$D$246:$D$247</definedName>
    <definedName name="OSRRefD22_21x_0" localSheetId="74">'Div 4'!$D$120:$D$121</definedName>
    <definedName name="OSRRefD22_21x_0" localSheetId="2">Summary!$D$280:$D$281</definedName>
    <definedName name="OSRRefD22_22x_0" localSheetId="48">'300'!$D$248</definedName>
    <definedName name="OSRRefD22_22x_0" localSheetId="49">'300 &amp; 317'!$D$273</definedName>
    <definedName name="OSRRefD22_22x_0" localSheetId="50">'301'!$D$99</definedName>
    <definedName name="OSRRefD22_22x_0" localSheetId="67">'310'!$D$110</definedName>
    <definedName name="OSRRefD22_22x_0" localSheetId="75">'310 &amp; 491'!$D$126:$D$127</definedName>
    <definedName name="OSRRefD22_22x_0" localSheetId="58">'331'!$D$147</definedName>
    <definedName name="OSRRefD22_22x_0" localSheetId="76">'491'!$D$122</definedName>
    <definedName name="OSRRefD22_22x_0" localSheetId="47">'Div 3'!$D$249:$D$256</definedName>
    <definedName name="OSRRefD22_22x_0" localSheetId="74">'Div 4'!$D$123</definedName>
    <definedName name="OSRRefD22_22x_0" localSheetId="2">Summary!$D$283:$D$292</definedName>
    <definedName name="OSRRefD22_23x_0" localSheetId="48">'300'!$D$250:$D$252</definedName>
    <definedName name="OSRRefD22_23x_0" localSheetId="49">'300 &amp; 317'!$D$275:$D$277</definedName>
    <definedName name="OSRRefD22_23x_0" localSheetId="67">'310'!$D$112</definedName>
    <definedName name="OSRRefD22_23x_0" localSheetId="75">'310 &amp; 491'!$D$129</definedName>
    <definedName name="OSRRefD22_23x_0" localSheetId="47">'Div 3'!$D$258:$D$259</definedName>
    <definedName name="OSRRefD22_23x_0" localSheetId="74">'Div 4'!$D$125:$D$127</definedName>
    <definedName name="OSRRefD22_23x_0" localSheetId="2">Summary!$D$294:$D$295</definedName>
    <definedName name="OSRRefD22_24x_0" localSheetId="48">'300'!$D$254</definedName>
    <definedName name="OSRRefD22_24x_0" localSheetId="49">'300 &amp; 317'!$D$279</definedName>
    <definedName name="OSRRefD22_24x_0" localSheetId="75">'310 &amp; 491'!$D$131:$D$133</definedName>
    <definedName name="OSRRefD22_24x_0" localSheetId="47">'Div 3'!$D$261</definedName>
    <definedName name="OSRRefD22_24x_0" localSheetId="74">'Div 4'!$D$129</definedName>
    <definedName name="OSRRefD22_24x_0" localSheetId="2">Summary!$D$297</definedName>
    <definedName name="OSRRefD22_25x_0" localSheetId="75">'310 &amp; 491'!$D$135</definedName>
    <definedName name="OSRRefD22_25x_0" localSheetId="47">'Div 3'!$D$263:$D$265</definedName>
    <definedName name="OSRRefD22_25x_0" localSheetId="2">Summary!$D$299:$D$301</definedName>
    <definedName name="OSRRefD22_26x_0" localSheetId="47">'Div 3'!$D$267</definedName>
    <definedName name="OSRRefD22_26x_0" localSheetId="2">Summary!$D$303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'300'!$D$184</definedName>
    <definedName name="OSRRefD22_2x_0" localSheetId="49">'300 &amp; 317'!$D$209</definedName>
    <definedName name="OSRRefD22_2x_0" localSheetId="50">'301'!$D$41</definedName>
    <definedName name="OSRRefD22_2x_0" localSheetId="51">'306'!$D$41</definedName>
    <definedName name="OSRRefD22_2x_0" localSheetId="53">'307'!$D$93</definedName>
    <definedName name="OSRRefD22_2x_0" localSheetId="55">'308'!$D$86</definedName>
    <definedName name="OSRRefD22_2x_0" localSheetId="68">'309'!$D$47</definedName>
    <definedName name="OSRRefD22_2x_0" localSheetId="67">'310'!$D$54</definedName>
    <definedName name="OSRRefD22_2x_0" localSheetId="75">'310 &amp; 491'!$D$62</definedName>
    <definedName name="OSRRefD22_2x_0" localSheetId="56">'311'!$D$86</definedName>
    <definedName name="OSRRefD22_2x_0" localSheetId="69">'313'!$D$50</definedName>
    <definedName name="OSRRefD22_2x_0" localSheetId="54">'314'!$D$78</definedName>
    <definedName name="OSRRefD22_2x_0" localSheetId="59">'315'!$D$78</definedName>
    <definedName name="OSRRefD22_2x_0" localSheetId="62">'316'!$D$54</definedName>
    <definedName name="OSRRefD22_2x_0" localSheetId="65">'317'!$D$82</definedName>
    <definedName name="OSRRefD22_2x_0" localSheetId="63">'320'!$D$51</definedName>
    <definedName name="OSRRefD22_2x_0" localSheetId="70">'321'!$D$46</definedName>
    <definedName name="OSRRefD22_2x_0" localSheetId="71">'322'!$D$47</definedName>
    <definedName name="OSRRefD22_2x_0" localSheetId="72">'325'!$D$47</definedName>
    <definedName name="OSRRefD22_2x_0" localSheetId="60">'326'!$D$76</definedName>
    <definedName name="OSRRefD22_2x_0" localSheetId="73">'327'!$D$28</definedName>
    <definedName name="OSRRefD22_2x_0" localSheetId="52">'330'!$D$101</definedName>
    <definedName name="OSRRefD22_2x_0" localSheetId="58">'331'!$D$91</definedName>
    <definedName name="OSRRefD22_2x_0" localSheetId="61">'332'!$D$63</definedName>
    <definedName name="OSRRefD22_2x_0" localSheetId="77">'405'!$D$47</definedName>
    <definedName name="OSRRefD22_2x_0" localSheetId="78">'406'!$D$48</definedName>
    <definedName name="OSRRefD22_2x_0" localSheetId="79">'411'!$D$42</definedName>
    <definedName name="OSRRefD22_2x_0" localSheetId="80">'412'!$D$47</definedName>
    <definedName name="OSRRefD22_2x_0" localSheetId="82">'413'!$D$48</definedName>
    <definedName name="OSRRefD22_2x_0" localSheetId="83">'414'!$D$48</definedName>
    <definedName name="OSRRefD22_2x_0" localSheetId="84">'415'!$D$47</definedName>
    <definedName name="OSRRefD22_2x_0" localSheetId="85">'418'!$D$48</definedName>
    <definedName name="OSRRefD22_2x_0" localSheetId="81">'420'!$D$36</definedName>
    <definedName name="OSRRefD22_2x_0" localSheetId="86">'423'!$D$42</definedName>
    <definedName name="OSRRefD22_2x_0" localSheetId="87">'424'!$D$46</definedName>
    <definedName name="OSRRefD22_2x_0" localSheetId="88">'425'!$D$48</definedName>
    <definedName name="OSRRefD22_2x_0" localSheetId="91">'430'!$D$41</definedName>
    <definedName name="OSRRefD22_2x_0" localSheetId="92">'433'!$D$49</definedName>
    <definedName name="OSRRefD22_2x_0" localSheetId="93">'435'!$D$47</definedName>
    <definedName name="OSRRefD22_2x_0" localSheetId="94">'444'!$D$49</definedName>
    <definedName name="OSRRefD22_2x_0" localSheetId="95">'450'!$D$49</definedName>
    <definedName name="OSRRefD22_2x_0" localSheetId="76">'491'!$D$56</definedName>
    <definedName name="OSRRefD22_2x_0" localSheetId="90">'492'!$D$51</definedName>
    <definedName name="OSRRefD22_2x_0" localSheetId="97">'501'!$D$42</definedName>
    <definedName name="OSRRefD22_2x_0" localSheetId="39">'Div 2'!$D$44</definedName>
    <definedName name="OSRRefD22_2x_0" localSheetId="47">'Div 3'!$D$190</definedName>
    <definedName name="OSRRefD22_2x_0" localSheetId="74">'Div 4'!$D$57</definedName>
    <definedName name="OSRRefD22_2x_0" localSheetId="96">'Div 5'!$D$42</definedName>
    <definedName name="OSRRefD22_2x_0" localSheetId="64">'Div 6'!$D$82</definedName>
    <definedName name="OSRRefD22_2x_0" localSheetId="2">Summary!$D$222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'300'!$D$186:$D$187</definedName>
    <definedName name="OSRRefD22_3x_0" localSheetId="49">'300 &amp; 317'!$D$211:$D$212</definedName>
    <definedName name="OSRRefD22_3x_0" localSheetId="50">'301'!$D$43:$D$44</definedName>
    <definedName name="OSRRefD22_3x_0" localSheetId="51">'306'!$D$43</definedName>
    <definedName name="OSRRefD22_3x_0" localSheetId="53">'307'!$D$95</definedName>
    <definedName name="OSRRefD22_3x_0" localSheetId="55">'308'!$D$88:$D$89</definedName>
    <definedName name="OSRRefD22_3x_0" localSheetId="68">'309'!$D$49</definedName>
    <definedName name="OSRRefD22_3x_0" localSheetId="67">'310'!$D$56</definedName>
    <definedName name="OSRRefD22_3x_0" localSheetId="75">'310 &amp; 491'!$D$64</definedName>
    <definedName name="OSRRefD22_3x_0" localSheetId="56">'311'!$D$88:$D$89</definedName>
    <definedName name="OSRRefD22_3x_0" localSheetId="69">'313'!$D$52</definedName>
    <definedName name="OSRRefD22_3x_0" localSheetId="54">'314'!$D$80:$D$81</definedName>
    <definedName name="OSRRefD22_3x_0" localSheetId="59">'315'!$D$80:$D$81</definedName>
    <definedName name="OSRRefD22_3x_0" localSheetId="62">'316'!$D$56</definedName>
    <definedName name="OSRRefD22_3x_0" localSheetId="65">'317'!$D$84</definedName>
    <definedName name="OSRRefD22_3x_0" localSheetId="63">'320'!$D$53</definedName>
    <definedName name="OSRRefD22_3x_0" localSheetId="70">'321'!$D$48</definedName>
    <definedName name="OSRRefD22_3x_0" localSheetId="71">'322'!$D$49</definedName>
    <definedName name="OSRRefD22_3x_0" localSheetId="72">'325'!$D$49</definedName>
    <definedName name="OSRRefD22_3x_0" localSheetId="60">'326'!$D$78:$D$79</definedName>
    <definedName name="OSRRefD22_3x_0" localSheetId="52">'330'!$D$103</definedName>
    <definedName name="OSRRefD22_3x_0" localSheetId="58">'331'!$D$93:$D$94</definedName>
    <definedName name="OSRRefD22_3x_0" localSheetId="61">'332'!$D$65</definedName>
    <definedName name="OSRRefD22_3x_0" localSheetId="77">'405'!$D$49</definedName>
    <definedName name="OSRRefD22_3x_0" localSheetId="78">'406'!$D$50</definedName>
    <definedName name="OSRRefD22_3x_0" localSheetId="79">'411'!$D$44:$D$47</definedName>
    <definedName name="OSRRefD22_3x_0" localSheetId="80">'412'!$D$49</definedName>
    <definedName name="OSRRefD22_3x_0" localSheetId="82">'413'!$D$50</definedName>
    <definedName name="OSRRefD22_3x_0" localSheetId="83">'414'!$D$50</definedName>
    <definedName name="OSRRefD22_3x_0" localSheetId="84">'415'!$D$49</definedName>
    <definedName name="OSRRefD22_3x_0" localSheetId="85">'418'!$D$50</definedName>
    <definedName name="OSRRefD22_3x_0" localSheetId="81">'420'!$D$38</definedName>
    <definedName name="OSRRefD22_3x_0" localSheetId="86">'423'!$D$44</definedName>
    <definedName name="OSRRefD22_3x_0" localSheetId="87">'424'!$D$48</definedName>
    <definedName name="OSRRefD22_3x_0" localSheetId="88">'425'!$D$50</definedName>
    <definedName name="OSRRefD22_3x_0" localSheetId="91">'430'!$D$43</definedName>
    <definedName name="OSRRefD22_3x_0" localSheetId="92">'433'!$D$51</definedName>
    <definedName name="OSRRefD22_3x_0" localSheetId="93">'435'!$D$49</definedName>
    <definedName name="OSRRefD22_3x_0" localSheetId="94">'444'!$D$51</definedName>
    <definedName name="OSRRefD22_3x_0" localSheetId="95">'450'!$D$51:$D$52</definedName>
    <definedName name="OSRRefD22_3x_0" localSheetId="76">'491'!$D$58</definedName>
    <definedName name="OSRRefD22_3x_0" localSheetId="90">'492'!$D$53:$D$54</definedName>
    <definedName name="OSRRefD22_3x_0" localSheetId="97">'501'!$D$44</definedName>
    <definedName name="OSRRefD22_3x_0" localSheetId="39">'Div 2'!$D$46</definedName>
    <definedName name="OSRRefD22_3x_0" localSheetId="47">'Div 3'!$D$192:$D$193</definedName>
    <definedName name="OSRRefD22_3x_0" localSheetId="74">'Div 4'!$D$59:$D$60</definedName>
    <definedName name="OSRRefD22_3x_0" localSheetId="96">'Div 5'!$D$44</definedName>
    <definedName name="OSRRefD22_3x_0" localSheetId="64">'Div 6'!$D$84</definedName>
    <definedName name="OSRRefD22_3x_0" localSheetId="2">Summary!$D$224:$D$225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'300'!$D$189</definedName>
    <definedName name="OSRRefD22_4x_0" localSheetId="49">'300 &amp; 317'!$D$214</definedName>
    <definedName name="OSRRefD22_4x_0" localSheetId="50">'301'!$D$46</definedName>
    <definedName name="OSRRefD22_4x_0" localSheetId="51">'306'!$D$45</definedName>
    <definedName name="OSRRefD22_4x_0" localSheetId="53">'307'!$D$97:$D$98</definedName>
    <definedName name="OSRRefD22_4x_0" localSheetId="55">'308'!$D$91</definedName>
    <definedName name="OSRRefD22_4x_0" localSheetId="68">'309'!$D$51</definedName>
    <definedName name="OSRRefD22_4x_0" localSheetId="67">'310'!$D$58</definedName>
    <definedName name="OSRRefD22_4x_0" localSheetId="75">'310 &amp; 491'!$D$66</definedName>
    <definedName name="OSRRefD22_4x_0" localSheetId="56">'311'!$D$91</definedName>
    <definedName name="OSRRefD22_4x_0" localSheetId="69">'313'!$D$54</definedName>
    <definedName name="OSRRefD22_4x_0" localSheetId="54">'314'!$D$83</definedName>
    <definedName name="OSRRefD22_4x_0" localSheetId="59">'315'!$D$83</definedName>
    <definedName name="OSRRefD22_4x_0" localSheetId="62">'316'!$D$58</definedName>
    <definedName name="OSRRefD22_4x_0" localSheetId="65">'317'!$D$86</definedName>
    <definedName name="OSRRefD22_4x_0" localSheetId="63">'320'!$D$55:$D$56</definedName>
    <definedName name="OSRRefD22_4x_0" localSheetId="70">'321'!$D$50</definedName>
    <definedName name="OSRRefD22_4x_0" localSheetId="71">'322'!$D$51</definedName>
    <definedName name="OSRRefD22_4x_0" localSheetId="72">'325'!$D$51</definedName>
    <definedName name="OSRRefD22_4x_0" localSheetId="60">'326'!$D$81</definedName>
    <definedName name="OSRRefD22_4x_0" localSheetId="52">'330'!$D$105:$D$106</definedName>
    <definedName name="OSRRefD22_4x_0" localSheetId="58">'331'!$D$96</definedName>
    <definedName name="OSRRefD22_4x_0" localSheetId="61">'332'!$D$67</definedName>
    <definedName name="OSRRefD22_4x_0" localSheetId="77">'405'!$D$51</definedName>
    <definedName name="OSRRefD22_4x_0" localSheetId="78">'406'!$D$52</definedName>
    <definedName name="OSRRefD22_4x_0" localSheetId="79">'411'!$D$49</definedName>
    <definedName name="OSRRefD22_4x_0" localSheetId="80">'412'!$D$51</definedName>
    <definedName name="OSRRefD22_4x_0" localSheetId="82">'413'!$D$52</definedName>
    <definedName name="OSRRefD22_4x_0" localSheetId="83">'414'!$D$52</definedName>
    <definedName name="OSRRefD22_4x_0" localSheetId="84">'415'!$D$51</definedName>
    <definedName name="OSRRefD22_4x_0" localSheetId="85">'418'!$D$52</definedName>
    <definedName name="OSRRefD22_4x_0" localSheetId="81">'420'!$D$40:$D$41</definedName>
    <definedName name="OSRRefD22_4x_0" localSheetId="86">'423'!$D$46</definedName>
    <definedName name="OSRRefD22_4x_0" localSheetId="87">'424'!$D$50</definedName>
    <definedName name="OSRRefD22_4x_0" localSheetId="88">'425'!$D$52</definedName>
    <definedName name="OSRRefD22_4x_0" localSheetId="91">'430'!$D$45</definedName>
    <definedName name="OSRRefD22_4x_0" localSheetId="92">'433'!$D$53</definedName>
    <definedName name="OSRRefD22_4x_0" localSheetId="93">'435'!$D$51</definedName>
    <definedName name="OSRRefD22_4x_0" localSheetId="94">'444'!$D$53</definedName>
    <definedName name="OSRRefD22_4x_0" localSheetId="95">'450'!$D$54</definedName>
    <definedName name="OSRRefD22_4x_0" localSheetId="76">'491'!$D$60</definedName>
    <definedName name="OSRRefD22_4x_0" localSheetId="90">'492'!$D$56</definedName>
    <definedName name="OSRRefD22_4x_0" localSheetId="97">'501'!$D$46</definedName>
    <definedName name="OSRRefD22_4x_0" localSheetId="39">'Div 2'!$D$48</definedName>
    <definedName name="OSRRefD22_4x_0" localSheetId="47">'Div 3'!$D$195</definedName>
    <definedName name="OSRRefD22_4x_0" localSheetId="74">'Div 4'!$D$62</definedName>
    <definedName name="OSRRefD22_4x_0" localSheetId="96">'Div 5'!$D$46</definedName>
    <definedName name="OSRRefD22_4x_0" localSheetId="64">'Div 6'!$D$86</definedName>
    <definedName name="OSRRefD22_4x_0" localSheetId="2">Summary!$D$227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'205'!$D$47:$D$48</definedName>
    <definedName name="OSRRefD22_5x_0" localSheetId="46">'206'!$D$47</definedName>
    <definedName name="OSRRefD22_5x_0" localSheetId="48">'300'!$D$191:$D$194</definedName>
    <definedName name="OSRRefD22_5x_0" localSheetId="49">'300 &amp; 317'!$D$216:$D$219</definedName>
    <definedName name="OSRRefD22_5x_0" localSheetId="50">'301'!$D$48:$D$51</definedName>
    <definedName name="OSRRefD22_5x_0" localSheetId="51">'306'!$D$47</definedName>
    <definedName name="OSRRefD22_5x_0" localSheetId="53">'307'!$D$100</definedName>
    <definedName name="OSRRefD22_5x_0" localSheetId="55">'308'!$D$93</definedName>
    <definedName name="OSRRefD22_5x_0" localSheetId="68">'309'!$D$53:$D$54</definedName>
    <definedName name="OSRRefD22_5x_0" localSheetId="67">'310'!$D$60:$D$62</definedName>
    <definedName name="OSRRefD22_5x_0" localSheetId="75">'310 &amp; 491'!$D$68:$D$71</definedName>
    <definedName name="OSRRefD22_5x_0" localSheetId="56">'311'!$D$93</definedName>
    <definedName name="OSRRefD22_5x_0" localSheetId="69">'313'!$D$56</definedName>
    <definedName name="OSRRefD22_5x_0" localSheetId="54">'314'!$D$85</definedName>
    <definedName name="OSRRefD22_5x_0" localSheetId="59">'315'!$D$85:$D$86</definedName>
    <definedName name="OSRRefD22_5x_0" localSheetId="62">'316'!$D$60</definedName>
    <definedName name="OSRRefD22_5x_0" localSheetId="65">'317'!$D$88</definedName>
    <definedName name="OSRRefD22_5x_0" localSheetId="63">'320'!$D$58</definedName>
    <definedName name="OSRRefD22_5x_0" localSheetId="70">'321'!$D$52</definedName>
    <definedName name="OSRRefD22_5x_0" localSheetId="71">'322'!$D$53:$D$54</definedName>
    <definedName name="OSRRefD22_5x_0" localSheetId="72">'325'!$D$53:$D$55</definedName>
    <definedName name="OSRRefD22_5x_0" localSheetId="60">'326'!$D$83</definedName>
    <definedName name="OSRRefD22_5x_0" localSheetId="52">'330'!$D$108</definedName>
    <definedName name="OSRRefD22_5x_0" localSheetId="58">'331'!$D$98:$D$99</definedName>
    <definedName name="OSRRefD22_5x_0" localSheetId="61">'332'!$D$69</definedName>
    <definedName name="OSRRefD22_5x_0" localSheetId="77">'405'!$D$53:$D$55</definedName>
    <definedName name="OSRRefD22_5x_0" localSheetId="78">'406'!$D$54:$D$55</definedName>
    <definedName name="OSRRefD22_5x_0" localSheetId="79">'411'!$D$51</definedName>
    <definedName name="OSRRefD22_5x_0" localSheetId="80">'412'!$D$53:$D$55</definedName>
    <definedName name="OSRRefD22_5x_0" localSheetId="82">'413'!$D$54</definedName>
    <definedName name="OSRRefD22_5x_0" localSheetId="83">'414'!$D$54:$D$55</definedName>
    <definedName name="OSRRefD22_5x_0" localSheetId="84">'415'!$D$53:$D$55</definedName>
    <definedName name="OSRRefD22_5x_0" localSheetId="85">'418'!$D$54:$D$56</definedName>
    <definedName name="OSRRefD22_5x_0" localSheetId="81">'420'!$D$43</definedName>
    <definedName name="OSRRefD22_5x_0" localSheetId="86">'423'!$D$48</definedName>
    <definedName name="OSRRefD22_5x_0" localSheetId="87">'424'!$D$52</definedName>
    <definedName name="OSRRefD22_5x_0" localSheetId="88">'425'!$D$54:$D$55</definedName>
    <definedName name="OSRRefD22_5x_0" localSheetId="91">'430'!$D$47</definedName>
    <definedName name="OSRRefD22_5x_0" localSheetId="92">'433'!$D$55</definedName>
    <definedName name="OSRRefD22_5x_0" localSheetId="93">'435'!$D$53</definedName>
    <definedName name="OSRRefD22_5x_0" localSheetId="94">'444'!$D$55</definedName>
    <definedName name="OSRRefD22_5x_0" localSheetId="95">'450'!$D$56</definedName>
    <definedName name="OSRRefD22_5x_0" localSheetId="76">'491'!$D$62:$D$65</definedName>
    <definedName name="OSRRefD22_5x_0" localSheetId="90">'492'!$D$58:$D$59</definedName>
    <definedName name="OSRRefD22_5x_0" localSheetId="97">'501'!$D$48</definedName>
    <definedName name="OSRRefD22_5x_0" localSheetId="39">'Div 2'!$D$50:$D$51</definedName>
    <definedName name="OSRRefD22_5x_0" localSheetId="47">'Div 3'!$D$197:$D$200</definedName>
    <definedName name="OSRRefD22_5x_0" localSheetId="74">'Div 4'!$D$64:$D$67</definedName>
    <definedName name="OSRRefD22_5x_0" localSheetId="96">'Div 5'!$D$48</definedName>
    <definedName name="OSRRefD22_5x_0" localSheetId="64">'Div 6'!$D$88</definedName>
    <definedName name="OSRRefD22_5x_0" localSheetId="2">Summary!$D$229:$D$232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'205'!$D$50</definedName>
    <definedName name="OSRRefD22_6x_0" localSheetId="46">'206'!$D$49</definedName>
    <definedName name="OSRRefD22_6x_0" localSheetId="48">'300'!$D$196:$D$197</definedName>
    <definedName name="OSRRefD22_6x_0" localSheetId="49">'300 &amp; 317'!$D$221:$D$222</definedName>
    <definedName name="OSRRefD22_6x_0" localSheetId="50">'301'!$D$53:$D$54</definedName>
    <definedName name="OSRRefD22_6x_0" localSheetId="51">'306'!$D$49</definedName>
    <definedName name="OSRRefD22_6x_0" localSheetId="53">'307'!$D$102</definedName>
    <definedName name="OSRRefD22_6x_0" localSheetId="55">'308'!$D$95:$D$96</definedName>
    <definedName name="OSRRefD22_6x_0" localSheetId="68">'309'!$D$56</definedName>
    <definedName name="OSRRefD22_6x_0" localSheetId="67">'310'!$D$64</definedName>
    <definedName name="OSRRefD22_6x_0" localSheetId="75">'310 &amp; 491'!$D$73</definedName>
    <definedName name="OSRRefD22_6x_0" localSheetId="56">'311'!$D$95:$D$96</definedName>
    <definedName name="OSRRefD22_6x_0" localSheetId="69">'313'!$D$58</definedName>
    <definedName name="OSRRefD22_6x_0" localSheetId="54">'314'!$D$87</definedName>
    <definedName name="OSRRefD22_6x_0" localSheetId="59">'315'!$D$88</definedName>
    <definedName name="OSRRefD22_6x_0" localSheetId="62">'316'!$D$62</definedName>
    <definedName name="OSRRefD22_6x_0" localSheetId="65">'317'!$D$90</definedName>
    <definedName name="OSRRefD22_6x_0" localSheetId="63">'320'!$D$60</definedName>
    <definedName name="OSRRefD22_6x_0" localSheetId="70">'321'!$D$54</definedName>
    <definedName name="OSRRefD22_6x_0" localSheetId="71">'322'!$D$56</definedName>
    <definedName name="OSRRefD22_6x_0" localSheetId="72">'325'!$D$57</definedName>
    <definedName name="OSRRefD22_6x_0" localSheetId="60">'326'!$D$85</definedName>
    <definedName name="OSRRefD22_6x_0" localSheetId="52">'330'!$D$110</definedName>
    <definedName name="OSRRefD22_6x_0" localSheetId="58">'331'!$D$101</definedName>
    <definedName name="OSRRefD22_6x_0" localSheetId="61">'332'!$D$71</definedName>
    <definedName name="OSRRefD22_6x_0" localSheetId="77">'405'!$D$57</definedName>
    <definedName name="OSRRefD22_6x_0" localSheetId="78">'406'!$D$57</definedName>
    <definedName name="OSRRefD22_6x_0" localSheetId="79">'411'!$D$53</definedName>
    <definedName name="OSRRefD22_6x_0" localSheetId="80">'412'!$D$57</definedName>
    <definedName name="OSRRefD22_6x_0" localSheetId="82">'413'!$D$56</definedName>
    <definedName name="OSRRefD22_6x_0" localSheetId="83">'414'!$D$57</definedName>
    <definedName name="OSRRefD22_6x_0" localSheetId="84">'415'!$D$57</definedName>
    <definedName name="OSRRefD22_6x_0" localSheetId="85">'418'!$D$58</definedName>
    <definedName name="OSRRefD22_6x_0" localSheetId="87">'424'!$D$54</definedName>
    <definedName name="OSRRefD22_6x_0" localSheetId="88">'425'!$D$57</definedName>
    <definedName name="OSRRefD22_6x_0" localSheetId="91">'430'!$D$49</definedName>
    <definedName name="OSRRefD22_6x_0" localSheetId="92">'433'!$D$57</definedName>
    <definedName name="OSRRefD22_6x_0" localSheetId="93">'435'!$D$55:$D$57</definedName>
    <definedName name="OSRRefD22_6x_0" localSheetId="94">'444'!$D$57</definedName>
    <definedName name="OSRRefD22_6x_0" localSheetId="95">'450'!$D$58</definedName>
    <definedName name="OSRRefD22_6x_0" localSheetId="76">'491'!$D$67</definedName>
    <definedName name="OSRRefD22_6x_0" localSheetId="90">'492'!$D$61</definedName>
    <definedName name="OSRRefD22_6x_0" localSheetId="97">'501'!$D$50</definedName>
    <definedName name="OSRRefD22_6x_0" localSheetId="39">'Div 2'!$D$53:$D$54</definedName>
    <definedName name="OSRRefD22_6x_0" localSheetId="47">'Div 3'!$D$202:$D$203</definedName>
    <definedName name="OSRRefD22_6x_0" localSheetId="74">'Div 4'!$D$69:$D$70</definedName>
    <definedName name="OSRRefD22_6x_0" localSheetId="96">'Div 5'!$D$50</definedName>
    <definedName name="OSRRefD22_6x_0" localSheetId="64">'Div 6'!$D$90</definedName>
    <definedName name="OSRRefD22_6x_0" localSheetId="2">Summary!$D$234:$D$235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'205'!$D$52:$D$53</definedName>
    <definedName name="OSRRefD22_7x_0" localSheetId="46">'206'!$D$51:$D$52</definedName>
    <definedName name="OSRRefD22_7x_0" localSheetId="48">'300'!$D$199:$D$200</definedName>
    <definedName name="OSRRefD22_7x_0" localSheetId="49">'300 &amp; 317'!$D$224:$D$225</definedName>
    <definedName name="OSRRefD22_7x_0" localSheetId="50">'301'!$D$56:$D$57</definedName>
    <definedName name="OSRRefD22_7x_0" localSheetId="51">'306'!$D$51:$D$52</definedName>
    <definedName name="OSRRefD22_7x_0" localSheetId="53">'307'!$D$104</definedName>
    <definedName name="OSRRefD22_7x_0" localSheetId="55">'308'!$D$98</definedName>
    <definedName name="OSRRefD22_7x_0" localSheetId="68">'309'!$D$58</definedName>
    <definedName name="OSRRefD22_7x_0" localSheetId="67">'310'!$D$66</definedName>
    <definedName name="OSRRefD22_7x_0" localSheetId="75">'310 &amp; 491'!$D$75</definedName>
    <definedName name="OSRRefD22_7x_0" localSheetId="56">'311'!$D$98</definedName>
    <definedName name="OSRRefD22_7x_0" localSheetId="69">'313'!$D$60</definedName>
    <definedName name="OSRRefD22_7x_0" localSheetId="54">'314'!$D$89</definedName>
    <definedName name="OSRRefD22_7x_0" localSheetId="59">'315'!$D$90</definedName>
    <definedName name="OSRRefD22_7x_0" localSheetId="62">'316'!$D$64</definedName>
    <definedName name="OSRRefD22_7x_0" localSheetId="65">'317'!$D$92</definedName>
    <definedName name="OSRRefD22_7x_0" localSheetId="63">'320'!$D$62:$D$63</definedName>
    <definedName name="OSRRefD22_7x_0" localSheetId="70">'321'!$D$56</definedName>
    <definedName name="OSRRefD22_7x_0" localSheetId="71">'322'!$D$58</definedName>
    <definedName name="OSRRefD22_7x_0" localSheetId="72">'325'!$D$59</definedName>
    <definedName name="OSRRefD22_7x_0" localSheetId="60">'326'!$D$87</definedName>
    <definedName name="OSRRefD22_7x_0" localSheetId="52">'330'!$D$112</definedName>
    <definedName name="OSRRefD22_7x_0" localSheetId="58">'331'!$D$103</definedName>
    <definedName name="OSRRefD22_7x_0" localSheetId="61">'332'!$D$73:$D$74</definedName>
    <definedName name="OSRRefD22_7x_0" localSheetId="77">'405'!$D$59</definedName>
    <definedName name="OSRRefD22_7x_0" localSheetId="78">'406'!$D$59</definedName>
    <definedName name="OSRRefD22_7x_0" localSheetId="79">'411'!$D$55</definedName>
    <definedName name="OSRRefD22_7x_0" localSheetId="80">'412'!$D$59</definedName>
    <definedName name="OSRRefD22_7x_0" localSheetId="82">'413'!$D$58</definedName>
    <definedName name="OSRRefD22_7x_0" localSheetId="83">'414'!$D$59</definedName>
    <definedName name="OSRRefD22_7x_0" localSheetId="84">'415'!$D$59</definedName>
    <definedName name="OSRRefD22_7x_0" localSheetId="85">'418'!$D$60</definedName>
    <definedName name="OSRRefD22_7x_0" localSheetId="87">'424'!$D$56:$D$57</definedName>
    <definedName name="OSRRefD22_7x_0" localSheetId="88">'425'!$D$59</definedName>
    <definedName name="OSRRefD22_7x_0" localSheetId="91">'430'!$D$51:$D$53</definedName>
    <definedName name="OSRRefD22_7x_0" localSheetId="92">'433'!$D$59</definedName>
    <definedName name="OSRRefD22_7x_0" localSheetId="93">'435'!$D$59</definedName>
    <definedName name="OSRRefD22_7x_0" localSheetId="94">'444'!$D$59</definedName>
    <definedName name="OSRRefD22_7x_0" localSheetId="95">'450'!$D$60</definedName>
    <definedName name="OSRRefD22_7x_0" localSheetId="76">'491'!$D$69</definedName>
    <definedName name="OSRRefD22_7x_0" localSheetId="90">'492'!$D$63</definedName>
    <definedName name="OSRRefD22_7x_0" localSheetId="97">'501'!$D$52</definedName>
    <definedName name="OSRRefD22_7x_0" localSheetId="39">'Div 2'!$D$56</definedName>
    <definedName name="OSRRefD22_7x_0" localSheetId="47">'Div 3'!$D$205:$D$206</definedName>
    <definedName name="OSRRefD22_7x_0" localSheetId="74">'Div 4'!$D$72</definedName>
    <definedName name="OSRRefD22_7x_0" localSheetId="96">'Div 5'!$D$52</definedName>
    <definedName name="OSRRefD22_7x_0" localSheetId="64">'Div 6'!$D$92</definedName>
    <definedName name="OSRRefD22_7x_0" localSheetId="2">Summary!$D$237:$D$239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'205'!$D$55</definedName>
    <definedName name="OSRRefD22_8x_0" localSheetId="46">'206'!$D$54</definedName>
    <definedName name="OSRRefD22_8x_0" localSheetId="48">'300'!$D$202</definedName>
    <definedName name="OSRRefD22_8x_0" localSheetId="49">'300 &amp; 317'!$D$227</definedName>
    <definedName name="OSRRefD22_8x_0" localSheetId="50">'301'!$D$59</definedName>
    <definedName name="OSRRefD22_8x_0" localSheetId="51">'306'!$D$54:$D$57</definedName>
    <definedName name="OSRRefD22_8x_0" localSheetId="53">'307'!$D$106:$D$107</definedName>
    <definedName name="OSRRefD22_8x_0" localSheetId="55">'308'!$D$100</definedName>
    <definedName name="OSRRefD22_8x_0" localSheetId="68">'309'!$D$60</definedName>
    <definedName name="OSRRefD22_8x_0" localSheetId="67">'310'!$D$68</definedName>
    <definedName name="OSRRefD22_8x_0" localSheetId="75">'310 &amp; 491'!$D$77</definedName>
    <definedName name="OSRRefD22_8x_0" localSheetId="56">'311'!$D$100</definedName>
    <definedName name="OSRRefD22_8x_0" localSheetId="69">'313'!$D$62</definedName>
    <definedName name="OSRRefD22_8x_0" localSheetId="54">'314'!$D$91</definedName>
    <definedName name="OSRRefD22_8x_0" localSheetId="59">'315'!$D$92</definedName>
    <definedName name="OSRRefD22_8x_0" localSheetId="62">'316'!$D$66</definedName>
    <definedName name="OSRRefD22_8x_0" localSheetId="65">'317'!$D$94</definedName>
    <definedName name="OSRRefD22_8x_0" localSheetId="63">'320'!$D$65</definedName>
    <definedName name="OSRRefD22_8x_0" localSheetId="70">'321'!$D$58</definedName>
    <definedName name="OSRRefD22_8x_0" localSheetId="71">'322'!$D$60</definedName>
    <definedName name="OSRRefD22_8x_0" localSheetId="72">'325'!$D$61</definedName>
    <definedName name="OSRRefD22_8x_0" localSheetId="60">'326'!$D$89</definedName>
    <definedName name="OSRRefD22_8x_0" localSheetId="52">'330'!$D$114</definedName>
    <definedName name="OSRRefD22_8x_0" localSheetId="58">'331'!$D$105:$D$106</definedName>
    <definedName name="OSRRefD22_8x_0" localSheetId="61">'332'!$D$76</definedName>
    <definedName name="OSRRefD22_8x_0" localSheetId="77">'405'!$D$61</definedName>
    <definedName name="OSRRefD22_8x_0" localSheetId="78">'406'!$D$61</definedName>
    <definedName name="OSRRefD22_8x_0" localSheetId="79">'411'!$D$57</definedName>
    <definedName name="OSRRefD22_8x_0" localSheetId="80">'412'!$D$61</definedName>
    <definedName name="OSRRefD22_8x_0" localSheetId="82">'413'!$D$60:$D$62</definedName>
    <definedName name="OSRRefD22_8x_0" localSheetId="83">'414'!$D$61</definedName>
    <definedName name="OSRRefD22_8x_0" localSheetId="84">'415'!$D$61</definedName>
    <definedName name="OSRRefD22_8x_0" localSheetId="85">'418'!$D$62</definedName>
    <definedName name="OSRRefD22_8x_0" localSheetId="87">'424'!$D$59:$D$60</definedName>
    <definedName name="OSRRefD22_8x_0" localSheetId="88">'425'!$D$61</definedName>
    <definedName name="OSRRefD22_8x_0" localSheetId="91">'430'!$D$55</definedName>
    <definedName name="OSRRefD22_8x_0" localSheetId="92">'433'!$D$61</definedName>
    <definedName name="OSRRefD22_8x_0" localSheetId="94">'444'!$D$61</definedName>
    <definedName name="OSRRefD22_8x_0" localSheetId="95">'450'!$D$62</definedName>
    <definedName name="OSRRefD22_8x_0" localSheetId="76">'491'!$D$71</definedName>
    <definedName name="OSRRefD22_8x_0" localSheetId="90">'492'!$D$65</definedName>
    <definedName name="OSRRefD22_8x_0" localSheetId="97">'501'!$D$54</definedName>
    <definedName name="OSRRefD22_8x_0" localSheetId="39">'Div 2'!$D$58</definedName>
    <definedName name="OSRRefD22_8x_0" localSheetId="47">'Div 3'!$D$208</definedName>
    <definedName name="OSRRefD22_8x_0" localSheetId="74">'Div 4'!$D$74</definedName>
    <definedName name="OSRRefD22_8x_0" localSheetId="96">'Div 5'!$D$54</definedName>
    <definedName name="OSRRefD22_8x_0" localSheetId="64">'Div 6'!$D$94</definedName>
    <definedName name="OSRRefD22_8x_0" localSheetId="2">Summary!$D$241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'204'!$D$61</definedName>
    <definedName name="OSRRefD22_9x_0" localSheetId="45">'205'!$D$57</definedName>
    <definedName name="OSRRefD22_9x_0" localSheetId="46">'206'!$D$56</definedName>
    <definedName name="OSRRefD22_9x_0" localSheetId="48">'300'!$D$204</definedName>
    <definedName name="OSRRefD22_9x_0" localSheetId="49">'300 &amp; 317'!$D$229</definedName>
    <definedName name="OSRRefD22_9x_0" localSheetId="50">'301'!$D$61</definedName>
    <definedName name="OSRRefD22_9x_0" localSheetId="51">'306'!$D$59</definedName>
    <definedName name="OSRRefD22_9x_0" localSheetId="53">'307'!$D$109:$D$110</definedName>
    <definedName name="OSRRefD22_9x_0" localSheetId="55">'308'!$D$102:$D$104</definedName>
    <definedName name="OSRRefD22_9x_0" localSheetId="68">'309'!$D$62:$D$63</definedName>
    <definedName name="OSRRefD22_9x_0" localSheetId="67">'310'!$D$70</definedName>
    <definedName name="OSRRefD22_9x_0" localSheetId="75">'310 &amp; 491'!$D$79</definedName>
    <definedName name="OSRRefD22_9x_0" localSheetId="56">'311'!$D$102:$D$104</definedName>
    <definedName name="OSRRefD22_9x_0" localSheetId="69">'313'!$D$64</definedName>
    <definedName name="OSRRefD22_9x_0" localSheetId="54">'314'!$D$93</definedName>
    <definedName name="OSRRefD22_9x_0" localSheetId="59">'315'!$D$94</definedName>
    <definedName name="OSRRefD22_9x_0" localSheetId="62">'316'!$D$68:$D$69</definedName>
    <definedName name="OSRRefD22_9x_0" localSheetId="65">'317'!$D$96:$D$97</definedName>
    <definedName name="OSRRefD22_9x_0" localSheetId="70">'321'!$D$60:$D$62</definedName>
    <definedName name="OSRRefD22_9x_0" localSheetId="71">'322'!$D$62:$D$64</definedName>
    <definedName name="OSRRefD22_9x_0" localSheetId="72">'325'!$D$63</definedName>
    <definedName name="OSRRefD22_9x_0" localSheetId="60">'326'!$D$91</definedName>
    <definedName name="OSRRefD22_9x_0" localSheetId="52">'330'!$D$116:$D$117</definedName>
    <definedName name="OSRRefD22_9x_0" localSheetId="58">'331'!$D$108</definedName>
    <definedName name="OSRRefD22_9x_0" localSheetId="61">'332'!$D$78</definedName>
    <definedName name="OSRRefD22_9x_0" localSheetId="77">'405'!$D$63</definedName>
    <definedName name="OSRRefD22_9x_0" localSheetId="78">'406'!$D$63:$D$65</definedName>
    <definedName name="OSRRefD22_9x_0" localSheetId="79">'411'!$D$59</definedName>
    <definedName name="OSRRefD22_9x_0" localSheetId="80">'412'!$D$63:$D$64</definedName>
    <definedName name="OSRRefD22_9x_0" localSheetId="82">'413'!$D$64</definedName>
    <definedName name="OSRRefD22_9x_0" localSheetId="83">'414'!$D$63:$D$64</definedName>
    <definedName name="OSRRefD22_9x_0" localSheetId="84">'415'!$D$63</definedName>
    <definedName name="OSRRefD22_9x_0" localSheetId="85">'418'!$D$64:$D$65</definedName>
    <definedName name="OSRRefD22_9x_0" localSheetId="87">'424'!$D$62</definedName>
    <definedName name="OSRRefD22_9x_0" localSheetId="88">'425'!$D$63:$D$65</definedName>
    <definedName name="OSRRefD22_9x_0" localSheetId="91">'430'!$D$57</definedName>
    <definedName name="OSRRefD22_9x_0" localSheetId="92">'433'!$D$63</definedName>
    <definedName name="OSRRefD22_9x_0" localSheetId="94">'444'!$D$63</definedName>
    <definedName name="OSRRefD22_9x_0" localSheetId="95">'450'!$D$64</definedName>
    <definedName name="OSRRefD22_9x_0" localSheetId="76">'491'!$D$73:$D$74</definedName>
    <definedName name="OSRRefD22_9x_0" localSheetId="90">'492'!$D$67</definedName>
    <definedName name="OSRRefD22_9x_0" localSheetId="97">'501'!$D$56</definedName>
    <definedName name="OSRRefD22_9x_0" localSheetId="39">'Div 2'!$D$60</definedName>
    <definedName name="OSRRefD22_9x_0" localSheetId="47">'Div 3'!$D$210</definedName>
    <definedName name="OSRRefD22_9x_0" localSheetId="74">'Div 4'!$D$76</definedName>
    <definedName name="OSRRefD22_9x_0" localSheetId="96">'Div 5'!$D$56</definedName>
    <definedName name="OSRRefD22_9x_0" localSheetId="64">'Div 6'!$D$96:$D$97</definedName>
    <definedName name="OSRRefD22_9x_0" localSheetId="2">Summary!$D$243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'204'!$D$21:$D$30,'204'!$D$32:$D$41,'204'!$D$43,'204'!$D$45:$D$46,'204'!$D$48,'204'!$D$50,'204'!$D$52,'204'!$D$54:$D$57,'204'!$D$59,'204'!$D$61,'204'!$D$63:$D$64,'204'!$D$66,'204'!$D$68:$D$69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$162:$D$171,'300'!$D$173:$D$182,'300'!$D$184,'300'!$D$186:$D$187,'300'!$D$189,'300'!$D$191:$D$194,'300'!$D$196:$D$197,'300'!$D$199:$D$200,'300'!$D$202,'300'!$D$204,'300'!$D$206:$D$207,'300'!$D$209,'300'!$D$211,'300'!$D$213,'300'!$D$215,'300'!$D$217,'300'!$D$219:$D$222,'300'!$D$224:$D$227,'300'!$D$229:$D$232,'300'!$D$234:$D$235,'300'!$D$237:$D$243,'300'!$D$245:$D$246,'300'!$D$248,'300'!$D$250:$D$252,'300'!$D$254</definedName>
    <definedName name="OSRRefD22x_0" localSheetId="49">'300 &amp; 317'!$D$187:$D$196,'300 &amp; 317'!$D$198:$D$207,'300 &amp; 317'!$D$209,'300 &amp; 317'!$D$211:$D$212,'300 &amp; 317'!$D$214,'300 &amp; 317'!$D$216:$D$219,'300 &amp; 317'!$D$221:$D$222,'300 &amp; 317'!$D$224:$D$225,'300 &amp; 317'!$D$227,'300 &amp; 317'!$D$229,'300 &amp; 317'!$D$231:$D$232,'300 &amp; 317'!$D$234,'300 &amp; 317'!$D$236,'300 &amp; 317'!$D$238,'300 &amp; 317'!$D$240,'300 &amp; 317'!$D$242,'300 &amp; 317'!$D$244:$D$247,'300 &amp; 317'!$D$249:$D$252,'300 &amp; 317'!$D$254:$D$257,'300 &amp; 317'!$D$259:$D$260,'300 &amp; 317'!$D$262:$D$268,'300 &amp; 317'!$D$270:$D$271,'300 &amp; 317'!$D$273,'300 &amp; 317'!$D$275:$D$277,'300 &amp; 317'!$D$279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$75,'301'!$D$77:$D$79,'301'!$D$81:$D$82,'301'!$D$84:$D$89,'301'!$D$91,'301'!$D$93,'301'!$D$95:$D$97,'301'!$D$99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'307'!$D$72:$D$80,'307'!$D$82:$D$91,'307'!$D$93,'307'!$D$95,'307'!$D$97:$D$98,'307'!$D$100,'307'!$D$102,'307'!$D$104,'307'!$D$106:$D$107,'307'!$D$109:$D$110,'307'!$D$112:$D$113,'307'!$D$115,'307'!$D$117</definedName>
    <definedName name="OSRRefD22x_0" localSheetId="55">'308'!$D$64:$D$73,'308'!$D$75:$D$84,'308'!$D$86,'308'!$D$88:$D$89,'308'!$D$91,'308'!$D$93,'308'!$D$95:$D$96,'308'!$D$98,'308'!$D$100,'308'!$D$102:$D$104,'308'!$D$106,'308'!$D$108:$D$110,'308'!$D$112:$D$113,'308'!$D$115,'308'!$D$117:$D$118</definedName>
    <definedName name="OSRRefD22x_0" localSheetId="68">'309'!$D$26:$D$34,'309'!$D$36:$D$45,'309'!$D$47,'309'!$D$49,'309'!$D$51,'309'!$D$53:$D$54,'309'!$D$56,'309'!$D$58,'309'!$D$60,'309'!$D$62:$D$63,'309'!$D$65:$D$67,'309'!$D$69:$D$71,'309'!$D$73,'309'!$D$75</definedName>
    <definedName name="OSRRefD22x_0" localSheetId="67">'310'!$D$33:$D$41,'310'!$D$43:$D$52,'310'!$D$54,'310'!$D$56,'310'!$D$58,'310'!$D$60:$D$62,'310'!$D$64,'310'!$D$66,'310'!$D$68,'310'!$D$70,'310'!$D$72,'310'!$D$74,'310'!$D$76,'310'!$D$78,'310'!$D$80,'310'!$D$82:$D$84,'310'!$D$86:$D$87,'310'!$D$89:$D$93,'310'!$D$95,'310'!$D$97:$D$104,'310'!$D$106,'310'!$D$108,'310'!$D$110,'310'!$D$112</definedName>
    <definedName name="OSRRefD22x_0" localSheetId="75">'310 &amp; 491'!$D$40:$D$49,'310 &amp; 491'!$D$51:$D$60,'310 &amp; 491'!$D$62,'310 &amp; 491'!$D$64,'310 &amp; 491'!$D$66,'310 &amp; 491'!$D$68:$D$71,'310 &amp; 491'!$D$73,'310 &amp; 491'!$D$75,'310 &amp; 491'!$D$77,'310 &amp; 491'!$D$79,'310 &amp; 491'!$D$81,'310 &amp; 491'!$D$83:$D$84,'310 &amp; 491'!$D$86,'310 &amp; 491'!$D$88,'310 &amp; 491'!$D$90,'310 &amp; 491'!$D$92,'310 &amp; 491'!$D$94,'310 &amp; 491'!$D$96:$D$99,'310 &amp; 491'!$D$101:$D$103,'310 &amp; 491'!$D$105:$D$110,'310 &amp; 491'!$D$112:$D$113,'310 &amp; 491'!$D$115:$D$124,'310 &amp; 491'!$D$126:$D$127,'310 &amp; 491'!$D$129,'310 &amp; 491'!$D$131:$D$133,'310 &amp; 491'!$D$135</definedName>
    <definedName name="OSRRefD22x_0" localSheetId="56">'311'!$D$64:$D$73,'311'!$D$75:$D$84,'311'!$D$86,'311'!$D$88:$D$89,'311'!$D$91,'311'!$D$93,'311'!$D$95:$D$96,'311'!$D$98,'311'!$D$100,'311'!$D$102:$D$104,'311'!$D$106,'311'!$D$108:$D$110,'311'!$D$112:$D$113,'311'!$D$115,'311'!$D$117:$D$118</definedName>
    <definedName name="OSRRefD22x_0" localSheetId="69">'313'!$D$29:$D$37,'313'!$D$39:$D$48,'313'!$D$50,'313'!$D$52,'313'!$D$54,'313'!$D$56,'313'!$D$58,'313'!$D$60,'313'!$D$62,'313'!$D$64,'313'!$D$66:$D$68,'313'!$D$70,'313'!$D$72:$D$76,'313'!$D$78,'313'!$D$80</definedName>
    <definedName name="OSRRefD22x_0" localSheetId="54">'314'!$D$58:$D$65,'314'!$D$67:$D$76,'314'!$D$78,'314'!$D$80:$D$81,'314'!$D$83,'314'!$D$85,'314'!$D$87,'314'!$D$89,'314'!$D$91,'314'!$D$93</definedName>
    <definedName name="OSRRefD22x_0" localSheetId="59">'315'!$D$57:$D$65,'315'!$D$67:$D$76,'315'!$D$78,'315'!$D$80:$D$81,'315'!$D$83,'315'!$D$85:$D$86,'315'!$D$88,'315'!$D$90,'315'!$D$92,'315'!$D$94,'315'!$D$96:$D$98,'315'!$D$100:$D$101,'315'!$D$103:$D$107,'315'!$D$109,'315'!$D$111,'315'!$D$113:$D$114</definedName>
    <definedName name="OSRRefD22x_0" localSheetId="62">'316'!$D$33:$D$41,'316'!$D$43:$D$52,'316'!$D$54,'316'!$D$56,'316'!$D$58,'316'!$D$60,'316'!$D$62,'316'!$D$64,'316'!$D$66,'316'!$D$68:$D$69,'316'!$D$71:$D$72,'316'!$D$74:$D$78,'316'!$D$80:$D$81,'316'!$D$83</definedName>
    <definedName name="OSRRefD22x_0" localSheetId="65">'317'!$D$60:$D$69,'317'!$D$71:$D$80,'317'!$D$82,'317'!$D$84,'317'!$D$86,'317'!$D$88,'317'!$D$90,'317'!$D$92,'317'!$D$94,'317'!$D$96:$D$97,'317'!$D$99:$D$100,'317'!$D$102,'317'!$D$104</definedName>
    <definedName name="OSRRefD22x_0" localSheetId="63">'320'!$D$31:$D$38,'320'!$D$40:$D$49,'320'!$D$51,'320'!$D$53,'320'!$D$55:$D$56,'320'!$D$58,'320'!$D$60,'320'!$D$62:$D$63,'320'!$D$65</definedName>
    <definedName name="OSRRefD22x_0" localSheetId="70">'321'!$D$26:$D$33,'321'!$D$35:$D$44,'321'!$D$46,'321'!$D$48,'321'!$D$50,'321'!$D$52,'321'!$D$54,'321'!$D$56,'321'!$D$58,'321'!$D$60:$D$62,'321'!$D$64:$D$65,'321'!$D$67:$D$69,'321'!$D$71:$D$73,'321'!$D$75,'321'!$D$77</definedName>
    <definedName name="OSRRefD22x_0" localSheetId="71">'322'!$D$26:$D$34,'322'!$D$36:$D$45,'322'!$D$47,'322'!$D$49,'322'!$D$51,'322'!$D$53:$D$54,'322'!$D$56,'322'!$D$58,'322'!$D$60,'322'!$D$62:$D$64,'322'!$D$66:$D$68,'322'!$D$70:$D$74,'322'!$D$76,'322'!$D$78</definedName>
    <definedName name="OSRRefD22x_0" localSheetId="72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0">'326'!$D$55:$D$63,'326'!$D$65:$D$74,'326'!$D$76,'326'!$D$78:$D$79,'326'!$D$81,'326'!$D$83,'326'!$D$85,'326'!$D$87,'326'!$D$89,'326'!$D$91,'326'!$D$93,'326'!$D$95,'326'!$D$97,'326'!$D$99:$D$100,'326'!$D$102:$D$104,'326'!$D$106:$D$107,'326'!$D$109:$D$113,'326'!$D$115:$D$116,'326'!$D$118,'326'!$D$120,'326'!$D$122</definedName>
    <definedName name="OSRRefD22x_0" localSheetId="73">'327'!$D$24,'327'!$D$26,'327'!$D$28</definedName>
    <definedName name="OSRRefD22x_0" localSheetId="52">'330'!$D$80:$D$88,'330'!$D$90:$D$99,'330'!$D$101,'330'!$D$103,'330'!$D$105:$D$106,'330'!$D$108,'330'!$D$110,'330'!$D$112,'330'!$D$114,'330'!$D$116:$D$117,'330'!$D$119:$D$120,'330'!$D$122,'330'!$D$124:$D$125,'330'!$D$127,'330'!$D$129,'330'!$D$131</definedName>
    <definedName name="OSRRefD22x_0" localSheetId="58">'331'!$D$70:$D$78,'331'!$D$80:$D$89,'331'!$D$91,'331'!$D$93:$D$94,'331'!$D$96,'331'!$D$98:$D$99,'331'!$D$101,'331'!$D$103,'331'!$D$105:$D$106,'331'!$D$108,'331'!$D$110,'331'!$D$112,'331'!$D$114,'331'!$D$116,'331'!$D$118:$D$119,'331'!$D$121:$D$123,'331'!$D$125:$D$127,'331'!$D$129:$D$130,'331'!$D$132:$D$137,'331'!$D$139:$D$140,'331'!$D$142,'331'!$D$144:$D$145,'331'!$D$147</definedName>
    <definedName name="OSRRefD22x_0" localSheetId="61">'332'!$D$42:$D$50,'332'!$D$52:$D$61,'332'!$D$63,'332'!$D$65,'332'!$D$67,'332'!$D$69,'332'!$D$71,'332'!$D$73:$D$74,'332'!$D$76,'332'!$D$78,'332'!$D$80:$D$81,'332'!$D$83:$D$84,'332'!$D$86:$D$90,'332'!$D$92:$D$93,'332'!$D$95</definedName>
    <definedName name="OSRRefD22x_0" localSheetId="77">'405'!$D$26:$D$34,'405'!$D$36:$D$45,'405'!$D$47,'405'!$D$49,'405'!$D$51,'405'!$D$53:$D$55,'405'!$D$57,'405'!$D$59,'405'!$D$61,'405'!$D$63,'405'!$D$65,'405'!$D$67:$D$69,'405'!$D$71,'405'!$D$73:$D$75,'405'!$D$77:$D$78,'405'!$D$80:$D$88,'405'!$D$90,'405'!$D$92,'405'!$D$94</definedName>
    <definedName name="OSRRefD22x_0" localSheetId="78">'406'!$D$27:$D$35,'406'!$D$37:$D$46,'406'!$D$48,'406'!$D$50,'406'!$D$52,'406'!$D$54:$D$55,'406'!$D$57,'406'!$D$59,'406'!$D$61,'406'!$D$63:$D$65,'406'!$D$67:$D$69,'406'!$D$71:$D$76,'406'!$D$78:$D$79,'406'!$D$81,'406'!$D$83</definedName>
    <definedName name="OSRRefD22x_0" localSheetId="79">'411'!$D$20:$D$29,'411'!$D$31:$D$40,'411'!$D$42,'411'!$D$44:$D$47,'411'!$D$49,'411'!$D$51,'411'!$D$53,'411'!$D$55,'411'!$D$57,'411'!$D$59,'411'!$D$61:$D$63,'411'!$D$65:$D$69,'411'!$D$71,'411'!$D$73:$D$79,'411'!$D$81,'411'!$D$83,'411'!$D$85:$D$87,'411'!$D$89</definedName>
    <definedName name="OSRRefD22x_0" localSheetId="80">'412'!$D$26:$D$34,'412'!$D$36:$D$45,'412'!$D$47,'412'!$D$49,'412'!$D$51,'412'!$D$53:$D$55,'412'!$D$57,'412'!$D$59,'412'!$D$61,'412'!$D$63:$D$64,'412'!$D$66,'412'!$D$68:$D$70,'412'!$D$72:$D$77,'412'!$D$79,'412'!$D$81</definedName>
    <definedName name="OSRRefD22x_0" localSheetId="82">'413'!$D$27:$D$35,'413'!$D$37:$D$46,'413'!$D$48,'413'!$D$50,'413'!$D$52,'413'!$D$54,'413'!$D$56,'413'!$D$58,'413'!$D$60:$D$62,'413'!$D$64,'413'!$D$66:$D$71,'413'!$D$73:$D$74,'413'!$D$76</definedName>
    <definedName name="OSRRefD22x_0" localSheetId="83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4">'415'!$D$26:$D$34,'415'!$D$36:$D$45,'415'!$D$47,'415'!$D$49,'415'!$D$51,'415'!$D$53:$D$55,'415'!$D$57,'415'!$D$59,'415'!$D$61,'415'!$D$63,'415'!$D$65,'415'!$D$67:$D$69,'415'!$D$71:$D$75,'415'!$D$77:$D$78,'415'!$D$80:$D$87,'415'!$D$89,'415'!$D$91,'415'!$D$93:$D$94,'415'!$D$96</definedName>
    <definedName name="OSRRefD22x_0" localSheetId="85">'418'!$D$27:$D$35,'418'!$D$37:$D$46,'418'!$D$48,'418'!$D$50,'418'!$D$52,'418'!$D$54:$D$56,'418'!$D$58,'418'!$D$60,'418'!$D$62,'418'!$D$64:$D$65,'418'!$D$67:$D$69,'418'!$D$71:$D$73,'418'!$D$75:$D$76,'418'!$D$78:$D$84,'418'!$D$86,'418'!$D$88,'418'!$D$90</definedName>
    <definedName name="OSRRefD22x_0" localSheetId="81">'420'!$D$23:$D$29,'420'!$D$31:$D$34,'420'!$D$36,'420'!$D$38,'420'!$D$40:$D$41,'420'!$D$43</definedName>
    <definedName name="OSRRefD22x_0" localSheetId="86">'423'!$D$21:$D$29,'423'!$D$31:$D$40,'423'!$D$42,'423'!$D$44,'423'!$D$46,'423'!$D$48</definedName>
    <definedName name="OSRRefD22x_0" localSheetId="87">'424'!$D$26:$D$33,'424'!$D$35:$D$44,'424'!$D$46,'424'!$D$48,'424'!$D$50,'424'!$D$52,'424'!$D$54,'424'!$D$56:$D$57,'424'!$D$59:$D$60,'424'!$D$62,'424'!$D$64:$D$67,'424'!$D$69:$D$70</definedName>
    <definedName name="OSRRefD22x_0" localSheetId="88">'425'!$D$27:$D$35,'425'!$D$37:$D$46,'425'!$D$48,'425'!$D$50,'425'!$D$52,'425'!$D$54:$D$55,'425'!$D$57,'425'!$D$59,'425'!$D$61,'425'!$D$63:$D$65,'425'!$D$67:$D$68,'425'!$D$70:$D$71,'425'!$D$73:$D$79,'425'!$D$81:$D$82,'425'!$D$84,'425'!$D$86</definedName>
    <definedName name="OSRRefD22x_0" localSheetId="91">'430'!$D$20:$D$28,'430'!$D$30:$D$39,'430'!$D$41,'430'!$D$43,'430'!$D$45,'430'!$D$47,'430'!$D$49,'430'!$D$51:$D$53,'430'!$D$55,'430'!$D$57,'430'!$D$59</definedName>
    <definedName name="OSRRefD22x_0" localSheetId="92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3">'435'!$D$27:$D$34,'435'!$D$36:$D$45,'435'!$D$47,'435'!$D$49,'435'!$D$51,'435'!$D$53,'435'!$D$55:$D$57,'435'!$D$59</definedName>
    <definedName name="OSRRefD22x_0" localSheetId="94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5">'450'!$D$27:$D$36,'450'!$D$38:$D$47,'450'!$D$49,'450'!$D$51:$D$52,'450'!$D$54,'450'!$D$56,'450'!$D$58,'450'!$D$60,'450'!$D$62,'450'!$D$64,'450'!$D$66,'450'!$D$68:$D$70,'450'!$D$72:$D$74,'450'!$D$76:$D$81,'450'!$D$83,'450'!$D$85,'450'!$D$87:$D$88</definedName>
    <definedName name="OSRRefD22x_0" localSheetId="89">'455'!$D$20:$D$27,'455'!$D$29:$D$38</definedName>
    <definedName name="OSRRefD22x_0" localSheetId="76">'491'!$D$34:$D$43,'491'!$D$45:$D$54,'491'!$D$56,'491'!$D$58,'491'!$D$60,'491'!$D$62:$D$65,'491'!$D$67,'491'!$D$69,'491'!$D$71,'491'!$D$73:$D$74,'491'!$D$76,'491'!$D$78,'491'!$D$80,'491'!$D$82,'491'!$D$84:$D$87,'491'!$D$89:$D$91,'491'!$D$93:$D$97,'491'!$D$99:$D$100,'491'!$D$102:$D$111,'491'!$D$113:$D$114,'491'!$D$116,'491'!$D$118:$D$120,'491'!$D$122</definedName>
    <definedName name="OSRRefD22x_0" localSheetId="90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7">'501'!$D$21:$D$29,'501'!$D$31:$D$40,'501'!$D$42,'501'!$D$44,'501'!$D$46,'501'!$D$48,'501'!$D$50,'501'!$D$52,'501'!$D$54,'501'!$D$56,'501'!$D$58:$D$60,'501'!$D$62:$D$64,'501'!$D$66,'501'!$D$68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2'!$D$86:$D$89,'Div 2'!$D$91:$D$92,'Div 2'!$D$94,'Div 2'!$D$96:$D$97</definedName>
    <definedName name="OSRRefD22x_0" localSheetId="47">'Div 3'!$D$168:$D$177,'Div 3'!$D$179:$D$188,'Div 3'!$D$190,'Div 3'!$D$192:$D$193,'Div 3'!$D$195,'Div 3'!$D$197:$D$200,'Div 3'!$D$202:$D$203,'Div 3'!$D$205:$D$206,'Div 3'!$D$208,'Div 3'!$D$210,'Div 3'!$D$212:$D$213,'Div 3'!$D$215,'Div 3'!$D$217,'Div 3'!$D$219,'Div 3'!$D$221,'Div 3'!$D$223,'Div 3'!$D$225,'Div 3'!$D$227,'Div 3'!$D$229:$D$232,'Div 3'!$D$234:$D$237,'Div 3'!$D$239:$D$244,'Div 3'!$D$246:$D$247,'Div 3'!$D$249:$D$256,'Div 3'!$D$258:$D$259,'Div 3'!$D$261,'Div 3'!$D$263:$D$265,'Div 3'!$D$267</definedName>
    <definedName name="OSRRefD22x_0" localSheetId="74">'Div 4'!$D$35:$D$44,'Div 4'!$D$46:$D$55,'Div 4'!$D$57,'Div 4'!$D$59:$D$60,'Div 4'!$D$62,'Div 4'!$D$64:$D$67,'Div 4'!$D$69:$D$70,'Div 4'!$D$72,'Div 4'!$D$74,'Div 4'!$D$76,'Div 4'!$D$78:$D$79,'Div 4'!$D$81,'Div 4'!$D$83,'Div 4'!$D$85,'Div 4'!$D$87,'Div 4'!$D$89,'Div 4'!$D$91:$D$94,'Div 4'!$D$96:$D$98,'Div 4'!$D$100:$D$104,'Div 4'!$D$106:$D$107,'Div 4'!$D$109:$D$118,'Div 4'!$D$120:$D$121,'Div 4'!$D$123,'Div 4'!$D$125:$D$127,'Div 4'!$D$129</definedName>
    <definedName name="OSRRefD22x_0" localSheetId="96">'Div 5'!$D$21:$D$29,'Div 5'!$D$31:$D$40,'Div 5'!$D$42,'Div 5'!$D$44,'Div 5'!$D$46,'Div 5'!$D$48,'Div 5'!$D$50,'Div 5'!$D$52,'Div 5'!$D$54,'Div 5'!$D$56,'Div 5'!$D$58:$D$60,'Div 5'!$D$62:$D$64,'Div 5'!$D$66,'Div 5'!$D$68</definedName>
    <definedName name="OSRRefD22x_0" localSheetId="64">'Div 6'!$D$60:$D$69,'Div 6'!$D$71:$D$80,'Div 6'!$D$82,'Div 6'!$D$84,'Div 6'!$D$86,'Div 6'!$D$88,'Div 6'!$D$90,'Div 6'!$D$92,'Div 6'!$D$94,'Div 6'!$D$96:$D$97,'Div 6'!$D$99:$D$100,'Div 6'!$D$102,'Div 6'!$D$104</definedName>
    <definedName name="OSRRefD22x_0" localSheetId="2">Summary!$D$200:$D$209,Summary!$D$211:$D$220,Summary!$D$222,Summary!$D$224:$D$225,Summary!$D$227,Summary!$D$229:$D$232,Summary!$D$234:$D$235,Summary!$D$237:$D$239,Summary!$D$241,Summary!$D$243,Summary!$D$245:$D$246,Summary!$D$248:$D$249,Summary!$D$251,Summary!$D$253,Summary!$D$255,Summary!$D$257,Summary!$D$259,Summary!$D$261,Summary!$D$263:$D$266,Summary!$D$268:$D$271,Summary!$D$273:$D$278,Summary!$D$280:$D$281,Summary!$D$283:$D$292,Summary!$D$294:$D$295,Summary!$D$297,Summary!$D$299:$D$301,Summary!$D$303</definedName>
    <definedName name="OSRRefD25x_0" localSheetId="48">'300'!$D$257:$D$265</definedName>
    <definedName name="OSRRefD25x_0" localSheetId="49">'300 &amp; 317'!$D$282:$D$293</definedName>
    <definedName name="OSRRefD25x_0" localSheetId="50">'301'!$D$102:$D$105</definedName>
    <definedName name="OSRRefD25x_0" localSheetId="53">'307'!$D$120</definedName>
    <definedName name="OSRRefD25x_0" localSheetId="55">'308'!$D$121:$D$124</definedName>
    <definedName name="OSRRefD25x_0" localSheetId="75">'310 &amp; 491'!$D$138:$D$141</definedName>
    <definedName name="OSRRefD25x_0" localSheetId="56">'311'!$D$121:$D$124</definedName>
    <definedName name="OSRRefD25x_0" localSheetId="59">'315'!$D$117:$D$119</definedName>
    <definedName name="OSRRefD25x_0" localSheetId="62">'316'!$D$86:$D$87</definedName>
    <definedName name="OSRRefD25x_0" localSheetId="65">'317'!$D$107:$D$110</definedName>
    <definedName name="OSRRefD25x_0" localSheetId="63">'320'!$D$68:$D$72</definedName>
    <definedName name="OSRRefD25x_0" localSheetId="52">'330'!$D$134</definedName>
    <definedName name="OSRRefD25x_0" localSheetId="58">'331'!$D$150:$D$152</definedName>
    <definedName name="OSRRefD25x_0" localSheetId="61">'332'!$D$98:$D$104</definedName>
    <definedName name="OSRRefD25x_0" localSheetId="79">'411'!$D$92:$D$93</definedName>
    <definedName name="OSRRefD25x_0" localSheetId="82">'413'!$D$79</definedName>
    <definedName name="OSRRefD25x_0" localSheetId="84">'415'!$D$99</definedName>
    <definedName name="OSRRefD25x_0" localSheetId="86">'423'!$D$51</definedName>
    <definedName name="OSRRefD25x_0" localSheetId="87">'424'!$D$73</definedName>
    <definedName name="OSRRefD25x_0" localSheetId="88">'425'!$D$89</definedName>
    <definedName name="OSRRefD25x_0" localSheetId="89">'455'!$D$41:$D$44</definedName>
    <definedName name="OSRRefD25x_0" localSheetId="76">'491'!$D$125:$D$128</definedName>
    <definedName name="OSRRefD25x_0" localSheetId="97">'501'!$D$71</definedName>
    <definedName name="OSRRefD25x_0" localSheetId="47">'Div 3'!$D$270:$D$278</definedName>
    <definedName name="OSRRefD25x_0" localSheetId="74">'Div 4'!$D$132:$D$135</definedName>
    <definedName name="OSRRefD25x_0" localSheetId="96">'Div 5'!$D$71</definedName>
    <definedName name="OSRRefD25x_0" localSheetId="64">'Div 6'!$D$107:$D$110</definedName>
    <definedName name="OSRRefD25x_0" localSheetId="2">Summary!$D$306:$D$318</definedName>
    <definedName name="OSRRefH13x_0" localSheetId="44">'204'!$H$13</definedName>
    <definedName name="OSRRefH13x_0" localSheetId="48">'300'!$H$13:$H$103</definedName>
    <definedName name="OSRRefH13x_0" localSheetId="49">'300 &amp; 317'!$H$13:$H$121</definedName>
    <definedName name="OSRRefH13x_0" localSheetId="53">'307'!$H$13:$H$43</definedName>
    <definedName name="OSRRefH13x_0" localSheetId="55">'308'!$H$13:$H$40</definedName>
    <definedName name="OSRRefH13x_0" localSheetId="68">'309'!$H$13:$H$15</definedName>
    <definedName name="OSRRefH13x_0" localSheetId="67">'310'!$H$13:$H$22</definedName>
    <definedName name="OSRRefH13x_0" localSheetId="75">'310 &amp; 491'!$H$13:$H$29</definedName>
    <definedName name="OSRRefH13x_0" localSheetId="56">'311'!$H$13:$H$40</definedName>
    <definedName name="OSRRefH13x_0" localSheetId="69">'313'!$H$13:$H$18</definedName>
    <definedName name="OSRRefH13x_0" localSheetId="54">'314'!$H$13:$H$34</definedName>
    <definedName name="OSRRefH13x_0" localSheetId="59">'315'!$H$13:$H$33</definedName>
    <definedName name="OSRRefH13x_0" localSheetId="62">'316'!$H$13:$H$25</definedName>
    <definedName name="OSRRefH13x_0" localSheetId="65">'317'!$H$13:$H$38</definedName>
    <definedName name="OSRRefH13x_0" localSheetId="63">'320'!$H$13:$H$17</definedName>
    <definedName name="OSRRefH13x_0" localSheetId="70">'321'!$H$13:$H$15</definedName>
    <definedName name="OSRRefH13x_0" localSheetId="71">'322'!$H$13:$H$15</definedName>
    <definedName name="OSRRefH13x_0" localSheetId="57">'324'!$H$13:$H$15</definedName>
    <definedName name="OSRRefH13x_0" localSheetId="72">'325'!$H$13:$H$15</definedName>
    <definedName name="OSRRefH13x_0" localSheetId="60">'326'!$H$13:$H$32</definedName>
    <definedName name="OSRRefH13x_0" localSheetId="73">'327'!$H$13:$H$14</definedName>
    <definedName name="OSRRefH13x_0" localSheetId="52">'330'!$H$13:$H$48</definedName>
    <definedName name="OSRRefH13x_0" localSheetId="58">'331'!$H$13:$H$40</definedName>
    <definedName name="OSRRefH13x_0" localSheetId="61">'332'!$H$13:$H$28</definedName>
    <definedName name="OSRRefH13x_0" localSheetId="77">'405'!$H$13:$H$15</definedName>
    <definedName name="OSRRefH13x_0" localSheetId="78">'406'!$H$13:$H$16</definedName>
    <definedName name="OSRRefH13x_0" localSheetId="80">'412'!$H$13:$H$16</definedName>
    <definedName name="OSRRefH13x_0" localSheetId="82">'413'!$H$13:$H$16</definedName>
    <definedName name="OSRRefH13x_0" localSheetId="83">'414'!$H$13:$H$16</definedName>
    <definedName name="OSRRefH13x_0" localSheetId="84">'415'!$H$13:$H$15</definedName>
    <definedName name="OSRRefH13x_0" localSheetId="85">'418'!$H$13:$H$16</definedName>
    <definedName name="OSRRefH13x_0" localSheetId="81">'420'!$H$13:$H$14</definedName>
    <definedName name="OSRRefH13x_0" localSheetId="87">'424'!$H$13:$H$15</definedName>
    <definedName name="OSRRefH13x_0" localSheetId="88">'425'!$H$13:$H$16</definedName>
    <definedName name="OSRRefH13x_0" localSheetId="92">'433'!$H$13:$H$16</definedName>
    <definedName name="OSRRefH13x_0" localSheetId="93">'435'!$H$13:$H$16</definedName>
    <definedName name="OSRRefH13x_0" localSheetId="94">'444'!$H$13:$H$16</definedName>
    <definedName name="OSRRefH13x_0" localSheetId="95">'450'!$H$13:$H$16</definedName>
    <definedName name="OSRRefH13x_0" localSheetId="76">'491'!$H$13:$H$23</definedName>
    <definedName name="OSRRefH13x_0" localSheetId="90">'492'!$H$13:$H$18</definedName>
    <definedName name="OSRRefH13x_0" localSheetId="97">'501'!$H$13</definedName>
    <definedName name="OSRRefH13x_0" localSheetId="39">'Div 2'!$H$13</definedName>
    <definedName name="OSRRefH13x_0" localSheetId="47">'Div 3'!$H$13:$H$107</definedName>
    <definedName name="OSRRefH13x_0" localSheetId="74">'Div 4'!$H$13:$H$24</definedName>
    <definedName name="OSRRefH13x_0" localSheetId="96">'Div 5'!$H$13</definedName>
    <definedName name="OSRRefH13x_0" localSheetId="64">'Div 6'!$H$13:$H$38</definedName>
    <definedName name="OSRRefH13x_0" localSheetId="2">Summary!$H$13:$H$132</definedName>
    <definedName name="OSRRefH16x_0" localSheetId="48">'300'!$H$106:$H$156</definedName>
    <definedName name="OSRRefH16x_0" localSheetId="49">'300 &amp; 317'!$H$124:$H$181</definedName>
    <definedName name="OSRRefH16x_0" localSheetId="53">'307'!$H$46:$H$66</definedName>
    <definedName name="OSRRefH16x_0" localSheetId="55">'308'!$H$43:$H$58</definedName>
    <definedName name="OSRRefH16x_0" localSheetId="68">'309'!$H$18:$H$20</definedName>
    <definedName name="OSRRefH16x_0" localSheetId="67">'310'!$H$25:$H$27</definedName>
    <definedName name="OSRRefH16x_0" localSheetId="75">'310 &amp; 491'!$H$32:$H$34</definedName>
    <definedName name="OSRRefH16x_0" localSheetId="56">'311'!$H$43:$H$58</definedName>
    <definedName name="OSRRefH16x_0" localSheetId="69">'313'!$H$21:$H$23</definedName>
    <definedName name="OSRRefH16x_0" localSheetId="54">'314'!$H$37:$H$52</definedName>
    <definedName name="OSRRefH16x_0" localSheetId="59">'315'!$H$36:$H$51</definedName>
    <definedName name="OSRRefH16x_0" localSheetId="65">'317'!$H$41:$H$54</definedName>
    <definedName name="OSRRefH16x_0" localSheetId="63">'320'!$H$20:$H$25</definedName>
    <definedName name="OSRRefH16x_0" localSheetId="70">'321'!$H$18:$H$20</definedName>
    <definedName name="OSRRefH16x_0" localSheetId="71">'322'!$H$18:$H$20</definedName>
    <definedName name="OSRRefH16x_0" localSheetId="57">'324'!$H$18:$H$20</definedName>
    <definedName name="OSRRefH16x_0" localSheetId="72">'325'!$H$18:$H$20</definedName>
    <definedName name="OSRRefH16x_0" localSheetId="60">'326'!$H$35:$H$49</definedName>
    <definedName name="OSRRefH16x_0" localSheetId="73">'327'!$H$17:$H$18</definedName>
    <definedName name="OSRRefH16x_0" localSheetId="52">'330'!$H$51:$H$74</definedName>
    <definedName name="OSRRefH16x_0" localSheetId="58">'331'!$H$43:$H$64</definedName>
    <definedName name="OSRRefH16x_0" localSheetId="61">'332'!$H$31:$H$36</definedName>
    <definedName name="OSRRefH16x_0" localSheetId="77">'405'!$H$18:$H$20</definedName>
    <definedName name="OSRRefH16x_0" localSheetId="78">'406'!$H$19:$H$21</definedName>
    <definedName name="OSRRefH16x_0" localSheetId="80">'412'!$H$19:$H$20</definedName>
    <definedName name="OSRRefH16x_0" localSheetId="82">'413'!$H$19:$H$21</definedName>
    <definedName name="OSRRefH16x_0" localSheetId="83">'414'!$H$19:$H$21</definedName>
    <definedName name="OSRRefH16x_0" localSheetId="84">'415'!$H$18:$H$20</definedName>
    <definedName name="OSRRefH16x_0" localSheetId="85">'418'!$H$19:$H$21</definedName>
    <definedName name="OSRRefH16x_0" localSheetId="81">'420'!$H$17</definedName>
    <definedName name="OSRRefH16x_0" localSheetId="86">'423'!$H$15</definedName>
    <definedName name="OSRRefH16x_0" localSheetId="87">'424'!$H$18:$H$20</definedName>
    <definedName name="OSRRefH16x_0" localSheetId="88">'425'!$H$19:$H$21</definedName>
    <definedName name="OSRRefH16x_0" localSheetId="92">'433'!$H$19:$H$21</definedName>
    <definedName name="OSRRefH16x_0" localSheetId="93">'435'!$H$19:$H$21</definedName>
    <definedName name="OSRRefH16x_0" localSheetId="94">'444'!$H$19:$H$21</definedName>
    <definedName name="OSRRefH16x_0" localSheetId="95">'450'!$H$19:$H$21</definedName>
    <definedName name="OSRRefH16x_0" localSheetId="76">'491'!$H$26:$H$28</definedName>
    <definedName name="OSRRefH16x_0" localSheetId="90">'492'!$H$21:$H$23</definedName>
    <definedName name="OSRRefH16x_0" localSheetId="47">'Div 3'!$H$110:$H$162</definedName>
    <definedName name="OSRRefH16x_0" localSheetId="74">'Div 4'!$H$27:$H$29</definedName>
    <definedName name="OSRRefH16x_0" localSheetId="64">'Div 6'!$H$41:$H$54</definedName>
    <definedName name="OSRRefH16x_0" localSheetId="2">Summary!$H$135:$H$194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'300'!$H$162:$H$171</definedName>
    <definedName name="OSRRefH22_0x_0" localSheetId="49">'300 &amp; 317'!$H$187:$H$196</definedName>
    <definedName name="OSRRefH22_0x_0" localSheetId="50">'301'!$H$20:$H$28</definedName>
    <definedName name="OSRRefH22_0x_0" localSheetId="51">'306'!$H$20:$H$28</definedName>
    <definedName name="OSRRefH22_0x_0" localSheetId="53">'307'!$H$72:$H$80</definedName>
    <definedName name="OSRRefH22_0x_0" localSheetId="55">'308'!$H$64:$H$73</definedName>
    <definedName name="OSRRefH22_0x_0" localSheetId="68">'309'!$H$26:$H$34</definedName>
    <definedName name="OSRRefH22_0x_0" localSheetId="67">'310'!$H$33:$H$41</definedName>
    <definedName name="OSRRefH22_0x_0" localSheetId="75">'310 &amp; 491'!$H$40:$H$49</definedName>
    <definedName name="OSRRefH22_0x_0" localSheetId="56">'311'!$H$64:$H$73</definedName>
    <definedName name="OSRRefH22_0x_0" localSheetId="69">'313'!$H$29:$H$37</definedName>
    <definedName name="OSRRefH22_0x_0" localSheetId="54">'314'!$H$58:$H$65</definedName>
    <definedName name="OSRRefH22_0x_0" localSheetId="59">'315'!$H$57:$H$65</definedName>
    <definedName name="OSRRefH22_0x_0" localSheetId="62">'316'!$H$33:$H$41</definedName>
    <definedName name="OSRRefH22_0x_0" localSheetId="65">'317'!$H$60:$H$69</definedName>
    <definedName name="OSRRefH22_0x_0" localSheetId="63">'320'!$H$31:$H$38</definedName>
    <definedName name="OSRRefH22_0x_0" localSheetId="70">'321'!$H$26:$H$33</definedName>
    <definedName name="OSRRefH22_0x_0" localSheetId="71">'322'!$H$26:$H$34</definedName>
    <definedName name="OSRRefH22_0x_0" localSheetId="72">'325'!$H$26:$H$34</definedName>
    <definedName name="OSRRefH22_0x_0" localSheetId="60">'326'!$H$55:$H$63</definedName>
    <definedName name="OSRRefH22_0x_0" localSheetId="73">'327'!$H$24</definedName>
    <definedName name="OSRRefH22_0x_0" localSheetId="52">'330'!$H$80:$H$88</definedName>
    <definedName name="OSRRefH22_0x_0" localSheetId="58">'331'!$H$70:$H$78</definedName>
    <definedName name="OSRRefH22_0x_0" localSheetId="61">'332'!$H$42:$H$50</definedName>
    <definedName name="OSRRefH22_0x_0" localSheetId="77">'405'!$H$26:$H$34</definedName>
    <definedName name="OSRRefH22_0x_0" localSheetId="78">'406'!$H$27:$H$35</definedName>
    <definedName name="OSRRefH22_0x_0" localSheetId="79">'411'!$H$20:$H$29</definedName>
    <definedName name="OSRRefH22_0x_0" localSheetId="80">'412'!$H$26:$H$34</definedName>
    <definedName name="OSRRefH22_0x_0" localSheetId="82">'413'!$H$27:$H$35</definedName>
    <definedName name="OSRRefH22_0x_0" localSheetId="83">'414'!$H$27:$H$35</definedName>
    <definedName name="OSRRefH22_0x_0" localSheetId="84">'415'!$H$26:$H$34</definedName>
    <definedName name="OSRRefH22_0x_0" localSheetId="85">'418'!$H$27:$H$35</definedName>
    <definedName name="OSRRefH22_0x_0" localSheetId="81">'420'!$H$23:$H$29</definedName>
    <definedName name="OSRRefH22_0x_0" localSheetId="86">'423'!$H$21:$H$29</definedName>
    <definedName name="OSRRefH22_0x_0" localSheetId="87">'424'!$H$26:$H$33</definedName>
    <definedName name="OSRRefH22_0x_0" localSheetId="88">'425'!$H$27:$H$35</definedName>
    <definedName name="OSRRefH22_0x_0" localSheetId="91">'430'!$H$20:$H$28</definedName>
    <definedName name="OSRRefH22_0x_0" localSheetId="92">'433'!$H$27:$H$36</definedName>
    <definedName name="OSRRefH22_0x_0" localSheetId="93">'435'!$H$27:$H$34</definedName>
    <definedName name="OSRRefH22_0x_0" localSheetId="94">'444'!$H$27:$H$36</definedName>
    <definedName name="OSRRefH22_0x_0" localSheetId="95">'450'!$H$27:$H$36</definedName>
    <definedName name="OSRRefH22_0x_0" localSheetId="89">'455'!$H$20:$H$27</definedName>
    <definedName name="OSRRefH22_0x_0" localSheetId="76">'491'!$H$34:$H$43</definedName>
    <definedName name="OSRRefH22_0x_0" localSheetId="90">'492'!$H$29:$H$38</definedName>
    <definedName name="OSRRefH22_0x_0" localSheetId="97">'501'!$H$21:$H$29</definedName>
    <definedName name="OSRRefH22_0x_0" localSheetId="39">'Div 2'!$H$21:$H$31</definedName>
    <definedName name="OSRRefH22_0x_0" localSheetId="47">'Div 3'!$H$168:$H$177</definedName>
    <definedName name="OSRRefH22_0x_0" localSheetId="74">'Div 4'!$H$35:$H$44</definedName>
    <definedName name="OSRRefH22_0x_0" localSheetId="96">'Div 5'!$H$21:$H$29</definedName>
    <definedName name="OSRRefH22_0x_0" localSheetId="64">'Div 6'!$H$60:$H$69</definedName>
    <definedName name="OSRRefH22_0x_0" localSheetId="2">Summary!$H$200:$H$209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'204'!$H$63:$H$64</definedName>
    <definedName name="OSRRefH22_10x_0" localSheetId="46">'206'!$H$58</definedName>
    <definedName name="OSRRefH22_10x_0" localSheetId="48">'300'!$H$206:$H$207</definedName>
    <definedName name="OSRRefH22_10x_0" localSheetId="49">'300 &amp; 317'!$H$231:$H$232</definedName>
    <definedName name="OSRRefH22_10x_0" localSheetId="50">'301'!$H$63</definedName>
    <definedName name="OSRRefH22_10x_0" localSheetId="51">'306'!$H$61</definedName>
    <definedName name="OSRRefH22_10x_0" localSheetId="53">'307'!$H$112:$H$113</definedName>
    <definedName name="OSRRefH22_10x_0" localSheetId="55">'308'!$H$106</definedName>
    <definedName name="OSRRefH22_10x_0" localSheetId="68">'309'!$H$65:$H$67</definedName>
    <definedName name="OSRRefH22_10x_0" localSheetId="67">'310'!$H$72</definedName>
    <definedName name="OSRRefH22_10x_0" localSheetId="75">'310 &amp; 491'!$H$81</definedName>
    <definedName name="OSRRefH22_10x_0" localSheetId="56">'311'!$H$106</definedName>
    <definedName name="OSRRefH22_10x_0" localSheetId="69">'313'!$H$66:$H$68</definedName>
    <definedName name="OSRRefH22_10x_0" localSheetId="59">'315'!$H$96:$H$98</definedName>
    <definedName name="OSRRefH22_10x_0" localSheetId="62">'316'!$H$71:$H$72</definedName>
    <definedName name="OSRRefH22_10x_0" localSheetId="65">'317'!$H$99:$H$100</definedName>
    <definedName name="OSRRefH22_10x_0" localSheetId="70">'321'!$H$64:$H$65</definedName>
    <definedName name="OSRRefH22_10x_0" localSheetId="71">'322'!$H$66:$H$68</definedName>
    <definedName name="OSRRefH22_10x_0" localSheetId="72">'325'!$H$65</definedName>
    <definedName name="OSRRefH22_10x_0" localSheetId="60">'326'!$H$93</definedName>
    <definedName name="OSRRefH22_10x_0" localSheetId="52">'330'!$H$119:$H$120</definedName>
    <definedName name="OSRRefH22_10x_0" localSheetId="58">'331'!$H$110</definedName>
    <definedName name="OSRRefH22_10x_0" localSheetId="61">'332'!$H$80:$H$81</definedName>
    <definedName name="OSRRefH22_10x_0" localSheetId="77">'405'!$H$65</definedName>
    <definedName name="OSRRefH22_10x_0" localSheetId="78">'406'!$H$67:$H$69</definedName>
    <definedName name="OSRRefH22_10x_0" localSheetId="79">'411'!$H$61:$H$63</definedName>
    <definedName name="OSRRefH22_10x_0" localSheetId="80">'412'!$H$66</definedName>
    <definedName name="OSRRefH22_10x_0" localSheetId="82">'413'!$H$66:$H$71</definedName>
    <definedName name="OSRRefH22_10x_0" localSheetId="83">'414'!$H$66</definedName>
    <definedName name="OSRRefH22_10x_0" localSheetId="84">'415'!$H$65</definedName>
    <definedName name="OSRRefH22_10x_0" localSheetId="85">'418'!$H$67:$H$69</definedName>
    <definedName name="OSRRefH22_10x_0" localSheetId="87">'424'!$H$64:$H$67</definedName>
    <definedName name="OSRRefH22_10x_0" localSheetId="88">'425'!$H$67:$H$68</definedName>
    <definedName name="OSRRefH22_10x_0" localSheetId="91">'430'!$H$59</definedName>
    <definedName name="OSRRefH22_10x_0" localSheetId="92">'433'!$H$65:$H$67</definedName>
    <definedName name="OSRRefH22_10x_0" localSheetId="94">'444'!$H$65</definedName>
    <definedName name="OSRRefH22_10x_0" localSheetId="95">'450'!$H$66</definedName>
    <definedName name="OSRRefH22_10x_0" localSheetId="76">'491'!$H$76</definedName>
    <definedName name="OSRRefH22_10x_0" localSheetId="90">'492'!$H$69</definedName>
    <definedName name="OSRRefH22_10x_0" localSheetId="97">'501'!$H$58:$H$60</definedName>
    <definedName name="OSRRefH22_10x_0" localSheetId="39">'Div 2'!$H$62</definedName>
    <definedName name="OSRRefH22_10x_0" localSheetId="47">'Div 3'!$H$212:$H$213</definedName>
    <definedName name="OSRRefH22_10x_0" localSheetId="74">'Div 4'!$H$78:$H$79</definedName>
    <definedName name="OSRRefH22_10x_0" localSheetId="96">'Div 5'!$H$58:$H$60</definedName>
    <definedName name="OSRRefH22_10x_0" localSheetId="64">'Div 6'!$H$99:$H$100</definedName>
    <definedName name="OSRRefH22_10x_0" localSheetId="2">Summary!$H$245:$H$246</definedName>
    <definedName name="OSRRefH22_11x_0" localSheetId="41">'201'!$H$62:$H$64</definedName>
    <definedName name="OSRRefH22_11x_0" localSheetId="42">'202'!$H$61:$H$63</definedName>
    <definedName name="OSRRefH22_11x_0" localSheetId="43">'203'!$H$62</definedName>
    <definedName name="OSRRefH22_11x_0" localSheetId="44">'204'!$H$66</definedName>
    <definedName name="OSRRefH22_11x_0" localSheetId="48">'300'!$H$209</definedName>
    <definedName name="OSRRefH22_11x_0" localSheetId="49">'300 &amp; 317'!$H$234</definedName>
    <definedName name="OSRRefH22_11x_0" localSheetId="50">'301'!$H$65</definedName>
    <definedName name="OSRRefH22_11x_0" localSheetId="53">'307'!$H$115</definedName>
    <definedName name="OSRRefH22_11x_0" localSheetId="55">'308'!$H$108:$H$110</definedName>
    <definedName name="OSRRefH22_11x_0" localSheetId="68">'309'!$H$69:$H$71</definedName>
    <definedName name="OSRRefH22_11x_0" localSheetId="67">'310'!$H$74</definedName>
    <definedName name="OSRRefH22_11x_0" localSheetId="75">'310 &amp; 491'!$H$83:$H$84</definedName>
    <definedName name="OSRRefH22_11x_0" localSheetId="56">'311'!$H$108:$H$110</definedName>
    <definedName name="OSRRefH22_11x_0" localSheetId="69">'313'!$H$70</definedName>
    <definedName name="OSRRefH22_11x_0" localSheetId="59">'315'!$H$100:$H$101</definedName>
    <definedName name="OSRRefH22_11x_0" localSheetId="62">'316'!$H$74:$H$78</definedName>
    <definedName name="OSRRefH22_11x_0" localSheetId="65">'317'!$H$102</definedName>
    <definedName name="OSRRefH22_11x_0" localSheetId="70">'321'!$H$67:$H$69</definedName>
    <definedName name="OSRRefH22_11x_0" localSheetId="71">'322'!$H$70:$H$74</definedName>
    <definedName name="OSRRefH22_11x_0" localSheetId="72">'325'!$H$67:$H$69</definedName>
    <definedName name="OSRRefH22_11x_0" localSheetId="60">'326'!$H$95</definedName>
    <definedName name="OSRRefH22_11x_0" localSheetId="52">'330'!$H$122</definedName>
    <definedName name="OSRRefH22_11x_0" localSheetId="58">'331'!$H$112</definedName>
    <definedName name="OSRRefH22_11x_0" localSheetId="61">'332'!$H$83:$H$84</definedName>
    <definedName name="OSRRefH22_11x_0" localSheetId="77">'405'!$H$67:$H$69</definedName>
    <definedName name="OSRRefH22_11x_0" localSheetId="78">'406'!$H$71:$H$76</definedName>
    <definedName name="OSRRefH22_11x_0" localSheetId="79">'411'!$H$65:$H$69</definedName>
    <definedName name="OSRRefH22_11x_0" localSheetId="80">'412'!$H$68:$H$70</definedName>
    <definedName name="OSRRefH22_11x_0" localSheetId="82">'413'!$H$73:$H$74</definedName>
    <definedName name="OSRRefH22_11x_0" localSheetId="83">'414'!$H$68</definedName>
    <definedName name="OSRRefH22_11x_0" localSheetId="84">'415'!$H$67:$H$69</definedName>
    <definedName name="OSRRefH22_11x_0" localSheetId="85">'418'!$H$71:$H$73</definedName>
    <definedName name="OSRRefH22_11x_0" localSheetId="87">'424'!$H$69:$H$70</definedName>
    <definedName name="OSRRefH22_11x_0" localSheetId="88">'425'!$H$70:$H$71</definedName>
    <definedName name="OSRRefH22_11x_0" localSheetId="92">'433'!$H$69:$H$72</definedName>
    <definedName name="OSRRefH22_11x_0" localSheetId="94">'444'!$H$67:$H$69</definedName>
    <definedName name="OSRRefH22_11x_0" localSheetId="95">'450'!$H$68:$H$70</definedName>
    <definedName name="OSRRefH22_11x_0" localSheetId="76">'491'!$H$78</definedName>
    <definedName name="OSRRefH22_11x_0" localSheetId="90">'492'!$H$71</definedName>
    <definedName name="OSRRefH22_11x_0" localSheetId="97">'501'!$H$62:$H$64</definedName>
    <definedName name="OSRRefH22_11x_0" localSheetId="39">'Div 2'!$H$64</definedName>
    <definedName name="OSRRefH22_11x_0" localSheetId="47">'Div 3'!$H$215</definedName>
    <definedName name="OSRRefH22_11x_0" localSheetId="74">'Div 4'!$H$81</definedName>
    <definedName name="OSRRefH22_11x_0" localSheetId="96">'Div 5'!$H$62:$H$64</definedName>
    <definedName name="OSRRefH22_11x_0" localSheetId="64">'Div 6'!$H$102</definedName>
    <definedName name="OSRRefH22_11x_0" localSheetId="2">Summary!$H$248:$H$249</definedName>
    <definedName name="OSRRefH22_12x_0" localSheetId="41">'201'!$H$66</definedName>
    <definedName name="OSRRefH22_12x_0" localSheetId="42">'202'!$H$65</definedName>
    <definedName name="OSRRefH22_12x_0" localSheetId="43">'203'!$H$64:$H$66</definedName>
    <definedName name="OSRRefH22_12x_0" localSheetId="44">'204'!$H$68:$H$69</definedName>
    <definedName name="OSRRefH22_12x_0" localSheetId="48">'300'!$H$211</definedName>
    <definedName name="OSRRefH22_12x_0" localSheetId="49">'300 &amp; 317'!$H$236</definedName>
    <definedName name="OSRRefH22_12x_0" localSheetId="50">'301'!$H$67</definedName>
    <definedName name="OSRRefH22_12x_0" localSheetId="53">'307'!$H$117</definedName>
    <definedName name="OSRRefH22_12x_0" localSheetId="55">'308'!$H$112:$H$113</definedName>
    <definedName name="OSRRefH22_12x_0" localSheetId="68">'309'!$H$73</definedName>
    <definedName name="OSRRefH22_12x_0" localSheetId="67">'310'!$H$76</definedName>
    <definedName name="OSRRefH22_12x_0" localSheetId="75">'310 &amp; 491'!$H$86</definedName>
    <definedName name="OSRRefH22_12x_0" localSheetId="56">'311'!$H$112:$H$113</definedName>
    <definedName name="OSRRefH22_12x_0" localSheetId="69">'313'!$H$72:$H$76</definedName>
    <definedName name="OSRRefH22_12x_0" localSheetId="59">'315'!$H$103:$H$107</definedName>
    <definedName name="OSRRefH22_12x_0" localSheetId="62">'316'!$H$80:$H$81</definedName>
    <definedName name="OSRRefH22_12x_0" localSheetId="65">'317'!$H$104</definedName>
    <definedName name="OSRRefH22_12x_0" localSheetId="70">'321'!$H$71:$H$73</definedName>
    <definedName name="OSRRefH22_12x_0" localSheetId="71">'322'!$H$76</definedName>
    <definedName name="OSRRefH22_12x_0" localSheetId="72">'325'!$H$71:$H$74</definedName>
    <definedName name="OSRRefH22_12x_0" localSheetId="60">'326'!$H$97</definedName>
    <definedName name="OSRRefH22_12x_0" localSheetId="52">'330'!$H$124:$H$125</definedName>
    <definedName name="OSRRefH22_12x_0" localSheetId="58">'331'!$H$114</definedName>
    <definedName name="OSRRefH22_12x_0" localSheetId="61">'332'!$H$86:$H$90</definedName>
    <definedName name="OSRRefH22_12x_0" localSheetId="77">'405'!$H$71</definedName>
    <definedName name="OSRRefH22_12x_0" localSheetId="78">'406'!$H$78:$H$79</definedName>
    <definedName name="OSRRefH22_12x_0" localSheetId="79">'411'!$H$71</definedName>
    <definedName name="OSRRefH22_12x_0" localSheetId="80">'412'!$H$72:$H$77</definedName>
    <definedName name="OSRRefH22_12x_0" localSheetId="82">'413'!$H$76</definedName>
    <definedName name="OSRRefH22_12x_0" localSheetId="83">'414'!$H$70</definedName>
    <definedName name="OSRRefH22_12x_0" localSheetId="84">'415'!$H$71:$H$75</definedName>
    <definedName name="OSRRefH22_12x_0" localSheetId="85">'418'!$H$75:$H$76</definedName>
    <definedName name="OSRRefH22_12x_0" localSheetId="88">'425'!$H$73:$H$79</definedName>
    <definedName name="OSRRefH22_12x_0" localSheetId="92">'433'!$H$74:$H$81</definedName>
    <definedName name="OSRRefH22_12x_0" localSheetId="94">'444'!$H$71:$H$74</definedName>
    <definedName name="OSRRefH22_12x_0" localSheetId="95">'450'!$H$72:$H$74</definedName>
    <definedName name="OSRRefH22_12x_0" localSheetId="76">'491'!$H$80</definedName>
    <definedName name="OSRRefH22_12x_0" localSheetId="90">'492'!$H$73:$H$76</definedName>
    <definedName name="OSRRefH22_12x_0" localSheetId="97">'501'!$H$66</definedName>
    <definedName name="OSRRefH22_12x_0" localSheetId="39">'Div 2'!$H$66:$H$68</definedName>
    <definedName name="OSRRefH22_12x_0" localSheetId="47">'Div 3'!$H$217</definedName>
    <definedName name="OSRRefH22_12x_0" localSheetId="74">'Div 4'!$H$83</definedName>
    <definedName name="OSRRefH22_12x_0" localSheetId="96">'Div 5'!$H$66</definedName>
    <definedName name="OSRRefH22_12x_0" localSheetId="64">'Div 6'!$H$104</definedName>
    <definedName name="OSRRefH22_12x_0" localSheetId="2">Summary!$H$251</definedName>
    <definedName name="OSRRefH22_13x_0" localSheetId="41">'201'!$H$68:$H$70</definedName>
    <definedName name="OSRRefH22_13x_0" localSheetId="42">'202'!$H$67</definedName>
    <definedName name="OSRRefH22_13x_0" localSheetId="43">'203'!$H$68</definedName>
    <definedName name="OSRRefH22_13x_0" localSheetId="48">'300'!$H$213</definedName>
    <definedName name="OSRRefH22_13x_0" localSheetId="49">'300 &amp; 317'!$H$238</definedName>
    <definedName name="OSRRefH22_13x_0" localSheetId="50">'301'!$H$69</definedName>
    <definedName name="OSRRefH22_13x_0" localSheetId="55">'308'!$H$115</definedName>
    <definedName name="OSRRefH22_13x_0" localSheetId="68">'309'!$H$75</definedName>
    <definedName name="OSRRefH22_13x_0" localSheetId="67">'310'!$H$78</definedName>
    <definedName name="OSRRefH22_13x_0" localSheetId="75">'310 &amp; 491'!$H$88</definedName>
    <definedName name="OSRRefH22_13x_0" localSheetId="56">'311'!$H$115</definedName>
    <definedName name="OSRRefH22_13x_0" localSheetId="69">'313'!$H$78</definedName>
    <definedName name="OSRRefH22_13x_0" localSheetId="59">'315'!$H$109</definedName>
    <definedName name="OSRRefH22_13x_0" localSheetId="62">'316'!$H$83</definedName>
    <definedName name="OSRRefH22_13x_0" localSheetId="70">'321'!$H$75</definedName>
    <definedName name="OSRRefH22_13x_0" localSheetId="71">'322'!$H$78</definedName>
    <definedName name="OSRRefH22_13x_0" localSheetId="72">'325'!$H$76</definedName>
    <definedName name="OSRRefH22_13x_0" localSheetId="60">'326'!$H$99:$H$100</definedName>
    <definedName name="OSRRefH22_13x_0" localSheetId="52">'330'!$H$127</definedName>
    <definedName name="OSRRefH22_13x_0" localSheetId="58">'331'!$H$116</definedName>
    <definedName name="OSRRefH22_13x_0" localSheetId="61">'332'!$H$92:$H$93</definedName>
    <definedName name="OSRRefH22_13x_0" localSheetId="77">'405'!$H$73:$H$75</definedName>
    <definedName name="OSRRefH22_13x_0" localSheetId="78">'406'!$H$81</definedName>
    <definedName name="OSRRefH22_13x_0" localSheetId="79">'411'!$H$73:$H$79</definedName>
    <definedName name="OSRRefH22_13x_0" localSheetId="80">'412'!$H$79</definedName>
    <definedName name="OSRRefH22_13x_0" localSheetId="83">'414'!$H$72:$H$78</definedName>
    <definedName name="OSRRefH22_13x_0" localSheetId="84">'415'!$H$77:$H$78</definedName>
    <definedName name="OSRRefH22_13x_0" localSheetId="85">'418'!$H$78:$H$84</definedName>
    <definedName name="OSRRefH22_13x_0" localSheetId="88">'425'!$H$81:$H$82</definedName>
    <definedName name="OSRRefH22_13x_0" localSheetId="92">'433'!$H$83</definedName>
    <definedName name="OSRRefH22_13x_0" localSheetId="94">'444'!$H$76:$H$83</definedName>
    <definedName name="OSRRefH22_13x_0" localSheetId="95">'450'!$H$76:$H$81</definedName>
    <definedName name="OSRRefH22_13x_0" localSheetId="76">'491'!$H$82</definedName>
    <definedName name="OSRRefH22_13x_0" localSheetId="90">'492'!$H$78:$H$81</definedName>
    <definedName name="OSRRefH22_13x_0" localSheetId="97">'501'!$H$68</definedName>
    <definedName name="OSRRefH22_13x_0" localSheetId="39">'Div 2'!$H$70:$H$73</definedName>
    <definedName name="OSRRefH22_13x_0" localSheetId="47">'Div 3'!$H$219</definedName>
    <definedName name="OSRRefH22_13x_0" localSheetId="74">'Div 4'!$H$85</definedName>
    <definedName name="OSRRefH22_13x_0" localSheetId="96">'Div 5'!$H$68</definedName>
    <definedName name="OSRRefH22_13x_0" localSheetId="2">Summary!$H$253</definedName>
    <definedName name="OSRRefH22_14x_0" localSheetId="41">'201'!$H$72</definedName>
    <definedName name="OSRRefH22_14x_0" localSheetId="42">'202'!$H$69:$H$70</definedName>
    <definedName name="OSRRefH22_14x_0" localSheetId="43">'203'!$H$70</definedName>
    <definedName name="OSRRefH22_14x_0" localSheetId="48">'300'!$H$215</definedName>
    <definedName name="OSRRefH22_14x_0" localSheetId="49">'300 &amp; 317'!$H$240</definedName>
    <definedName name="OSRRefH22_14x_0" localSheetId="50">'301'!$H$71</definedName>
    <definedName name="OSRRefH22_14x_0" localSheetId="55">'308'!$H$117:$H$118</definedName>
    <definedName name="OSRRefH22_14x_0" localSheetId="67">'310'!$H$80</definedName>
    <definedName name="OSRRefH22_14x_0" localSheetId="75">'310 &amp; 491'!$H$90</definedName>
    <definedName name="OSRRefH22_14x_0" localSheetId="56">'311'!$H$117:$H$118</definedName>
    <definedName name="OSRRefH22_14x_0" localSheetId="69">'313'!$H$80</definedName>
    <definedName name="OSRRefH22_14x_0" localSheetId="59">'315'!$H$111</definedName>
    <definedName name="OSRRefH22_14x_0" localSheetId="70">'321'!$H$77</definedName>
    <definedName name="OSRRefH22_14x_0" localSheetId="72">'325'!$H$78:$H$84</definedName>
    <definedName name="OSRRefH22_14x_0" localSheetId="60">'326'!$H$102:$H$104</definedName>
    <definedName name="OSRRefH22_14x_0" localSheetId="52">'330'!$H$129</definedName>
    <definedName name="OSRRefH22_14x_0" localSheetId="58">'331'!$H$118:$H$119</definedName>
    <definedName name="OSRRefH22_14x_0" localSheetId="61">'332'!$H$95</definedName>
    <definedName name="OSRRefH22_14x_0" localSheetId="77">'405'!$H$77:$H$78</definedName>
    <definedName name="OSRRefH22_14x_0" localSheetId="78">'406'!$H$83</definedName>
    <definedName name="OSRRefH22_14x_0" localSheetId="79">'411'!$H$81</definedName>
    <definedName name="OSRRefH22_14x_0" localSheetId="80">'412'!$H$81</definedName>
    <definedName name="OSRRefH22_14x_0" localSheetId="83">'414'!$H$80</definedName>
    <definedName name="OSRRefH22_14x_0" localSheetId="84">'415'!$H$80:$H$87</definedName>
    <definedName name="OSRRefH22_14x_0" localSheetId="85">'418'!$H$86</definedName>
    <definedName name="OSRRefH22_14x_0" localSheetId="88">'425'!$H$84</definedName>
    <definedName name="OSRRefH22_14x_0" localSheetId="92">'433'!$H$85</definedName>
    <definedName name="OSRRefH22_14x_0" localSheetId="94">'444'!$H$85</definedName>
    <definedName name="OSRRefH22_14x_0" localSheetId="95">'450'!$H$83</definedName>
    <definedName name="OSRRefH22_14x_0" localSheetId="76">'491'!$H$84:$H$87</definedName>
    <definedName name="OSRRefH22_14x_0" localSheetId="90">'492'!$H$83:$H$91</definedName>
    <definedName name="OSRRefH22_14x_0" localSheetId="39">'Div 2'!$H$75:$H$78</definedName>
    <definedName name="OSRRefH22_14x_0" localSheetId="47">'Div 3'!$H$221</definedName>
    <definedName name="OSRRefH22_14x_0" localSheetId="74">'Div 4'!$H$87</definedName>
    <definedName name="OSRRefH22_14x_0" localSheetId="2">Summary!$H$255</definedName>
    <definedName name="OSRRefH22_15x_0" localSheetId="41">'201'!$H$74</definedName>
    <definedName name="OSRRefH22_15x_0" localSheetId="42">'202'!$H$72</definedName>
    <definedName name="OSRRefH22_15x_0" localSheetId="43">'203'!$H$72</definedName>
    <definedName name="OSRRefH22_15x_0" localSheetId="48">'300'!$H$217</definedName>
    <definedName name="OSRRefH22_15x_0" localSheetId="49">'300 &amp; 317'!$H$242</definedName>
    <definedName name="OSRRefH22_15x_0" localSheetId="50">'301'!$H$73:$H$75</definedName>
    <definedName name="OSRRefH22_15x_0" localSheetId="67">'310'!$H$82:$H$84</definedName>
    <definedName name="OSRRefH22_15x_0" localSheetId="75">'310 &amp; 491'!$H$92</definedName>
    <definedName name="OSRRefH22_15x_0" localSheetId="59">'315'!$H$113:$H$114</definedName>
    <definedName name="OSRRefH22_15x_0" localSheetId="72">'325'!$H$86</definedName>
    <definedName name="OSRRefH22_15x_0" localSheetId="60">'326'!$H$106:$H$107</definedName>
    <definedName name="OSRRefH22_15x_0" localSheetId="52">'330'!$H$131</definedName>
    <definedName name="OSRRefH22_15x_0" localSheetId="58">'331'!$H$121:$H$123</definedName>
    <definedName name="OSRRefH22_15x_0" localSheetId="77">'405'!$H$80:$H$88</definedName>
    <definedName name="OSRRefH22_15x_0" localSheetId="79">'411'!$H$83</definedName>
    <definedName name="OSRRefH22_15x_0" localSheetId="83">'414'!$H$82</definedName>
    <definedName name="OSRRefH22_15x_0" localSheetId="84">'415'!$H$89</definedName>
    <definedName name="OSRRefH22_15x_0" localSheetId="85">'418'!$H$88</definedName>
    <definedName name="OSRRefH22_15x_0" localSheetId="88">'425'!$H$86</definedName>
    <definedName name="OSRRefH22_15x_0" localSheetId="92">'433'!$H$87:$H$88</definedName>
    <definedName name="OSRRefH22_15x_0" localSheetId="94">'444'!$H$87</definedName>
    <definedName name="OSRRefH22_15x_0" localSheetId="95">'450'!$H$85</definedName>
    <definedName name="OSRRefH22_15x_0" localSheetId="76">'491'!$H$89:$H$91</definedName>
    <definedName name="OSRRefH22_15x_0" localSheetId="90">'492'!$H$93</definedName>
    <definedName name="OSRRefH22_15x_0" localSheetId="39">'Div 2'!$H$80:$H$81</definedName>
    <definedName name="OSRRefH22_15x_0" localSheetId="47">'Div 3'!$H$223</definedName>
    <definedName name="OSRRefH22_15x_0" localSheetId="74">'Div 4'!$H$89</definedName>
    <definedName name="OSRRefH22_15x_0" localSheetId="2">Summary!$H$257</definedName>
    <definedName name="OSRRefH22_16x_0" localSheetId="41">'201'!$H$76:$H$77</definedName>
    <definedName name="OSRRefH22_16x_0" localSheetId="42">'202'!$H$74</definedName>
    <definedName name="OSRRefH22_16x_0" localSheetId="48">'300'!$H$219:$H$222</definedName>
    <definedName name="OSRRefH22_16x_0" localSheetId="49">'300 &amp; 317'!$H$244:$H$247</definedName>
    <definedName name="OSRRefH22_16x_0" localSheetId="50">'301'!$H$77:$H$79</definedName>
    <definedName name="OSRRefH22_16x_0" localSheetId="67">'310'!$H$86:$H$87</definedName>
    <definedName name="OSRRefH22_16x_0" localSheetId="75">'310 &amp; 491'!$H$94</definedName>
    <definedName name="OSRRefH22_16x_0" localSheetId="72">'325'!$H$88</definedName>
    <definedName name="OSRRefH22_16x_0" localSheetId="60">'326'!$H$109:$H$113</definedName>
    <definedName name="OSRRefH22_16x_0" localSheetId="58">'331'!$H$125:$H$127</definedName>
    <definedName name="OSRRefH22_16x_0" localSheetId="77">'405'!$H$90</definedName>
    <definedName name="OSRRefH22_16x_0" localSheetId="79">'411'!$H$85:$H$87</definedName>
    <definedName name="OSRRefH22_16x_0" localSheetId="84">'415'!$H$91</definedName>
    <definedName name="OSRRefH22_16x_0" localSheetId="85">'418'!$H$90</definedName>
    <definedName name="OSRRefH22_16x_0" localSheetId="94">'444'!$H$89</definedName>
    <definedName name="OSRRefH22_16x_0" localSheetId="95">'450'!$H$87:$H$88</definedName>
    <definedName name="OSRRefH22_16x_0" localSheetId="76">'491'!$H$93:$H$97</definedName>
    <definedName name="OSRRefH22_16x_0" localSheetId="90">'492'!$H$95</definedName>
    <definedName name="OSRRefH22_16x_0" localSheetId="39">'Div 2'!$H$83:$H$84</definedName>
    <definedName name="OSRRefH22_16x_0" localSheetId="47">'Div 3'!$H$225</definedName>
    <definedName name="OSRRefH22_16x_0" localSheetId="74">'Div 4'!$H$91:$H$94</definedName>
    <definedName name="OSRRefH22_16x_0" localSheetId="2">Summary!$H$259</definedName>
    <definedName name="OSRRefH22_17x_0" localSheetId="48">'300'!$H$224:$H$227</definedName>
    <definedName name="OSRRefH22_17x_0" localSheetId="49">'300 &amp; 317'!$H$249:$H$252</definedName>
    <definedName name="OSRRefH22_17x_0" localSheetId="50">'301'!$H$81:$H$82</definedName>
    <definedName name="OSRRefH22_17x_0" localSheetId="67">'310'!$H$89:$H$93</definedName>
    <definedName name="OSRRefH22_17x_0" localSheetId="75">'310 &amp; 491'!$H$96:$H$99</definedName>
    <definedName name="OSRRefH22_17x_0" localSheetId="72">'325'!$H$90</definedName>
    <definedName name="OSRRefH22_17x_0" localSheetId="60">'326'!$H$115:$H$116</definedName>
    <definedName name="OSRRefH22_17x_0" localSheetId="58">'331'!$H$129:$H$130</definedName>
    <definedName name="OSRRefH22_17x_0" localSheetId="77">'405'!$H$92</definedName>
    <definedName name="OSRRefH22_17x_0" localSheetId="79">'411'!$H$89</definedName>
    <definedName name="OSRRefH22_17x_0" localSheetId="84">'415'!$H$93:$H$94</definedName>
    <definedName name="OSRRefH22_17x_0" localSheetId="76">'491'!$H$99:$H$100</definedName>
    <definedName name="OSRRefH22_17x_0" localSheetId="90">'492'!$H$97:$H$98</definedName>
    <definedName name="OSRRefH22_17x_0" localSheetId="39">'Div 2'!$H$86:$H$89</definedName>
    <definedName name="OSRRefH22_17x_0" localSheetId="47">'Div 3'!$H$227</definedName>
    <definedName name="OSRRefH22_17x_0" localSheetId="74">'Div 4'!$H$96:$H$98</definedName>
    <definedName name="OSRRefH22_17x_0" localSheetId="2">Summary!$H$261</definedName>
    <definedName name="OSRRefH22_18x_0" localSheetId="48">'300'!$H$229:$H$232</definedName>
    <definedName name="OSRRefH22_18x_0" localSheetId="49">'300 &amp; 317'!$H$254:$H$257</definedName>
    <definedName name="OSRRefH22_18x_0" localSheetId="50">'301'!$H$84:$H$89</definedName>
    <definedName name="OSRRefH22_18x_0" localSheetId="67">'310'!$H$95</definedName>
    <definedName name="OSRRefH22_18x_0" localSheetId="75">'310 &amp; 491'!$H$101:$H$103</definedName>
    <definedName name="OSRRefH22_18x_0" localSheetId="72">'325'!$H$92</definedName>
    <definedName name="OSRRefH22_18x_0" localSheetId="60">'326'!$H$118</definedName>
    <definedName name="OSRRefH22_18x_0" localSheetId="58">'331'!$H$132:$H$137</definedName>
    <definedName name="OSRRefH22_18x_0" localSheetId="77">'405'!$H$94</definedName>
    <definedName name="OSRRefH22_18x_0" localSheetId="84">'415'!$H$96</definedName>
    <definedName name="OSRRefH22_18x_0" localSheetId="76">'491'!$H$102:$H$111</definedName>
    <definedName name="OSRRefH22_18x_0" localSheetId="39">'Div 2'!$H$91:$H$92</definedName>
    <definedName name="OSRRefH22_18x_0" localSheetId="47">'Div 3'!$H$229:$H$232</definedName>
    <definedName name="OSRRefH22_18x_0" localSheetId="74">'Div 4'!$H$100:$H$104</definedName>
    <definedName name="OSRRefH22_18x_0" localSheetId="2">Summary!$H$263:$H$266</definedName>
    <definedName name="OSRRefH22_19x_0" localSheetId="48">'300'!$H$234:$H$235</definedName>
    <definedName name="OSRRefH22_19x_0" localSheetId="49">'300 &amp; 317'!$H$259:$H$260</definedName>
    <definedName name="OSRRefH22_19x_0" localSheetId="50">'301'!$H$91</definedName>
    <definedName name="OSRRefH22_19x_0" localSheetId="67">'310'!$H$97:$H$104</definedName>
    <definedName name="OSRRefH22_19x_0" localSheetId="75">'310 &amp; 491'!$H$105:$H$110</definedName>
    <definedName name="OSRRefH22_19x_0" localSheetId="60">'326'!$H$120</definedName>
    <definedName name="OSRRefH22_19x_0" localSheetId="58">'331'!$H$139:$H$140</definedName>
    <definedName name="OSRRefH22_19x_0" localSheetId="76">'491'!$H$113:$H$114</definedName>
    <definedName name="OSRRefH22_19x_0" localSheetId="39">'Div 2'!$H$94</definedName>
    <definedName name="OSRRefH22_19x_0" localSheetId="47">'Div 3'!$H$234:$H$237</definedName>
    <definedName name="OSRRefH22_19x_0" localSheetId="74">'Div 4'!$H$106:$H$107</definedName>
    <definedName name="OSRRefH22_19x_0" localSheetId="2">Summary!$H$268:$H$271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'300'!$H$173:$H$182</definedName>
    <definedName name="OSRRefH22_1x_0" localSheetId="49">'300 &amp; 317'!$H$198:$H$207</definedName>
    <definedName name="OSRRefH22_1x_0" localSheetId="50">'301'!$H$30:$H$39</definedName>
    <definedName name="OSRRefH22_1x_0" localSheetId="51">'306'!$H$30:$H$39</definedName>
    <definedName name="OSRRefH22_1x_0" localSheetId="53">'307'!$H$82:$H$91</definedName>
    <definedName name="OSRRefH22_1x_0" localSheetId="55">'308'!$H$75:$H$84</definedName>
    <definedName name="OSRRefH22_1x_0" localSheetId="68">'309'!$H$36:$H$45</definedName>
    <definedName name="OSRRefH22_1x_0" localSheetId="67">'310'!$H$43:$H$52</definedName>
    <definedName name="OSRRefH22_1x_0" localSheetId="75">'310 &amp; 491'!$H$51:$H$60</definedName>
    <definedName name="OSRRefH22_1x_0" localSheetId="56">'311'!$H$75:$H$84</definedName>
    <definedName name="OSRRefH22_1x_0" localSheetId="69">'313'!$H$39:$H$48</definedName>
    <definedName name="OSRRefH22_1x_0" localSheetId="54">'314'!$H$67:$H$76</definedName>
    <definedName name="OSRRefH22_1x_0" localSheetId="59">'315'!$H$67:$H$76</definedName>
    <definedName name="OSRRefH22_1x_0" localSheetId="62">'316'!$H$43:$H$52</definedName>
    <definedName name="OSRRefH22_1x_0" localSheetId="65">'317'!$H$71:$H$80</definedName>
    <definedName name="OSRRefH22_1x_0" localSheetId="63">'320'!$H$40:$H$49</definedName>
    <definedName name="OSRRefH22_1x_0" localSheetId="70">'321'!$H$35:$H$44</definedName>
    <definedName name="OSRRefH22_1x_0" localSheetId="71">'322'!$H$36:$H$45</definedName>
    <definedName name="OSRRefH22_1x_0" localSheetId="72">'325'!$H$36:$H$45</definedName>
    <definedName name="OSRRefH22_1x_0" localSheetId="60">'326'!$H$65:$H$74</definedName>
    <definedName name="OSRRefH22_1x_0" localSheetId="73">'327'!$H$26</definedName>
    <definedName name="OSRRefH22_1x_0" localSheetId="52">'330'!$H$90:$H$99</definedName>
    <definedName name="OSRRefH22_1x_0" localSheetId="58">'331'!$H$80:$H$89</definedName>
    <definedName name="OSRRefH22_1x_0" localSheetId="61">'332'!$H$52:$H$61</definedName>
    <definedName name="OSRRefH22_1x_0" localSheetId="77">'405'!$H$36:$H$45</definedName>
    <definedName name="OSRRefH22_1x_0" localSheetId="78">'406'!$H$37:$H$46</definedName>
    <definedName name="OSRRefH22_1x_0" localSheetId="79">'411'!$H$31:$H$40</definedName>
    <definedName name="OSRRefH22_1x_0" localSheetId="80">'412'!$H$36:$H$45</definedName>
    <definedName name="OSRRefH22_1x_0" localSheetId="82">'413'!$H$37:$H$46</definedName>
    <definedName name="OSRRefH22_1x_0" localSheetId="83">'414'!$H$37:$H$46</definedName>
    <definedName name="OSRRefH22_1x_0" localSheetId="84">'415'!$H$36:$H$45</definedName>
    <definedName name="OSRRefH22_1x_0" localSheetId="85">'418'!$H$37:$H$46</definedName>
    <definedName name="OSRRefH22_1x_0" localSheetId="81">'420'!$H$31:$H$34</definedName>
    <definedName name="OSRRefH22_1x_0" localSheetId="86">'423'!$H$31:$H$40</definedName>
    <definedName name="OSRRefH22_1x_0" localSheetId="87">'424'!$H$35:$H$44</definedName>
    <definedName name="OSRRefH22_1x_0" localSheetId="88">'425'!$H$37:$H$46</definedName>
    <definedName name="OSRRefH22_1x_0" localSheetId="91">'430'!$H$30:$H$39</definedName>
    <definedName name="OSRRefH22_1x_0" localSheetId="92">'433'!$H$38:$H$47</definedName>
    <definedName name="OSRRefH22_1x_0" localSheetId="93">'435'!$H$36:$H$45</definedName>
    <definedName name="OSRRefH22_1x_0" localSheetId="94">'444'!$H$38:$H$47</definedName>
    <definedName name="OSRRefH22_1x_0" localSheetId="95">'450'!$H$38:$H$47</definedName>
    <definedName name="OSRRefH22_1x_0" localSheetId="89">'455'!$H$29:$H$38</definedName>
    <definedName name="OSRRefH22_1x_0" localSheetId="76">'491'!$H$45:$H$54</definedName>
    <definedName name="OSRRefH22_1x_0" localSheetId="90">'492'!$H$40:$H$49</definedName>
    <definedName name="OSRRefH22_1x_0" localSheetId="97">'501'!$H$31:$H$40</definedName>
    <definedName name="OSRRefH22_1x_0" localSheetId="39">'Div 2'!$H$33:$H$42</definedName>
    <definedName name="OSRRefH22_1x_0" localSheetId="47">'Div 3'!$H$179:$H$188</definedName>
    <definedName name="OSRRefH22_1x_0" localSheetId="74">'Div 4'!$H$46:$H$55</definedName>
    <definedName name="OSRRefH22_1x_0" localSheetId="96">'Div 5'!$H$31:$H$40</definedName>
    <definedName name="OSRRefH22_1x_0" localSheetId="64">'Div 6'!$H$71:$H$80</definedName>
    <definedName name="OSRRefH22_1x_0" localSheetId="2">Summary!$H$211:$H$220</definedName>
    <definedName name="OSRRefH22_20x_0" localSheetId="48">'300'!$H$237:$H$243</definedName>
    <definedName name="OSRRefH22_20x_0" localSheetId="49">'300 &amp; 317'!$H$262:$H$268</definedName>
    <definedName name="OSRRefH22_20x_0" localSheetId="50">'301'!$H$93</definedName>
    <definedName name="OSRRefH22_20x_0" localSheetId="67">'310'!$H$106</definedName>
    <definedName name="OSRRefH22_20x_0" localSheetId="75">'310 &amp; 491'!$H$112:$H$113</definedName>
    <definedName name="OSRRefH22_20x_0" localSheetId="60">'326'!$H$122</definedName>
    <definedName name="OSRRefH22_20x_0" localSheetId="58">'331'!$H$142</definedName>
    <definedName name="OSRRefH22_20x_0" localSheetId="76">'491'!$H$116</definedName>
    <definedName name="OSRRefH22_20x_0" localSheetId="39">'Div 2'!$H$96:$H$97</definedName>
    <definedName name="OSRRefH22_20x_0" localSheetId="47">'Div 3'!$H$239:$H$244</definedName>
    <definedName name="OSRRefH22_20x_0" localSheetId="74">'Div 4'!$H$109:$H$118</definedName>
    <definedName name="OSRRefH22_20x_0" localSheetId="2">Summary!$H$273:$H$278</definedName>
    <definedName name="OSRRefH22_21x_0" localSheetId="48">'300'!$H$245:$H$246</definedName>
    <definedName name="OSRRefH22_21x_0" localSheetId="49">'300 &amp; 317'!$H$270:$H$271</definedName>
    <definedName name="OSRRefH22_21x_0" localSheetId="50">'301'!$H$95:$H$97</definedName>
    <definedName name="OSRRefH22_21x_0" localSheetId="67">'310'!$H$108</definedName>
    <definedName name="OSRRefH22_21x_0" localSheetId="75">'310 &amp; 491'!$H$115:$H$124</definedName>
    <definedName name="OSRRefH22_21x_0" localSheetId="58">'331'!$H$144:$H$145</definedName>
    <definedName name="OSRRefH22_21x_0" localSheetId="76">'491'!$H$118:$H$120</definedName>
    <definedName name="OSRRefH22_21x_0" localSheetId="47">'Div 3'!$H$246:$H$247</definedName>
    <definedName name="OSRRefH22_21x_0" localSheetId="74">'Div 4'!$H$120:$H$121</definedName>
    <definedName name="OSRRefH22_21x_0" localSheetId="2">Summary!$H$280:$H$281</definedName>
    <definedName name="OSRRefH22_22x_0" localSheetId="48">'300'!$H$248</definedName>
    <definedName name="OSRRefH22_22x_0" localSheetId="49">'300 &amp; 317'!$H$273</definedName>
    <definedName name="OSRRefH22_22x_0" localSheetId="50">'301'!$H$99</definedName>
    <definedName name="OSRRefH22_22x_0" localSheetId="67">'310'!$H$110</definedName>
    <definedName name="OSRRefH22_22x_0" localSheetId="75">'310 &amp; 491'!$H$126:$H$127</definedName>
    <definedName name="OSRRefH22_22x_0" localSheetId="58">'331'!$H$147</definedName>
    <definedName name="OSRRefH22_22x_0" localSheetId="76">'491'!$H$122</definedName>
    <definedName name="OSRRefH22_22x_0" localSheetId="47">'Div 3'!$H$249:$H$256</definedName>
    <definedName name="OSRRefH22_22x_0" localSheetId="74">'Div 4'!$H$123</definedName>
    <definedName name="OSRRefH22_22x_0" localSheetId="2">Summary!$H$283:$H$292</definedName>
    <definedName name="OSRRefH22_23x_0" localSheetId="48">'300'!$H$250:$H$252</definedName>
    <definedName name="OSRRefH22_23x_0" localSheetId="49">'300 &amp; 317'!$H$275:$H$277</definedName>
    <definedName name="OSRRefH22_23x_0" localSheetId="67">'310'!$H$112</definedName>
    <definedName name="OSRRefH22_23x_0" localSheetId="75">'310 &amp; 491'!$H$129</definedName>
    <definedName name="OSRRefH22_23x_0" localSheetId="47">'Div 3'!$H$258:$H$259</definedName>
    <definedName name="OSRRefH22_23x_0" localSheetId="74">'Div 4'!$H$125:$H$127</definedName>
    <definedName name="OSRRefH22_23x_0" localSheetId="2">Summary!$H$294:$H$295</definedName>
    <definedName name="OSRRefH22_24x_0" localSheetId="48">'300'!$H$254</definedName>
    <definedName name="OSRRefH22_24x_0" localSheetId="49">'300 &amp; 317'!$H$279</definedName>
    <definedName name="OSRRefH22_24x_0" localSheetId="75">'310 &amp; 491'!$H$131:$H$133</definedName>
    <definedName name="OSRRefH22_24x_0" localSheetId="47">'Div 3'!$H$261</definedName>
    <definedName name="OSRRefH22_24x_0" localSheetId="74">'Div 4'!$H$129</definedName>
    <definedName name="OSRRefH22_24x_0" localSheetId="2">Summary!$H$297</definedName>
    <definedName name="OSRRefH22_25x_0" localSheetId="75">'310 &amp; 491'!$H$135</definedName>
    <definedName name="OSRRefH22_25x_0" localSheetId="47">'Div 3'!$H$263:$H$265</definedName>
    <definedName name="OSRRefH22_25x_0" localSheetId="2">Summary!$H$299:$H$301</definedName>
    <definedName name="OSRRefH22_26x_0" localSheetId="47">'Div 3'!$H$267</definedName>
    <definedName name="OSRRefH22_26x_0" localSheetId="2">Summary!$H$303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'300'!$H$184</definedName>
    <definedName name="OSRRefH22_2x_0" localSheetId="49">'300 &amp; 317'!$H$209</definedName>
    <definedName name="OSRRefH22_2x_0" localSheetId="50">'301'!$H$41</definedName>
    <definedName name="OSRRefH22_2x_0" localSheetId="51">'306'!$H$41</definedName>
    <definedName name="OSRRefH22_2x_0" localSheetId="53">'307'!$H$93</definedName>
    <definedName name="OSRRefH22_2x_0" localSheetId="55">'308'!$H$86</definedName>
    <definedName name="OSRRefH22_2x_0" localSheetId="68">'309'!$H$47</definedName>
    <definedName name="OSRRefH22_2x_0" localSheetId="67">'310'!$H$54</definedName>
    <definedName name="OSRRefH22_2x_0" localSheetId="75">'310 &amp; 491'!$H$62</definedName>
    <definedName name="OSRRefH22_2x_0" localSheetId="56">'311'!$H$86</definedName>
    <definedName name="OSRRefH22_2x_0" localSheetId="69">'313'!$H$50</definedName>
    <definedName name="OSRRefH22_2x_0" localSheetId="54">'314'!$H$78</definedName>
    <definedName name="OSRRefH22_2x_0" localSheetId="59">'315'!$H$78</definedName>
    <definedName name="OSRRefH22_2x_0" localSheetId="62">'316'!$H$54</definedName>
    <definedName name="OSRRefH22_2x_0" localSheetId="65">'317'!$H$82</definedName>
    <definedName name="OSRRefH22_2x_0" localSheetId="63">'320'!$H$51</definedName>
    <definedName name="OSRRefH22_2x_0" localSheetId="70">'321'!$H$46</definedName>
    <definedName name="OSRRefH22_2x_0" localSheetId="71">'322'!$H$47</definedName>
    <definedName name="OSRRefH22_2x_0" localSheetId="72">'325'!$H$47</definedName>
    <definedName name="OSRRefH22_2x_0" localSheetId="60">'326'!$H$76</definedName>
    <definedName name="OSRRefH22_2x_0" localSheetId="73">'327'!$H$28</definedName>
    <definedName name="OSRRefH22_2x_0" localSheetId="52">'330'!$H$101</definedName>
    <definedName name="OSRRefH22_2x_0" localSheetId="58">'331'!$H$91</definedName>
    <definedName name="OSRRefH22_2x_0" localSheetId="61">'332'!$H$63</definedName>
    <definedName name="OSRRefH22_2x_0" localSheetId="77">'405'!$H$47</definedName>
    <definedName name="OSRRefH22_2x_0" localSheetId="78">'406'!$H$48</definedName>
    <definedName name="OSRRefH22_2x_0" localSheetId="79">'411'!$H$42</definedName>
    <definedName name="OSRRefH22_2x_0" localSheetId="80">'412'!$H$47</definedName>
    <definedName name="OSRRefH22_2x_0" localSheetId="82">'413'!$H$48</definedName>
    <definedName name="OSRRefH22_2x_0" localSheetId="83">'414'!$H$48</definedName>
    <definedName name="OSRRefH22_2x_0" localSheetId="84">'415'!$H$47</definedName>
    <definedName name="OSRRefH22_2x_0" localSheetId="85">'418'!$H$48</definedName>
    <definedName name="OSRRefH22_2x_0" localSheetId="81">'420'!$H$36</definedName>
    <definedName name="OSRRefH22_2x_0" localSheetId="86">'423'!$H$42</definedName>
    <definedName name="OSRRefH22_2x_0" localSheetId="87">'424'!$H$46</definedName>
    <definedName name="OSRRefH22_2x_0" localSheetId="88">'425'!$H$48</definedName>
    <definedName name="OSRRefH22_2x_0" localSheetId="91">'430'!$H$41</definedName>
    <definedName name="OSRRefH22_2x_0" localSheetId="92">'433'!$H$49</definedName>
    <definedName name="OSRRefH22_2x_0" localSheetId="93">'435'!$H$47</definedName>
    <definedName name="OSRRefH22_2x_0" localSheetId="94">'444'!$H$49</definedName>
    <definedName name="OSRRefH22_2x_0" localSheetId="95">'450'!$H$49</definedName>
    <definedName name="OSRRefH22_2x_0" localSheetId="76">'491'!$H$56</definedName>
    <definedName name="OSRRefH22_2x_0" localSheetId="90">'492'!$H$51</definedName>
    <definedName name="OSRRefH22_2x_0" localSheetId="97">'501'!$H$42</definedName>
    <definedName name="OSRRefH22_2x_0" localSheetId="39">'Div 2'!$H$44</definedName>
    <definedName name="OSRRefH22_2x_0" localSheetId="47">'Div 3'!$H$190</definedName>
    <definedName name="OSRRefH22_2x_0" localSheetId="74">'Div 4'!$H$57</definedName>
    <definedName name="OSRRefH22_2x_0" localSheetId="96">'Div 5'!$H$42</definedName>
    <definedName name="OSRRefH22_2x_0" localSheetId="64">'Div 6'!$H$82</definedName>
    <definedName name="OSRRefH22_2x_0" localSheetId="2">Summary!$H$222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'300'!$H$186:$H$187</definedName>
    <definedName name="OSRRefH22_3x_0" localSheetId="49">'300 &amp; 317'!$H$211:$H$212</definedName>
    <definedName name="OSRRefH22_3x_0" localSheetId="50">'301'!$H$43:$H$44</definedName>
    <definedName name="OSRRefH22_3x_0" localSheetId="51">'306'!$H$43</definedName>
    <definedName name="OSRRefH22_3x_0" localSheetId="53">'307'!$H$95</definedName>
    <definedName name="OSRRefH22_3x_0" localSheetId="55">'308'!$H$88:$H$89</definedName>
    <definedName name="OSRRefH22_3x_0" localSheetId="68">'309'!$H$49</definedName>
    <definedName name="OSRRefH22_3x_0" localSheetId="67">'310'!$H$56</definedName>
    <definedName name="OSRRefH22_3x_0" localSheetId="75">'310 &amp; 491'!$H$64</definedName>
    <definedName name="OSRRefH22_3x_0" localSheetId="56">'311'!$H$88:$H$89</definedName>
    <definedName name="OSRRefH22_3x_0" localSheetId="69">'313'!$H$52</definedName>
    <definedName name="OSRRefH22_3x_0" localSheetId="54">'314'!$H$80:$H$81</definedName>
    <definedName name="OSRRefH22_3x_0" localSheetId="59">'315'!$H$80:$H$81</definedName>
    <definedName name="OSRRefH22_3x_0" localSheetId="62">'316'!$H$56</definedName>
    <definedName name="OSRRefH22_3x_0" localSheetId="65">'317'!$H$84</definedName>
    <definedName name="OSRRefH22_3x_0" localSheetId="63">'320'!$H$53</definedName>
    <definedName name="OSRRefH22_3x_0" localSheetId="70">'321'!$H$48</definedName>
    <definedName name="OSRRefH22_3x_0" localSheetId="71">'322'!$H$49</definedName>
    <definedName name="OSRRefH22_3x_0" localSheetId="72">'325'!$H$49</definedName>
    <definedName name="OSRRefH22_3x_0" localSheetId="60">'326'!$H$78:$H$79</definedName>
    <definedName name="OSRRefH22_3x_0" localSheetId="52">'330'!$H$103</definedName>
    <definedName name="OSRRefH22_3x_0" localSheetId="58">'331'!$H$93:$H$94</definedName>
    <definedName name="OSRRefH22_3x_0" localSheetId="61">'332'!$H$65</definedName>
    <definedName name="OSRRefH22_3x_0" localSheetId="77">'405'!$H$49</definedName>
    <definedName name="OSRRefH22_3x_0" localSheetId="78">'406'!$H$50</definedName>
    <definedName name="OSRRefH22_3x_0" localSheetId="79">'411'!$H$44:$H$47</definedName>
    <definedName name="OSRRefH22_3x_0" localSheetId="80">'412'!$H$49</definedName>
    <definedName name="OSRRefH22_3x_0" localSheetId="82">'413'!$H$50</definedName>
    <definedName name="OSRRefH22_3x_0" localSheetId="83">'414'!$H$50</definedName>
    <definedName name="OSRRefH22_3x_0" localSheetId="84">'415'!$H$49</definedName>
    <definedName name="OSRRefH22_3x_0" localSheetId="85">'418'!$H$50</definedName>
    <definedName name="OSRRefH22_3x_0" localSheetId="81">'420'!$H$38</definedName>
    <definedName name="OSRRefH22_3x_0" localSheetId="86">'423'!$H$44</definedName>
    <definedName name="OSRRefH22_3x_0" localSheetId="87">'424'!$H$48</definedName>
    <definedName name="OSRRefH22_3x_0" localSheetId="88">'425'!$H$50</definedName>
    <definedName name="OSRRefH22_3x_0" localSheetId="91">'430'!$H$43</definedName>
    <definedName name="OSRRefH22_3x_0" localSheetId="92">'433'!$H$51</definedName>
    <definedName name="OSRRefH22_3x_0" localSheetId="93">'435'!$H$49</definedName>
    <definedName name="OSRRefH22_3x_0" localSheetId="94">'444'!$H$51</definedName>
    <definedName name="OSRRefH22_3x_0" localSheetId="95">'450'!$H$51:$H$52</definedName>
    <definedName name="OSRRefH22_3x_0" localSheetId="76">'491'!$H$58</definedName>
    <definedName name="OSRRefH22_3x_0" localSheetId="90">'492'!$H$53:$H$54</definedName>
    <definedName name="OSRRefH22_3x_0" localSheetId="97">'501'!$H$44</definedName>
    <definedName name="OSRRefH22_3x_0" localSheetId="39">'Div 2'!$H$46</definedName>
    <definedName name="OSRRefH22_3x_0" localSheetId="47">'Div 3'!$H$192:$H$193</definedName>
    <definedName name="OSRRefH22_3x_0" localSheetId="74">'Div 4'!$H$59:$H$60</definedName>
    <definedName name="OSRRefH22_3x_0" localSheetId="96">'Div 5'!$H$44</definedName>
    <definedName name="OSRRefH22_3x_0" localSheetId="64">'Div 6'!$H$84</definedName>
    <definedName name="OSRRefH22_3x_0" localSheetId="2">Summary!$H$224:$H$225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'300'!$H$189</definedName>
    <definedName name="OSRRefH22_4x_0" localSheetId="49">'300 &amp; 317'!$H$214</definedName>
    <definedName name="OSRRefH22_4x_0" localSheetId="50">'301'!$H$46</definedName>
    <definedName name="OSRRefH22_4x_0" localSheetId="51">'306'!$H$45</definedName>
    <definedName name="OSRRefH22_4x_0" localSheetId="53">'307'!$H$97:$H$98</definedName>
    <definedName name="OSRRefH22_4x_0" localSheetId="55">'308'!$H$91</definedName>
    <definedName name="OSRRefH22_4x_0" localSheetId="68">'309'!$H$51</definedName>
    <definedName name="OSRRefH22_4x_0" localSheetId="67">'310'!$H$58</definedName>
    <definedName name="OSRRefH22_4x_0" localSheetId="75">'310 &amp; 491'!$H$66</definedName>
    <definedName name="OSRRefH22_4x_0" localSheetId="56">'311'!$H$91</definedName>
    <definedName name="OSRRefH22_4x_0" localSheetId="69">'313'!$H$54</definedName>
    <definedName name="OSRRefH22_4x_0" localSheetId="54">'314'!$H$83</definedName>
    <definedName name="OSRRefH22_4x_0" localSheetId="59">'315'!$H$83</definedName>
    <definedName name="OSRRefH22_4x_0" localSheetId="62">'316'!$H$58</definedName>
    <definedName name="OSRRefH22_4x_0" localSheetId="65">'317'!$H$86</definedName>
    <definedName name="OSRRefH22_4x_0" localSheetId="63">'320'!$H$55:$H$56</definedName>
    <definedName name="OSRRefH22_4x_0" localSheetId="70">'321'!$H$50</definedName>
    <definedName name="OSRRefH22_4x_0" localSheetId="71">'322'!$H$51</definedName>
    <definedName name="OSRRefH22_4x_0" localSheetId="72">'325'!$H$51</definedName>
    <definedName name="OSRRefH22_4x_0" localSheetId="60">'326'!$H$81</definedName>
    <definedName name="OSRRefH22_4x_0" localSheetId="52">'330'!$H$105:$H$106</definedName>
    <definedName name="OSRRefH22_4x_0" localSheetId="58">'331'!$H$96</definedName>
    <definedName name="OSRRefH22_4x_0" localSheetId="61">'332'!$H$67</definedName>
    <definedName name="OSRRefH22_4x_0" localSheetId="77">'405'!$H$51</definedName>
    <definedName name="OSRRefH22_4x_0" localSheetId="78">'406'!$H$52</definedName>
    <definedName name="OSRRefH22_4x_0" localSheetId="79">'411'!$H$49</definedName>
    <definedName name="OSRRefH22_4x_0" localSheetId="80">'412'!$H$51</definedName>
    <definedName name="OSRRefH22_4x_0" localSheetId="82">'413'!$H$52</definedName>
    <definedName name="OSRRefH22_4x_0" localSheetId="83">'414'!$H$52</definedName>
    <definedName name="OSRRefH22_4x_0" localSheetId="84">'415'!$H$51</definedName>
    <definedName name="OSRRefH22_4x_0" localSheetId="85">'418'!$H$52</definedName>
    <definedName name="OSRRefH22_4x_0" localSheetId="81">'420'!$H$40:$H$41</definedName>
    <definedName name="OSRRefH22_4x_0" localSheetId="86">'423'!$H$46</definedName>
    <definedName name="OSRRefH22_4x_0" localSheetId="87">'424'!$H$50</definedName>
    <definedName name="OSRRefH22_4x_0" localSheetId="88">'425'!$H$52</definedName>
    <definedName name="OSRRefH22_4x_0" localSheetId="91">'430'!$H$45</definedName>
    <definedName name="OSRRefH22_4x_0" localSheetId="92">'433'!$H$53</definedName>
    <definedName name="OSRRefH22_4x_0" localSheetId="93">'435'!$H$51</definedName>
    <definedName name="OSRRefH22_4x_0" localSheetId="94">'444'!$H$53</definedName>
    <definedName name="OSRRefH22_4x_0" localSheetId="95">'450'!$H$54</definedName>
    <definedName name="OSRRefH22_4x_0" localSheetId="76">'491'!$H$60</definedName>
    <definedName name="OSRRefH22_4x_0" localSheetId="90">'492'!$H$56</definedName>
    <definedName name="OSRRefH22_4x_0" localSheetId="97">'501'!$H$46</definedName>
    <definedName name="OSRRefH22_4x_0" localSheetId="39">'Div 2'!$H$48</definedName>
    <definedName name="OSRRefH22_4x_0" localSheetId="47">'Div 3'!$H$195</definedName>
    <definedName name="OSRRefH22_4x_0" localSheetId="74">'Div 4'!$H$62</definedName>
    <definedName name="OSRRefH22_4x_0" localSheetId="96">'Div 5'!$H$46</definedName>
    <definedName name="OSRRefH22_4x_0" localSheetId="64">'Div 6'!$H$86</definedName>
    <definedName name="OSRRefH22_4x_0" localSheetId="2">Summary!$H$227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'205'!$H$47:$H$48</definedName>
    <definedName name="OSRRefH22_5x_0" localSheetId="46">'206'!$H$47</definedName>
    <definedName name="OSRRefH22_5x_0" localSheetId="48">'300'!$H$191:$H$194</definedName>
    <definedName name="OSRRefH22_5x_0" localSheetId="49">'300 &amp; 317'!$H$216:$H$219</definedName>
    <definedName name="OSRRefH22_5x_0" localSheetId="50">'301'!$H$48:$H$51</definedName>
    <definedName name="OSRRefH22_5x_0" localSheetId="51">'306'!$H$47</definedName>
    <definedName name="OSRRefH22_5x_0" localSheetId="53">'307'!$H$100</definedName>
    <definedName name="OSRRefH22_5x_0" localSheetId="55">'308'!$H$93</definedName>
    <definedName name="OSRRefH22_5x_0" localSheetId="68">'309'!$H$53:$H$54</definedName>
    <definedName name="OSRRefH22_5x_0" localSheetId="67">'310'!$H$60:$H$62</definedName>
    <definedName name="OSRRefH22_5x_0" localSheetId="75">'310 &amp; 491'!$H$68:$H$71</definedName>
    <definedName name="OSRRefH22_5x_0" localSheetId="56">'311'!$H$93</definedName>
    <definedName name="OSRRefH22_5x_0" localSheetId="69">'313'!$H$56</definedName>
    <definedName name="OSRRefH22_5x_0" localSheetId="54">'314'!$H$85</definedName>
    <definedName name="OSRRefH22_5x_0" localSheetId="59">'315'!$H$85:$H$86</definedName>
    <definedName name="OSRRefH22_5x_0" localSheetId="62">'316'!$H$60</definedName>
    <definedName name="OSRRefH22_5x_0" localSheetId="65">'317'!$H$88</definedName>
    <definedName name="OSRRefH22_5x_0" localSheetId="63">'320'!$H$58</definedName>
    <definedName name="OSRRefH22_5x_0" localSheetId="70">'321'!$H$52</definedName>
    <definedName name="OSRRefH22_5x_0" localSheetId="71">'322'!$H$53:$H$54</definedName>
    <definedName name="OSRRefH22_5x_0" localSheetId="72">'325'!$H$53:$H$55</definedName>
    <definedName name="OSRRefH22_5x_0" localSheetId="60">'326'!$H$83</definedName>
    <definedName name="OSRRefH22_5x_0" localSheetId="52">'330'!$H$108</definedName>
    <definedName name="OSRRefH22_5x_0" localSheetId="58">'331'!$H$98:$H$99</definedName>
    <definedName name="OSRRefH22_5x_0" localSheetId="61">'332'!$H$69</definedName>
    <definedName name="OSRRefH22_5x_0" localSheetId="77">'405'!$H$53:$H$55</definedName>
    <definedName name="OSRRefH22_5x_0" localSheetId="78">'406'!$H$54:$H$55</definedName>
    <definedName name="OSRRefH22_5x_0" localSheetId="79">'411'!$H$51</definedName>
    <definedName name="OSRRefH22_5x_0" localSheetId="80">'412'!$H$53:$H$55</definedName>
    <definedName name="OSRRefH22_5x_0" localSheetId="82">'413'!$H$54</definedName>
    <definedName name="OSRRefH22_5x_0" localSheetId="83">'414'!$H$54:$H$55</definedName>
    <definedName name="OSRRefH22_5x_0" localSheetId="84">'415'!$H$53:$H$55</definedName>
    <definedName name="OSRRefH22_5x_0" localSheetId="85">'418'!$H$54:$H$56</definedName>
    <definedName name="OSRRefH22_5x_0" localSheetId="81">'420'!$H$43</definedName>
    <definedName name="OSRRefH22_5x_0" localSheetId="86">'423'!$H$48</definedName>
    <definedName name="OSRRefH22_5x_0" localSheetId="87">'424'!$H$52</definedName>
    <definedName name="OSRRefH22_5x_0" localSheetId="88">'425'!$H$54:$H$55</definedName>
    <definedName name="OSRRefH22_5x_0" localSheetId="91">'430'!$H$47</definedName>
    <definedName name="OSRRefH22_5x_0" localSheetId="92">'433'!$H$55</definedName>
    <definedName name="OSRRefH22_5x_0" localSheetId="93">'435'!$H$53</definedName>
    <definedName name="OSRRefH22_5x_0" localSheetId="94">'444'!$H$55</definedName>
    <definedName name="OSRRefH22_5x_0" localSheetId="95">'450'!$H$56</definedName>
    <definedName name="OSRRefH22_5x_0" localSheetId="76">'491'!$H$62:$H$65</definedName>
    <definedName name="OSRRefH22_5x_0" localSheetId="90">'492'!$H$58:$H$59</definedName>
    <definedName name="OSRRefH22_5x_0" localSheetId="97">'501'!$H$48</definedName>
    <definedName name="OSRRefH22_5x_0" localSheetId="39">'Div 2'!$H$50:$H$51</definedName>
    <definedName name="OSRRefH22_5x_0" localSheetId="47">'Div 3'!$H$197:$H$200</definedName>
    <definedName name="OSRRefH22_5x_0" localSheetId="74">'Div 4'!$H$64:$H$67</definedName>
    <definedName name="OSRRefH22_5x_0" localSheetId="96">'Div 5'!$H$48</definedName>
    <definedName name="OSRRefH22_5x_0" localSheetId="64">'Div 6'!$H$88</definedName>
    <definedName name="OSRRefH22_5x_0" localSheetId="2">Summary!$H$229:$H$232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'205'!$H$50</definedName>
    <definedName name="OSRRefH22_6x_0" localSheetId="46">'206'!$H$49</definedName>
    <definedName name="OSRRefH22_6x_0" localSheetId="48">'300'!$H$196:$H$197</definedName>
    <definedName name="OSRRefH22_6x_0" localSheetId="49">'300 &amp; 317'!$H$221:$H$222</definedName>
    <definedName name="OSRRefH22_6x_0" localSheetId="50">'301'!$H$53:$H$54</definedName>
    <definedName name="OSRRefH22_6x_0" localSheetId="51">'306'!$H$49</definedName>
    <definedName name="OSRRefH22_6x_0" localSheetId="53">'307'!$H$102</definedName>
    <definedName name="OSRRefH22_6x_0" localSheetId="55">'308'!$H$95:$H$96</definedName>
    <definedName name="OSRRefH22_6x_0" localSheetId="68">'309'!$H$56</definedName>
    <definedName name="OSRRefH22_6x_0" localSheetId="67">'310'!$H$64</definedName>
    <definedName name="OSRRefH22_6x_0" localSheetId="75">'310 &amp; 491'!$H$73</definedName>
    <definedName name="OSRRefH22_6x_0" localSheetId="56">'311'!$H$95:$H$96</definedName>
    <definedName name="OSRRefH22_6x_0" localSheetId="69">'313'!$H$58</definedName>
    <definedName name="OSRRefH22_6x_0" localSheetId="54">'314'!$H$87</definedName>
    <definedName name="OSRRefH22_6x_0" localSheetId="59">'315'!$H$88</definedName>
    <definedName name="OSRRefH22_6x_0" localSheetId="62">'316'!$H$62</definedName>
    <definedName name="OSRRefH22_6x_0" localSheetId="65">'317'!$H$90</definedName>
    <definedName name="OSRRefH22_6x_0" localSheetId="63">'320'!$H$60</definedName>
    <definedName name="OSRRefH22_6x_0" localSheetId="70">'321'!$H$54</definedName>
    <definedName name="OSRRefH22_6x_0" localSheetId="71">'322'!$H$56</definedName>
    <definedName name="OSRRefH22_6x_0" localSheetId="72">'325'!$H$57</definedName>
    <definedName name="OSRRefH22_6x_0" localSheetId="60">'326'!$H$85</definedName>
    <definedName name="OSRRefH22_6x_0" localSheetId="52">'330'!$H$110</definedName>
    <definedName name="OSRRefH22_6x_0" localSheetId="58">'331'!$H$101</definedName>
    <definedName name="OSRRefH22_6x_0" localSheetId="61">'332'!$H$71</definedName>
    <definedName name="OSRRefH22_6x_0" localSheetId="77">'405'!$H$57</definedName>
    <definedName name="OSRRefH22_6x_0" localSheetId="78">'406'!$H$57</definedName>
    <definedName name="OSRRefH22_6x_0" localSheetId="79">'411'!$H$53</definedName>
    <definedName name="OSRRefH22_6x_0" localSheetId="80">'412'!$H$57</definedName>
    <definedName name="OSRRefH22_6x_0" localSheetId="82">'413'!$H$56</definedName>
    <definedName name="OSRRefH22_6x_0" localSheetId="83">'414'!$H$57</definedName>
    <definedName name="OSRRefH22_6x_0" localSheetId="84">'415'!$H$57</definedName>
    <definedName name="OSRRefH22_6x_0" localSheetId="85">'418'!$H$58</definedName>
    <definedName name="OSRRefH22_6x_0" localSheetId="87">'424'!$H$54</definedName>
    <definedName name="OSRRefH22_6x_0" localSheetId="88">'425'!$H$57</definedName>
    <definedName name="OSRRefH22_6x_0" localSheetId="91">'430'!$H$49</definedName>
    <definedName name="OSRRefH22_6x_0" localSheetId="92">'433'!$H$57</definedName>
    <definedName name="OSRRefH22_6x_0" localSheetId="93">'435'!$H$55:$H$57</definedName>
    <definedName name="OSRRefH22_6x_0" localSheetId="94">'444'!$H$57</definedName>
    <definedName name="OSRRefH22_6x_0" localSheetId="95">'450'!$H$58</definedName>
    <definedName name="OSRRefH22_6x_0" localSheetId="76">'491'!$H$67</definedName>
    <definedName name="OSRRefH22_6x_0" localSheetId="90">'492'!$H$61</definedName>
    <definedName name="OSRRefH22_6x_0" localSheetId="97">'501'!$H$50</definedName>
    <definedName name="OSRRefH22_6x_0" localSheetId="39">'Div 2'!$H$53:$H$54</definedName>
    <definedName name="OSRRefH22_6x_0" localSheetId="47">'Div 3'!$H$202:$H$203</definedName>
    <definedName name="OSRRefH22_6x_0" localSheetId="74">'Div 4'!$H$69:$H$70</definedName>
    <definedName name="OSRRefH22_6x_0" localSheetId="96">'Div 5'!$H$50</definedName>
    <definedName name="OSRRefH22_6x_0" localSheetId="64">'Div 6'!$H$90</definedName>
    <definedName name="OSRRefH22_6x_0" localSheetId="2">Summary!$H$234:$H$235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'205'!$H$52:$H$53</definedName>
    <definedName name="OSRRefH22_7x_0" localSheetId="46">'206'!$H$51:$H$52</definedName>
    <definedName name="OSRRefH22_7x_0" localSheetId="48">'300'!$H$199:$H$200</definedName>
    <definedName name="OSRRefH22_7x_0" localSheetId="49">'300 &amp; 317'!$H$224:$H$225</definedName>
    <definedName name="OSRRefH22_7x_0" localSheetId="50">'301'!$H$56:$H$57</definedName>
    <definedName name="OSRRefH22_7x_0" localSheetId="51">'306'!$H$51:$H$52</definedName>
    <definedName name="OSRRefH22_7x_0" localSheetId="53">'307'!$H$104</definedName>
    <definedName name="OSRRefH22_7x_0" localSheetId="55">'308'!$H$98</definedName>
    <definedName name="OSRRefH22_7x_0" localSheetId="68">'309'!$H$58</definedName>
    <definedName name="OSRRefH22_7x_0" localSheetId="67">'310'!$H$66</definedName>
    <definedName name="OSRRefH22_7x_0" localSheetId="75">'310 &amp; 491'!$H$75</definedName>
    <definedName name="OSRRefH22_7x_0" localSheetId="56">'311'!$H$98</definedName>
    <definedName name="OSRRefH22_7x_0" localSheetId="69">'313'!$H$60</definedName>
    <definedName name="OSRRefH22_7x_0" localSheetId="54">'314'!$H$89</definedName>
    <definedName name="OSRRefH22_7x_0" localSheetId="59">'315'!$H$90</definedName>
    <definedName name="OSRRefH22_7x_0" localSheetId="62">'316'!$H$64</definedName>
    <definedName name="OSRRefH22_7x_0" localSheetId="65">'317'!$H$92</definedName>
    <definedName name="OSRRefH22_7x_0" localSheetId="63">'320'!$H$62:$H$63</definedName>
    <definedName name="OSRRefH22_7x_0" localSheetId="70">'321'!$H$56</definedName>
    <definedName name="OSRRefH22_7x_0" localSheetId="71">'322'!$H$58</definedName>
    <definedName name="OSRRefH22_7x_0" localSheetId="72">'325'!$H$59</definedName>
    <definedName name="OSRRefH22_7x_0" localSheetId="60">'326'!$H$87</definedName>
    <definedName name="OSRRefH22_7x_0" localSheetId="52">'330'!$H$112</definedName>
    <definedName name="OSRRefH22_7x_0" localSheetId="58">'331'!$H$103</definedName>
    <definedName name="OSRRefH22_7x_0" localSheetId="61">'332'!$H$73:$H$74</definedName>
    <definedName name="OSRRefH22_7x_0" localSheetId="77">'405'!$H$59</definedName>
    <definedName name="OSRRefH22_7x_0" localSheetId="78">'406'!$H$59</definedName>
    <definedName name="OSRRefH22_7x_0" localSheetId="79">'411'!$H$55</definedName>
    <definedName name="OSRRefH22_7x_0" localSheetId="80">'412'!$H$59</definedName>
    <definedName name="OSRRefH22_7x_0" localSheetId="82">'413'!$H$58</definedName>
    <definedName name="OSRRefH22_7x_0" localSheetId="83">'414'!$H$59</definedName>
    <definedName name="OSRRefH22_7x_0" localSheetId="84">'415'!$H$59</definedName>
    <definedName name="OSRRefH22_7x_0" localSheetId="85">'418'!$H$60</definedName>
    <definedName name="OSRRefH22_7x_0" localSheetId="87">'424'!$H$56:$H$57</definedName>
    <definedName name="OSRRefH22_7x_0" localSheetId="88">'425'!$H$59</definedName>
    <definedName name="OSRRefH22_7x_0" localSheetId="91">'430'!$H$51:$H$53</definedName>
    <definedName name="OSRRefH22_7x_0" localSheetId="92">'433'!$H$59</definedName>
    <definedName name="OSRRefH22_7x_0" localSheetId="93">'435'!$H$59</definedName>
    <definedName name="OSRRefH22_7x_0" localSheetId="94">'444'!$H$59</definedName>
    <definedName name="OSRRefH22_7x_0" localSheetId="95">'450'!$H$60</definedName>
    <definedName name="OSRRefH22_7x_0" localSheetId="76">'491'!$H$69</definedName>
    <definedName name="OSRRefH22_7x_0" localSheetId="90">'492'!$H$63</definedName>
    <definedName name="OSRRefH22_7x_0" localSheetId="97">'501'!$H$52</definedName>
    <definedName name="OSRRefH22_7x_0" localSheetId="39">'Div 2'!$H$56</definedName>
    <definedName name="OSRRefH22_7x_0" localSheetId="47">'Div 3'!$H$205:$H$206</definedName>
    <definedName name="OSRRefH22_7x_0" localSheetId="74">'Div 4'!$H$72</definedName>
    <definedName name="OSRRefH22_7x_0" localSheetId="96">'Div 5'!$H$52</definedName>
    <definedName name="OSRRefH22_7x_0" localSheetId="64">'Div 6'!$H$92</definedName>
    <definedName name="OSRRefH22_7x_0" localSheetId="2">Summary!$H$237:$H$239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'205'!$H$55</definedName>
    <definedName name="OSRRefH22_8x_0" localSheetId="46">'206'!$H$54</definedName>
    <definedName name="OSRRefH22_8x_0" localSheetId="48">'300'!$H$202</definedName>
    <definedName name="OSRRefH22_8x_0" localSheetId="49">'300 &amp; 317'!$H$227</definedName>
    <definedName name="OSRRefH22_8x_0" localSheetId="50">'301'!$H$59</definedName>
    <definedName name="OSRRefH22_8x_0" localSheetId="51">'306'!$H$54:$H$57</definedName>
    <definedName name="OSRRefH22_8x_0" localSheetId="53">'307'!$H$106:$H$107</definedName>
    <definedName name="OSRRefH22_8x_0" localSheetId="55">'308'!$H$100</definedName>
    <definedName name="OSRRefH22_8x_0" localSheetId="68">'309'!$H$60</definedName>
    <definedName name="OSRRefH22_8x_0" localSheetId="67">'310'!$H$68</definedName>
    <definedName name="OSRRefH22_8x_0" localSheetId="75">'310 &amp; 491'!$H$77</definedName>
    <definedName name="OSRRefH22_8x_0" localSheetId="56">'311'!$H$100</definedName>
    <definedName name="OSRRefH22_8x_0" localSheetId="69">'313'!$H$62</definedName>
    <definedName name="OSRRefH22_8x_0" localSheetId="54">'314'!$H$91</definedName>
    <definedName name="OSRRefH22_8x_0" localSheetId="59">'315'!$H$92</definedName>
    <definedName name="OSRRefH22_8x_0" localSheetId="62">'316'!$H$66</definedName>
    <definedName name="OSRRefH22_8x_0" localSheetId="65">'317'!$H$94</definedName>
    <definedName name="OSRRefH22_8x_0" localSheetId="63">'320'!$H$65</definedName>
    <definedName name="OSRRefH22_8x_0" localSheetId="70">'321'!$H$58</definedName>
    <definedName name="OSRRefH22_8x_0" localSheetId="71">'322'!$H$60</definedName>
    <definedName name="OSRRefH22_8x_0" localSheetId="72">'325'!$H$61</definedName>
    <definedName name="OSRRefH22_8x_0" localSheetId="60">'326'!$H$89</definedName>
    <definedName name="OSRRefH22_8x_0" localSheetId="52">'330'!$H$114</definedName>
    <definedName name="OSRRefH22_8x_0" localSheetId="58">'331'!$H$105:$H$106</definedName>
    <definedName name="OSRRefH22_8x_0" localSheetId="61">'332'!$H$76</definedName>
    <definedName name="OSRRefH22_8x_0" localSheetId="77">'405'!$H$61</definedName>
    <definedName name="OSRRefH22_8x_0" localSheetId="78">'406'!$H$61</definedName>
    <definedName name="OSRRefH22_8x_0" localSheetId="79">'411'!$H$57</definedName>
    <definedName name="OSRRefH22_8x_0" localSheetId="80">'412'!$H$61</definedName>
    <definedName name="OSRRefH22_8x_0" localSheetId="82">'413'!$H$60:$H$62</definedName>
    <definedName name="OSRRefH22_8x_0" localSheetId="83">'414'!$H$61</definedName>
    <definedName name="OSRRefH22_8x_0" localSheetId="84">'415'!$H$61</definedName>
    <definedName name="OSRRefH22_8x_0" localSheetId="85">'418'!$H$62</definedName>
    <definedName name="OSRRefH22_8x_0" localSheetId="87">'424'!$H$59:$H$60</definedName>
    <definedName name="OSRRefH22_8x_0" localSheetId="88">'425'!$H$61</definedName>
    <definedName name="OSRRefH22_8x_0" localSheetId="91">'430'!$H$55</definedName>
    <definedName name="OSRRefH22_8x_0" localSheetId="92">'433'!$H$61</definedName>
    <definedName name="OSRRefH22_8x_0" localSheetId="94">'444'!$H$61</definedName>
    <definedName name="OSRRefH22_8x_0" localSheetId="95">'450'!$H$62</definedName>
    <definedName name="OSRRefH22_8x_0" localSheetId="76">'491'!$H$71</definedName>
    <definedName name="OSRRefH22_8x_0" localSheetId="90">'492'!$H$65</definedName>
    <definedName name="OSRRefH22_8x_0" localSheetId="97">'501'!$H$54</definedName>
    <definedName name="OSRRefH22_8x_0" localSheetId="39">'Div 2'!$H$58</definedName>
    <definedName name="OSRRefH22_8x_0" localSheetId="47">'Div 3'!$H$208</definedName>
    <definedName name="OSRRefH22_8x_0" localSheetId="74">'Div 4'!$H$74</definedName>
    <definedName name="OSRRefH22_8x_0" localSheetId="96">'Div 5'!$H$54</definedName>
    <definedName name="OSRRefH22_8x_0" localSheetId="64">'Div 6'!$H$94</definedName>
    <definedName name="OSRRefH22_8x_0" localSheetId="2">Summary!$H$241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'204'!$H$61</definedName>
    <definedName name="OSRRefH22_9x_0" localSheetId="45">'205'!$H$57</definedName>
    <definedName name="OSRRefH22_9x_0" localSheetId="46">'206'!$H$56</definedName>
    <definedName name="OSRRefH22_9x_0" localSheetId="48">'300'!$H$204</definedName>
    <definedName name="OSRRefH22_9x_0" localSheetId="49">'300 &amp; 317'!$H$229</definedName>
    <definedName name="OSRRefH22_9x_0" localSheetId="50">'301'!$H$61</definedName>
    <definedName name="OSRRefH22_9x_0" localSheetId="51">'306'!$H$59</definedName>
    <definedName name="OSRRefH22_9x_0" localSheetId="53">'307'!$H$109:$H$110</definedName>
    <definedName name="OSRRefH22_9x_0" localSheetId="55">'308'!$H$102:$H$104</definedName>
    <definedName name="OSRRefH22_9x_0" localSheetId="68">'309'!$H$62:$H$63</definedName>
    <definedName name="OSRRefH22_9x_0" localSheetId="67">'310'!$H$70</definedName>
    <definedName name="OSRRefH22_9x_0" localSheetId="75">'310 &amp; 491'!$H$79</definedName>
    <definedName name="OSRRefH22_9x_0" localSheetId="56">'311'!$H$102:$H$104</definedName>
    <definedName name="OSRRefH22_9x_0" localSheetId="69">'313'!$H$64</definedName>
    <definedName name="OSRRefH22_9x_0" localSheetId="54">'314'!$H$93</definedName>
    <definedName name="OSRRefH22_9x_0" localSheetId="59">'315'!$H$94</definedName>
    <definedName name="OSRRefH22_9x_0" localSheetId="62">'316'!$H$68:$H$69</definedName>
    <definedName name="OSRRefH22_9x_0" localSheetId="65">'317'!$H$96:$H$97</definedName>
    <definedName name="OSRRefH22_9x_0" localSheetId="70">'321'!$H$60:$H$62</definedName>
    <definedName name="OSRRefH22_9x_0" localSheetId="71">'322'!$H$62:$H$64</definedName>
    <definedName name="OSRRefH22_9x_0" localSheetId="72">'325'!$H$63</definedName>
    <definedName name="OSRRefH22_9x_0" localSheetId="60">'326'!$H$91</definedName>
    <definedName name="OSRRefH22_9x_0" localSheetId="52">'330'!$H$116:$H$117</definedName>
    <definedName name="OSRRefH22_9x_0" localSheetId="58">'331'!$H$108</definedName>
    <definedName name="OSRRefH22_9x_0" localSheetId="61">'332'!$H$78</definedName>
    <definedName name="OSRRefH22_9x_0" localSheetId="77">'405'!$H$63</definedName>
    <definedName name="OSRRefH22_9x_0" localSheetId="78">'406'!$H$63:$H$65</definedName>
    <definedName name="OSRRefH22_9x_0" localSheetId="79">'411'!$H$59</definedName>
    <definedName name="OSRRefH22_9x_0" localSheetId="80">'412'!$H$63:$H$64</definedName>
    <definedName name="OSRRefH22_9x_0" localSheetId="82">'413'!$H$64</definedName>
    <definedName name="OSRRefH22_9x_0" localSheetId="83">'414'!$H$63:$H$64</definedName>
    <definedName name="OSRRefH22_9x_0" localSheetId="84">'415'!$H$63</definedName>
    <definedName name="OSRRefH22_9x_0" localSheetId="85">'418'!$H$64:$H$65</definedName>
    <definedName name="OSRRefH22_9x_0" localSheetId="87">'424'!$H$62</definedName>
    <definedName name="OSRRefH22_9x_0" localSheetId="88">'425'!$H$63:$H$65</definedName>
    <definedName name="OSRRefH22_9x_0" localSheetId="91">'430'!$H$57</definedName>
    <definedName name="OSRRefH22_9x_0" localSheetId="92">'433'!$H$63</definedName>
    <definedName name="OSRRefH22_9x_0" localSheetId="94">'444'!$H$63</definedName>
    <definedName name="OSRRefH22_9x_0" localSheetId="95">'450'!$H$64</definedName>
    <definedName name="OSRRefH22_9x_0" localSheetId="76">'491'!$H$73:$H$74</definedName>
    <definedName name="OSRRefH22_9x_0" localSheetId="90">'492'!$H$67</definedName>
    <definedName name="OSRRefH22_9x_0" localSheetId="97">'501'!$H$56</definedName>
    <definedName name="OSRRefH22_9x_0" localSheetId="39">'Div 2'!$H$60</definedName>
    <definedName name="OSRRefH22_9x_0" localSheetId="47">'Div 3'!$H$210</definedName>
    <definedName name="OSRRefH22_9x_0" localSheetId="74">'Div 4'!$H$76</definedName>
    <definedName name="OSRRefH22_9x_0" localSheetId="96">'Div 5'!$H$56</definedName>
    <definedName name="OSRRefH22_9x_0" localSheetId="64">'Div 6'!$H$96:$H$97</definedName>
    <definedName name="OSRRefH22_9x_0" localSheetId="2">Summary!$H$243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'204'!$H$21:$H$30,'204'!$H$32:$H$41,'204'!$H$43,'204'!$H$45:$H$46,'204'!$H$48,'204'!$H$50,'204'!$H$52,'204'!$H$54:$H$57,'204'!$H$59,'204'!$H$61,'204'!$H$63:$H$64,'204'!$H$66,'204'!$H$68:$H$69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$162:$H$171,'300'!$H$173:$H$182,'300'!$H$184,'300'!$H$186:$H$187,'300'!$H$189,'300'!$H$191:$H$194,'300'!$H$196:$H$197,'300'!$H$199:$H$200,'300'!$H$202,'300'!$H$204,'300'!$H$206:$H$207,'300'!$H$209,'300'!$H$211,'300'!$H$213,'300'!$H$215,'300'!$H$217,'300'!$H$219:$H$222,'300'!$H$224:$H$227,'300'!$H$229:$H$232,'300'!$H$234:$H$235,'300'!$H$237:$H$243,'300'!$H$245:$H$246,'300'!$H$248,'300'!$H$250:$H$252,'300'!$H$254</definedName>
    <definedName name="OSRRefH22x_0" localSheetId="49">'300 &amp; 317'!$H$187:$H$196,'300 &amp; 317'!$H$198:$H$207,'300 &amp; 317'!$H$209,'300 &amp; 317'!$H$211:$H$212,'300 &amp; 317'!$H$214,'300 &amp; 317'!$H$216:$H$219,'300 &amp; 317'!$H$221:$H$222,'300 &amp; 317'!$H$224:$H$225,'300 &amp; 317'!$H$227,'300 &amp; 317'!$H$229,'300 &amp; 317'!$H$231:$H$232,'300 &amp; 317'!$H$234,'300 &amp; 317'!$H$236,'300 &amp; 317'!$H$238,'300 &amp; 317'!$H$240,'300 &amp; 317'!$H$242,'300 &amp; 317'!$H$244:$H$247,'300 &amp; 317'!$H$249:$H$252,'300 &amp; 317'!$H$254:$H$257,'300 &amp; 317'!$H$259:$H$260,'300 &amp; 317'!$H$262:$H$268,'300 &amp; 317'!$H$270:$H$271,'300 &amp; 317'!$H$273,'300 &amp; 317'!$H$275:$H$277,'300 &amp; 317'!$H$279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$75,'301'!$H$77:$H$79,'301'!$H$81:$H$82,'301'!$H$84:$H$89,'301'!$H$91,'301'!$H$93,'301'!$H$95:$H$97,'301'!$H$99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'307'!$H$72:$H$80,'307'!$H$82:$H$91,'307'!$H$93,'307'!$H$95,'307'!$H$97:$H$98,'307'!$H$100,'307'!$H$102,'307'!$H$104,'307'!$H$106:$H$107,'307'!$H$109:$H$110,'307'!$H$112:$H$113,'307'!$H$115,'307'!$H$117</definedName>
    <definedName name="OSRRefH22x_0" localSheetId="55">'308'!$H$64:$H$73,'308'!$H$75:$H$84,'308'!$H$86,'308'!$H$88:$H$89,'308'!$H$91,'308'!$H$93,'308'!$H$95:$H$96,'308'!$H$98,'308'!$H$100,'308'!$H$102:$H$104,'308'!$H$106,'308'!$H$108:$H$110,'308'!$H$112:$H$113,'308'!$H$115,'308'!$H$117:$H$118</definedName>
    <definedName name="OSRRefH22x_0" localSheetId="68">'309'!$H$26:$H$34,'309'!$H$36:$H$45,'309'!$H$47,'309'!$H$49,'309'!$H$51,'309'!$H$53:$H$54,'309'!$H$56,'309'!$H$58,'309'!$H$60,'309'!$H$62:$H$63,'309'!$H$65:$H$67,'309'!$H$69:$H$71,'309'!$H$73,'309'!$H$75</definedName>
    <definedName name="OSRRefH22x_0" localSheetId="67">'310'!$H$33:$H$41,'310'!$H$43:$H$52,'310'!$H$54,'310'!$H$56,'310'!$H$58,'310'!$H$60:$H$62,'310'!$H$64,'310'!$H$66,'310'!$H$68,'310'!$H$70,'310'!$H$72,'310'!$H$74,'310'!$H$76,'310'!$H$78,'310'!$H$80,'310'!$H$82:$H$84,'310'!$H$86:$H$87,'310'!$H$89:$H$93,'310'!$H$95,'310'!$H$97:$H$104,'310'!$H$106,'310'!$H$108,'310'!$H$110,'310'!$H$112</definedName>
    <definedName name="OSRRefH22x_0" localSheetId="75">'310 &amp; 491'!$H$40:$H$49,'310 &amp; 491'!$H$51:$H$60,'310 &amp; 491'!$H$62,'310 &amp; 491'!$H$64,'310 &amp; 491'!$H$66,'310 &amp; 491'!$H$68:$H$71,'310 &amp; 491'!$H$73,'310 &amp; 491'!$H$75,'310 &amp; 491'!$H$77,'310 &amp; 491'!$H$79,'310 &amp; 491'!$H$81,'310 &amp; 491'!$H$83:$H$84,'310 &amp; 491'!$H$86,'310 &amp; 491'!$H$88,'310 &amp; 491'!$H$90,'310 &amp; 491'!$H$92,'310 &amp; 491'!$H$94,'310 &amp; 491'!$H$96:$H$99,'310 &amp; 491'!$H$101:$H$103,'310 &amp; 491'!$H$105:$H$110,'310 &amp; 491'!$H$112:$H$113,'310 &amp; 491'!$H$115:$H$124,'310 &amp; 491'!$H$126:$H$127,'310 &amp; 491'!$H$129,'310 &amp; 491'!$H$131:$H$133,'310 &amp; 491'!$H$135</definedName>
    <definedName name="OSRRefH22x_0" localSheetId="56">'311'!$H$64:$H$73,'311'!$H$75:$H$84,'311'!$H$86,'311'!$H$88:$H$89,'311'!$H$91,'311'!$H$93,'311'!$H$95:$H$96,'311'!$H$98,'311'!$H$100,'311'!$H$102:$H$104,'311'!$H$106,'311'!$H$108:$H$110,'311'!$H$112:$H$113,'311'!$H$115,'311'!$H$117:$H$118</definedName>
    <definedName name="OSRRefH22x_0" localSheetId="69">'313'!$H$29:$H$37,'313'!$H$39:$H$48,'313'!$H$50,'313'!$H$52,'313'!$H$54,'313'!$H$56,'313'!$H$58,'313'!$H$60,'313'!$H$62,'313'!$H$64,'313'!$H$66:$H$68,'313'!$H$70,'313'!$H$72:$H$76,'313'!$H$78,'313'!$H$80</definedName>
    <definedName name="OSRRefH22x_0" localSheetId="54">'314'!$H$58:$H$65,'314'!$H$67:$H$76,'314'!$H$78,'314'!$H$80:$H$81,'314'!$H$83,'314'!$H$85,'314'!$H$87,'314'!$H$89,'314'!$H$91,'314'!$H$93</definedName>
    <definedName name="OSRRefH22x_0" localSheetId="59">'315'!$H$57:$H$65,'315'!$H$67:$H$76,'315'!$H$78,'315'!$H$80:$H$81,'315'!$H$83,'315'!$H$85:$H$86,'315'!$H$88,'315'!$H$90,'315'!$H$92,'315'!$H$94,'315'!$H$96:$H$98,'315'!$H$100:$H$101,'315'!$H$103:$H$107,'315'!$H$109,'315'!$H$111,'315'!$H$113:$H$114</definedName>
    <definedName name="OSRRefH22x_0" localSheetId="62">'316'!$H$33:$H$41,'316'!$H$43:$H$52,'316'!$H$54,'316'!$H$56,'316'!$H$58,'316'!$H$60,'316'!$H$62,'316'!$H$64,'316'!$H$66,'316'!$H$68:$H$69,'316'!$H$71:$H$72,'316'!$H$74:$H$78,'316'!$H$80:$H$81,'316'!$H$83</definedName>
    <definedName name="OSRRefH22x_0" localSheetId="65">'317'!$H$60:$H$69,'317'!$H$71:$H$80,'317'!$H$82,'317'!$H$84,'317'!$H$86,'317'!$H$88,'317'!$H$90,'317'!$H$92,'317'!$H$94,'317'!$H$96:$H$97,'317'!$H$99:$H$100,'317'!$H$102,'317'!$H$104</definedName>
    <definedName name="OSRRefH22x_0" localSheetId="63">'320'!$H$31:$H$38,'320'!$H$40:$H$49,'320'!$H$51,'320'!$H$53,'320'!$H$55:$H$56,'320'!$H$58,'320'!$H$60,'320'!$H$62:$H$63,'320'!$H$65</definedName>
    <definedName name="OSRRefH22x_0" localSheetId="70">'321'!$H$26:$H$33,'321'!$H$35:$H$44,'321'!$H$46,'321'!$H$48,'321'!$H$50,'321'!$H$52,'321'!$H$54,'321'!$H$56,'321'!$H$58,'321'!$H$60:$H$62,'321'!$H$64:$H$65,'321'!$H$67:$H$69,'321'!$H$71:$H$73,'321'!$H$75,'321'!$H$77</definedName>
    <definedName name="OSRRefH22x_0" localSheetId="71">'322'!$H$26:$H$34,'322'!$H$36:$H$45,'322'!$H$47,'322'!$H$49,'322'!$H$51,'322'!$H$53:$H$54,'322'!$H$56,'322'!$H$58,'322'!$H$60,'322'!$H$62:$H$64,'322'!$H$66:$H$68,'322'!$H$70:$H$74,'322'!$H$76,'322'!$H$78</definedName>
    <definedName name="OSRRefH22x_0" localSheetId="72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0">'326'!$H$55:$H$63,'326'!$H$65:$H$74,'326'!$H$76,'326'!$H$78:$H$79,'326'!$H$81,'326'!$H$83,'326'!$H$85,'326'!$H$87,'326'!$H$89,'326'!$H$91,'326'!$H$93,'326'!$H$95,'326'!$H$97,'326'!$H$99:$H$100,'326'!$H$102:$H$104,'326'!$H$106:$H$107,'326'!$H$109:$H$113,'326'!$H$115:$H$116,'326'!$H$118,'326'!$H$120,'326'!$H$122</definedName>
    <definedName name="OSRRefH22x_0" localSheetId="73">'327'!$H$24,'327'!$H$26,'327'!$H$28</definedName>
    <definedName name="OSRRefH22x_0" localSheetId="52">'330'!$H$80:$H$88,'330'!$H$90:$H$99,'330'!$H$101,'330'!$H$103,'330'!$H$105:$H$106,'330'!$H$108,'330'!$H$110,'330'!$H$112,'330'!$H$114,'330'!$H$116:$H$117,'330'!$H$119:$H$120,'330'!$H$122,'330'!$H$124:$H$125,'330'!$H$127,'330'!$H$129,'330'!$H$131</definedName>
    <definedName name="OSRRefH22x_0" localSheetId="58">'331'!$H$70:$H$78,'331'!$H$80:$H$89,'331'!$H$91,'331'!$H$93:$H$94,'331'!$H$96,'331'!$H$98:$H$99,'331'!$H$101,'331'!$H$103,'331'!$H$105:$H$106,'331'!$H$108,'331'!$H$110,'331'!$H$112,'331'!$H$114,'331'!$H$116,'331'!$H$118:$H$119,'331'!$H$121:$H$123,'331'!$H$125:$H$127,'331'!$H$129:$H$130,'331'!$H$132:$H$137,'331'!$H$139:$H$140,'331'!$H$142,'331'!$H$144:$H$145,'331'!$H$147</definedName>
    <definedName name="OSRRefH22x_0" localSheetId="61">'332'!$H$42:$H$50,'332'!$H$52:$H$61,'332'!$H$63,'332'!$H$65,'332'!$H$67,'332'!$H$69,'332'!$H$71,'332'!$H$73:$H$74,'332'!$H$76,'332'!$H$78,'332'!$H$80:$H$81,'332'!$H$83:$H$84,'332'!$H$86:$H$90,'332'!$H$92:$H$93,'332'!$H$95</definedName>
    <definedName name="OSRRefH22x_0" localSheetId="77">'405'!$H$26:$H$34,'405'!$H$36:$H$45,'405'!$H$47,'405'!$H$49,'405'!$H$51,'405'!$H$53:$H$55,'405'!$H$57,'405'!$H$59,'405'!$H$61,'405'!$H$63,'405'!$H$65,'405'!$H$67:$H$69,'405'!$H$71,'405'!$H$73:$H$75,'405'!$H$77:$H$78,'405'!$H$80:$H$88,'405'!$H$90,'405'!$H$92,'405'!$H$94</definedName>
    <definedName name="OSRRefH22x_0" localSheetId="78">'406'!$H$27:$H$35,'406'!$H$37:$H$46,'406'!$H$48,'406'!$H$50,'406'!$H$52,'406'!$H$54:$H$55,'406'!$H$57,'406'!$H$59,'406'!$H$61,'406'!$H$63:$H$65,'406'!$H$67:$H$69,'406'!$H$71:$H$76,'406'!$H$78:$H$79,'406'!$H$81,'406'!$H$83</definedName>
    <definedName name="OSRRefH22x_0" localSheetId="79">'411'!$H$20:$H$29,'411'!$H$31:$H$40,'411'!$H$42,'411'!$H$44:$H$47,'411'!$H$49,'411'!$H$51,'411'!$H$53,'411'!$H$55,'411'!$H$57,'411'!$H$59,'411'!$H$61:$H$63,'411'!$H$65:$H$69,'411'!$H$71,'411'!$H$73:$H$79,'411'!$H$81,'411'!$H$83,'411'!$H$85:$H$87,'411'!$H$89</definedName>
    <definedName name="OSRRefH22x_0" localSheetId="80">'412'!$H$26:$H$34,'412'!$H$36:$H$45,'412'!$H$47,'412'!$H$49,'412'!$H$51,'412'!$H$53:$H$55,'412'!$H$57,'412'!$H$59,'412'!$H$61,'412'!$H$63:$H$64,'412'!$H$66,'412'!$H$68:$H$70,'412'!$H$72:$H$77,'412'!$H$79,'412'!$H$81</definedName>
    <definedName name="OSRRefH22x_0" localSheetId="82">'413'!$H$27:$H$35,'413'!$H$37:$H$46,'413'!$H$48,'413'!$H$50,'413'!$H$52,'413'!$H$54,'413'!$H$56,'413'!$H$58,'413'!$H$60:$H$62,'413'!$H$64,'413'!$H$66:$H$71,'413'!$H$73:$H$74,'413'!$H$76</definedName>
    <definedName name="OSRRefH22x_0" localSheetId="83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4">'415'!$H$26:$H$34,'415'!$H$36:$H$45,'415'!$H$47,'415'!$H$49,'415'!$H$51,'415'!$H$53:$H$55,'415'!$H$57,'415'!$H$59,'415'!$H$61,'415'!$H$63,'415'!$H$65,'415'!$H$67:$H$69,'415'!$H$71:$H$75,'415'!$H$77:$H$78,'415'!$H$80:$H$87,'415'!$H$89,'415'!$H$91,'415'!$H$93:$H$94,'415'!$H$96</definedName>
    <definedName name="OSRRefH22x_0" localSheetId="85">'418'!$H$27:$H$35,'418'!$H$37:$H$46,'418'!$H$48,'418'!$H$50,'418'!$H$52,'418'!$H$54:$H$56,'418'!$H$58,'418'!$H$60,'418'!$H$62,'418'!$H$64:$H$65,'418'!$H$67:$H$69,'418'!$H$71:$H$73,'418'!$H$75:$H$76,'418'!$H$78:$H$84,'418'!$H$86,'418'!$H$88,'418'!$H$90</definedName>
    <definedName name="OSRRefH22x_0" localSheetId="81">'420'!$H$23:$H$29,'420'!$H$31:$H$34,'420'!$H$36,'420'!$H$38,'420'!$H$40:$H$41,'420'!$H$43</definedName>
    <definedName name="OSRRefH22x_0" localSheetId="86">'423'!$H$21:$H$29,'423'!$H$31:$H$40,'423'!$H$42,'423'!$H$44,'423'!$H$46,'423'!$H$48</definedName>
    <definedName name="OSRRefH22x_0" localSheetId="87">'424'!$H$26:$H$33,'424'!$H$35:$H$44,'424'!$H$46,'424'!$H$48,'424'!$H$50,'424'!$H$52,'424'!$H$54,'424'!$H$56:$H$57,'424'!$H$59:$H$60,'424'!$H$62,'424'!$H$64:$H$67,'424'!$H$69:$H$70</definedName>
    <definedName name="OSRRefH22x_0" localSheetId="88">'425'!$H$27:$H$35,'425'!$H$37:$H$46,'425'!$H$48,'425'!$H$50,'425'!$H$52,'425'!$H$54:$H$55,'425'!$H$57,'425'!$H$59,'425'!$H$61,'425'!$H$63:$H$65,'425'!$H$67:$H$68,'425'!$H$70:$H$71,'425'!$H$73:$H$79,'425'!$H$81:$H$82,'425'!$H$84,'425'!$H$86</definedName>
    <definedName name="OSRRefH22x_0" localSheetId="91">'430'!$H$20:$H$28,'430'!$H$30:$H$39,'430'!$H$41,'430'!$H$43,'430'!$H$45,'430'!$H$47,'430'!$H$49,'430'!$H$51:$H$53,'430'!$H$55,'430'!$H$57,'430'!$H$59</definedName>
    <definedName name="OSRRefH22x_0" localSheetId="92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3">'435'!$H$27:$H$34,'435'!$H$36:$H$45,'435'!$H$47,'435'!$H$49,'435'!$H$51,'435'!$H$53,'435'!$H$55:$H$57,'435'!$H$59</definedName>
    <definedName name="OSRRefH22x_0" localSheetId="94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5">'450'!$H$27:$H$36,'450'!$H$38:$H$47,'450'!$H$49,'450'!$H$51:$H$52,'450'!$H$54,'450'!$H$56,'450'!$H$58,'450'!$H$60,'450'!$H$62,'450'!$H$64,'450'!$H$66,'450'!$H$68:$H$70,'450'!$H$72:$H$74,'450'!$H$76:$H$81,'450'!$H$83,'450'!$H$85,'450'!$H$87:$H$88</definedName>
    <definedName name="OSRRefH22x_0" localSheetId="89">'455'!$H$20:$H$27,'455'!$H$29:$H$38</definedName>
    <definedName name="OSRRefH22x_0" localSheetId="76">'491'!$H$34:$H$43,'491'!$H$45:$H$54,'491'!$H$56,'491'!$H$58,'491'!$H$60,'491'!$H$62:$H$65,'491'!$H$67,'491'!$H$69,'491'!$H$71,'491'!$H$73:$H$74,'491'!$H$76,'491'!$H$78,'491'!$H$80,'491'!$H$82,'491'!$H$84:$H$87,'491'!$H$89:$H$91,'491'!$H$93:$H$97,'491'!$H$99:$H$100,'491'!$H$102:$H$111,'491'!$H$113:$H$114,'491'!$H$116,'491'!$H$118:$H$120,'491'!$H$122</definedName>
    <definedName name="OSRRefH22x_0" localSheetId="90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7">'501'!$H$21:$H$29,'501'!$H$31:$H$40,'501'!$H$42,'501'!$H$44,'501'!$H$46,'501'!$H$48,'501'!$H$50,'501'!$H$52,'501'!$H$54,'501'!$H$56,'501'!$H$58:$H$60,'501'!$H$62:$H$64,'501'!$H$66,'501'!$H$68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2'!$H$86:$H$89,'Div 2'!$H$91:$H$92,'Div 2'!$H$94,'Div 2'!$H$96:$H$97</definedName>
    <definedName name="OSRRefH22x_0" localSheetId="47">'Div 3'!$H$168:$H$177,'Div 3'!$H$179:$H$188,'Div 3'!$H$190,'Div 3'!$H$192:$H$193,'Div 3'!$H$195,'Div 3'!$H$197:$H$200,'Div 3'!$H$202:$H$203,'Div 3'!$H$205:$H$206,'Div 3'!$H$208,'Div 3'!$H$210,'Div 3'!$H$212:$H$213,'Div 3'!$H$215,'Div 3'!$H$217,'Div 3'!$H$219,'Div 3'!$H$221,'Div 3'!$H$223,'Div 3'!$H$225,'Div 3'!$H$227,'Div 3'!$H$229:$H$232,'Div 3'!$H$234:$H$237,'Div 3'!$H$239:$H$244,'Div 3'!$H$246:$H$247,'Div 3'!$H$249:$H$256,'Div 3'!$H$258:$H$259,'Div 3'!$H$261,'Div 3'!$H$263:$H$265,'Div 3'!$H$267</definedName>
    <definedName name="OSRRefH22x_0" localSheetId="74">'Div 4'!$H$35:$H$44,'Div 4'!$H$46:$H$55,'Div 4'!$H$57,'Div 4'!$H$59:$H$60,'Div 4'!$H$62,'Div 4'!$H$64:$H$67,'Div 4'!$H$69:$H$70,'Div 4'!$H$72,'Div 4'!$H$74,'Div 4'!$H$76,'Div 4'!$H$78:$H$79,'Div 4'!$H$81,'Div 4'!$H$83,'Div 4'!$H$85,'Div 4'!$H$87,'Div 4'!$H$89,'Div 4'!$H$91:$H$94,'Div 4'!$H$96:$H$98,'Div 4'!$H$100:$H$104,'Div 4'!$H$106:$H$107,'Div 4'!$H$109:$H$118,'Div 4'!$H$120:$H$121,'Div 4'!$H$123,'Div 4'!$H$125:$H$127,'Div 4'!$H$129</definedName>
    <definedName name="OSRRefH22x_0" localSheetId="96">'Div 5'!$H$21:$H$29,'Div 5'!$H$31:$H$40,'Div 5'!$H$42,'Div 5'!$H$44,'Div 5'!$H$46,'Div 5'!$H$48,'Div 5'!$H$50,'Div 5'!$H$52,'Div 5'!$H$54,'Div 5'!$H$56,'Div 5'!$H$58:$H$60,'Div 5'!$H$62:$H$64,'Div 5'!$H$66,'Div 5'!$H$68</definedName>
    <definedName name="OSRRefH22x_0" localSheetId="64">'Div 6'!$H$60:$H$69,'Div 6'!$H$71:$H$80,'Div 6'!$H$82,'Div 6'!$H$84,'Div 6'!$H$86,'Div 6'!$H$88,'Div 6'!$H$90,'Div 6'!$H$92,'Div 6'!$H$94,'Div 6'!$H$96:$H$97,'Div 6'!$H$99:$H$100,'Div 6'!$H$102,'Div 6'!$H$104</definedName>
    <definedName name="OSRRefH22x_0" localSheetId="2">Summary!$H$200:$H$209,Summary!$H$211:$H$220,Summary!$H$222,Summary!$H$224:$H$225,Summary!$H$227,Summary!$H$229:$H$232,Summary!$H$234:$H$235,Summary!$H$237:$H$239,Summary!$H$241,Summary!$H$243,Summary!$H$245:$H$246,Summary!$H$248:$H$249,Summary!$H$251,Summary!$H$253,Summary!$H$255,Summary!$H$257,Summary!$H$259,Summary!$H$261,Summary!$H$263:$H$266,Summary!$H$268:$H$271,Summary!$H$273:$H$278,Summary!$H$280:$H$281,Summary!$H$283:$H$292,Summary!$H$294:$H$295,Summary!$H$297,Summary!$H$299:$H$301,Summary!$H$303</definedName>
    <definedName name="OSRRefH25x_0" localSheetId="48">'300'!$H$257:$H$265</definedName>
    <definedName name="OSRRefH25x_0" localSheetId="49">'300 &amp; 317'!$H$282:$H$293</definedName>
    <definedName name="OSRRefH25x_0" localSheetId="50">'301'!$H$102:$H$105</definedName>
    <definedName name="OSRRefH25x_0" localSheetId="53">'307'!$H$120</definedName>
    <definedName name="OSRRefH25x_0" localSheetId="55">'308'!$H$121:$H$124</definedName>
    <definedName name="OSRRefH25x_0" localSheetId="75">'310 &amp; 491'!$H$138:$H$141</definedName>
    <definedName name="OSRRefH25x_0" localSheetId="56">'311'!$H$121:$H$124</definedName>
    <definedName name="OSRRefH25x_0" localSheetId="59">'315'!$H$117:$H$119</definedName>
    <definedName name="OSRRefH25x_0" localSheetId="62">'316'!$H$86:$H$87</definedName>
    <definedName name="OSRRefH25x_0" localSheetId="65">'317'!$H$107:$H$110</definedName>
    <definedName name="OSRRefH25x_0" localSheetId="63">'320'!$H$68:$H$72</definedName>
    <definedName name="OSRRefH25x_0" localSheetId="52">'330'!$H$134</definedName>
    <definedName name="OSRRefH25x_0" localSheetId="58">'331'!$H$150:$H$152</definedName>
    <definedName name="OSRRefH25x_0" localSheetId="61">'332'!$H$98:$H$104</definedName>
    <definedName name="OSRRefH25x_0" localSheetId="79">'411'!$H$92:$H$93</definedName>
    <definedName name="OSRRefH25x_0" localSheetId="82">'413'!$H$79</definedName>
    <definedName name="OSRRefH25x_0" localSheetId="84">'415'!$H$99</definedName>
    <definedName name="OSRRefH25x_0" localSheetId="86">'423'!$H$51</definedName>
    <definedName name="OSRRefH25x_0" localSheetId="87">'424'!$H$73</definedName>
    <definedName name="OSRRefH25x_0" localSheetId="88">'425'!$H$89</definedName>
    <definedName name="OSRRefH25x_0" localSheetId="89">'455'!$H$41:$H$44</definedName>
    <definedName name="OSRRefH25x_0" localSheetId="76">'491'!$H$125:$H$128</definedName>
    <definedName name="OSRRefH25x_0" localSheetId="97">'501'!$H$71</definedName>
    <definedName name="OSRRefH25x_0" localSheetId="47">'Div 3'!$H$270:$H$278</definedName>
    <definedName name="OSRRefH25x_0" localSheetId="74">'Div 4'!$H$132:$H$135</definedName>
    <definedName name="OSRRefH25x_0" localSheetId="96">'Div 5'!$H$71</definedName>
    <definedName name="OSRRefH25x_0" localSheetId="64">'Div 6'!$H$107:$H$110</definedName>
    <definedName name="OSRRefH25x_0" localSheetId="2">Summary!$H$306:$H$318</definedName>
    <definedName name="OSRRefP13x_0" localSheetId="44">'204'!$P$13</definedName>
    <definedName name="OSRRefP13x_0" localSheetId="48">'300'!$P$13:$P$103</definedName>
    <definedName name="OSRRefP13x_0" localSheetId="49">'300 &amp; 317'!$P$13:$P$121</definedName>
    <definedName name="OSRRefP13x_0" localSheetId="53">'307'!$P$13:$P$43</definedName>
    <definedName name="OSRRefP13x_0" localSheetId="55">'308'!$P$13:$P$40</definedName>
    <definedName name="OSRRefP13x_0" localSheetId="68">'309'!$P$13:$P$15</definedName>
    <definedName name="OSRRefP13x_0" localSheetId="67">'310'!$P$13:$P$22</definedName>
    <definedName name="OSRRefP13x_0" localSheetId="75">'310 &amp; 491'!$P$13:$P$29</definedName>
    <definedName name="OSRRefP13x_0" localSheetId="56">'311'!$P$13:$P$40</definedName>
    <definedName name="OSRRefP13x_0" localSheetId="69">'313'!$P$13:$P$18</definedName>
    <definedName name="OSRRefP13x_0" localSheetId="54">'314'!$P$13:$P$34</definedName>
    <definedName name="OSRRefP13x_0" localSheetId="59">'315'!$P$13:$P$33</definedName>
    <definedName name="OSRRefP13x_0" localSheetId="62">'316'!$P$13:$P$25</definedName>
    <definedName name="OSRRefP13x_0" localSheetId="65">'317'!$P$13:$P$38</definedName>
    <definedName name="OSRRefP13x_0" localSheetId="63">'320'!$P$13:$P$17</definedName>
    <definedName name="OSRRefP13x_0" localSheetId="70">'321'!$P$13:$P$15</definedName>
    <definedName name="OSRRefP13x_0" localSheetId="71">'322'!$P$13:$P$15</definedName>
    <definedName name="OSRRefP13x_0" localSheetId="57">'324'!$P$13:$P$15</definedName>
    <definedName name="OSRRefP13x_0" localSheetId="72">'325'!$P$13:$P$15</definedName>
    <definedName name="OSRRefP13x_0" localSheetId="60">'326'!$P$13:$P$32</definedName>
    <definedName name="OSRRefP13x_0" localSheetId="73">'327'!$P$13:$P$14</definedName>
    <definedName name="OSRRefP13x_0" localSheetId="52">'330'!$P$13:$P$48</definedName>
    <definedName name="OSRRefP13x_0" localSheetId="58">'331'!$P$13:$P$40</definedName>
    <definedName name="OSRRefP13x_0" localSheetId="61">'332'!$P$13:$P$28</definedName>
    <definedName name="OSRRefP13x_0" localSheetId="77">'405'!$P$13:$P$15</definedName>
    <definedName name="OSRRefP13x_0" localSheetId="78">'406'!$P$13:$P$16</definedName>
    <definedName name="OSRRefP13x_0" localSheetId="80">'412'!$P$13:$P$16</definedName>
    <definedName name="OSRRefP13x_0" localSheetId="82">'413'!$P$13:$P$16</definedName>
    <definedName name="OSRRefP13x_0" localSheetId="83">'414'!$P$13:$P$16</definedName>
    <definedName name="OSRRefP13x_0" localSheetId="84">'415'!$P$13:$P$15</definedName>
    <definedName name="OSRRefP13x_0" localSheetId="85">'418'!$P$13:$P$16</definedName>
    <definedName name="OSRRefP13x_0" localSheetId="81">'420'!$P$13:$P$14</definedName>
    <definedName name="OSRRefP13x_0" localSheetId="87">'424'!$P$13:$P$15</definedName>
    <definedName name="OSRRefP13x_0" localSheetId="88">'425'!$P$13:$P$16</definedName>
    <definedName name="OSRRefP13x_0" localSheetId="92">'433'!$P$13:$P$16</definedName>
    <definedName name="OSRRefP13x_0" localSheetId="93">'435'!$P$13:$P$16</definedName>
    <definedName name="OSRRefP13x_0" localSheetId="94">'444'!$P$13:$P$16</definedName>
    <definedName name="OSRRefP13x_0" localSheetId="95">'450'!$P$13:$P$16</definedName>
    <definedName name="OSRRefP13x_0" localSheetId="76">'491'!$P$13:$P$23</definedName>
    <definedName name="OSRRefP13x_0" localSheetId="90">'492'!$P$13:$P$18</definedName>
    <definedName name="OSRRefP13x_0" localSheetId="97">'501'!$P$13</definedName>
    <definedName name="OSRRefP13x_0" localSheetId="39">'Div 2'!$P$13</definedName>
    <definedName name="OSRRefP13x_0" localSheetId="47">'Div 3'!$P$13:$P$107</definedName>
    <definedName name="OSRRefP13x_0" localSheetId="74">'Div 4'!$P$13:$P$24</definedName>
    <definedName name="OSRRefP13x_0" localSheetId="96">'Div 5'!$P$13</definedName>
    <definedName name="OSRRefP13x_0" localSheetId="64">'Div 6'!$P$13:$P$38</definedName>
    <definedName name="OSRRefP13x_0" localSheetId="2">Summary!$P$13:$P$132</definedName>
    <definedName name="OSRRefP16x_0" localSheetId="48">'300'!$P$106:$P$156</definedName>
    <definedName name="OSRRefP16x_0" localSheetId="49">'300 &amp; 317'!$P$124:$P$181</definedName>
    <definedName name="OSRRefP16x_0" localSheetId="53">'307'!$P$46:$P$66</definedName>
    <definedName name="OSRRefP16x_0" localSheetId="55">'308'!$P$43:$P$58</definedName>
    <definedName name="OSRRefP16x_0" localSheetId="68">'309'!$P$18:$P$20</definedName>
    <definedName name="OSRRefP16x_0" localSheetId="67">'310'!$P$25:$P$27</definedName>
    <definedName name="OSRRefP16x_0" localSheetId="75">'310 &amp; 491'!$P$32:$P$34</definedName>
    <definedName name="OSRRefP16x_0" localSheetId="56">'311'!$P$43:$P$58</definedName>
    <definedName name="OSRRefP16x_0" localSheetId="69">'313'!$P$21:$P$23</definedName>
    <definedName name="OSRRefP16x_0" localSheetId="54">'314'!$P$37:$P$52</definedName>
    <definedName name="OSRRefP16x_0" localSheetId="59">'315'!$P$36:$P$51</definedName>
    <definedName name="OSRRefP16x_0" localSheetId="65">'317'!$P$41:$P$54</definedName>
    <definedName name="OSRRefP16x_0" localSheetId="63">'320'!$P$20:$P$25</definedName>
    <definedName name="OSRRefP16x_0" localSheetId="70">'321'!$P$18:$P$20</definedName>
    <definedName name="OSRRefP16x_0" localSheetId="71">'322'!$P$18:$P$20</definedName>
    <definedName name="OSRRefP16x_0" localSheetId="57">'324'!$P$18:$P$20</definedName>
    <definedName name="OSRRefP16x_0" localSheetId="72">'325'!$P$18:$P$20</definedName>
    <definedName name="OSRRefP16x_0" localSheetId="60">'326'!$P$35:$P$49</definedName>
    <definedName name="OSRRefP16x_0" localSheetId="73">'327'!$P$17:$P$18</definedName>
    <definedName name="OSRRefP16x_0" localSheetId="52">'330'!$P$51:$P$74</definedName>
    <definedName name="OSRRefP16x_0" localSheetId="58">'331'!$P$43:$P$64</definedName>
    <definedName name="OSRRefP16x_0" localSheetId="61">'332'!$P$31:$P$36</definedName>
    <definedName name="OSRRefP16x_0" localSheetId="77">'405'!$P$18:$P$20</definedName>
    <definedName name="OSRRefP16x_0" localSheetId="78">'406'!$P$19:$P$21</definedName>
    <definedName name="OSRRefP16x_0" localSheetId="80">'412'!$P$19:$P$20</definedName>
    <definedName name="OSRRefP16x_0" localSheetId="82">'413'!$P$19:$P$21</definedName>
    <definedName name="OSRRefP16x_0" localSheetId="83">'414'!$P$19:$P$21</definedName>
    <definedName name="OSRRefP16x_0" localSheetId="84">'415'!$P$18:$P$20</definedName>
    <definedName name="OSRRefP16x_0" localSheetId="85">'418'!$P$19:$P$21</definedName>
    <definedName name="OSRRefP16x_0" localSheetId="81">'420'!$P$17</definedName>
    <definedName name="OSRRefP16x_0" localSheetId="86">'423'!$P$15</definedName>
    <definedName name="OSRRefP16x_0" localSheetId="87">'424'!$P$18:$P$20</definedName>
    <definedName name="OSRRefP16x_0" localSheetId="88">'425'!$P$19:$P$21</definedName>
    <definedName name="OSRRefP16x_0" localSheetId="92">'433'!$P$19:$P$21</definedName>
    <definedName name="OSRRefP16x_0" localSheetId="93">'435'!$P$19:$P$21</definedName>
    <definedName name="OSRRefP16x_0" localSheetId="94">'444'!$P$19:$P$21</definedName>
    <definedName name="OSRRefP16x_0" localSheetId="95">'450'!$P$19:$P$21</definedName>
    <definedName name="OSRRefP16x_0" localSheetId="76">'491'!$P$26:$P$28</definedName>
    <definedName name="OSRRefP16x_0" localSheetId="90">'492'!$P$21:$P$23</definedName>
    <definedName name="OSRRefP16x_0" localSheetId="47">'Div 3'!$P$110:$P$162</definedName>
    <definedName name="OSRRefP16x_0" localSheetId="74">'Div 4'!$P$27:$P$29</definedName>
    <definedName name="OSRRefP16x_0" localSheetId="64">'Div 6'!$P$41:$P$54</definedName>
    <definedName name="OSRRefP16x_0" localSheetId="2">Summary!$P$135:$P$194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'300'!$P$162:$P$171</definedName>
    <definedName name="OSRRefP22_0x_0" localSheetId="49">'300 &amp; 317'!$P$187:$P$196</definedName>
    <definedName name="OSRRefP22_0x_0" localSheetId="50">'301'!$P$20:$P$28</definedName>
    <definedName name="OSRRefP22_0x_0" localSheetId="51">'306'!$P$20:$P$28</definedName>
    <definedName name="OSRRefP22_0x_0" localSheetId="53">'307'!$P$72:$P$80</definedName>
    <definedName name="OSRRefP22_0x_0" localSheetId="55">'308'!$P$64:$P$73</definedName>
    <definedName name="OSRRefP22_0x_0" localSheetId="68">'309'!$P$26:$P$34</definedName>
    <definedName name="OSRRefP22_0x_0" localSheetId="67">'310'!$P$33:$P$41</definedName>
    <definedName name="OSRRefP22_0x_0" localSheetId="75">'310 &amp; 491'!$P$40:$P$49</definedName>
    <definedName name="OSRRefP22_0x_0" localSheetId="56">'311'!$P$64:$P$73</definedName>
    <definedName name="OSRRefP22_0x_0" localSheetId="69">'313'!$P$29:$P$37</definedName>
    <definedName name="OSRRefP22_0x_0" localSheetId="54">'314'!$P$58:$P$65</definedName>
    <definedName name="OSRRefP22_0x_0" localSheetId="59">'315'!$P$57:$P$65</definedName>
    <definedName name="OSRRefP22_0x_0" localSheetId="62">'316'!$P$33:$P$41</definedName>
    <definedName name="OSRRefP22_0x_0" localSheetId="65">'317'!$P$60:$P$69</definedName>
    <definedName name="OSRRefP22_0x_0" localSheetId="63">'320'!$P$31:$P$38</definedName>
    <definedName name="OSRRefP22_0x_0" localSheetId="70">'321'!$P$26:$P$33</definedName>
    <definedName name="OSRRefP22_0x_0" localSheetId="71">'322'!$P$26:$P$34</definedName>
    <definedName name="OSRRefP22_0x_0" localSheetId="72">'325'!$P$26:$P$34</definedName>
    <definedName name="OSRRefP22_0x_0" localSheetId="60">'326'!$P$55:$P$63</definedName>
    <definedName name="OSRRefP22_0x_0" localSheetId="73">'327'!$P$24</definedName>
    <definedName name="OSRRefP22_0x_0" localSheetId="52">'330'!$P$80:$P$88</definedName>
    <definedName name="OSRRefP22_0x_0" localSheetId="58">'331'!$P$70:$P$78</definedName>
    <definedName name="OSRRefP22_0x_0" localSheetId="61">'332'!$P$42:$P$50</definedName>
    <definedName name="OSRRefP22_0x_0" localSheetId="77">'405'!$P$26:$P$34</definedName>
    <definedName name="OSRRefP22_0x_0" localSheetId="78">'406'!$P$27:$P$35</definedName>
    <definedName name="OSRRefP22_0x_0" localSheetId="79">'411'!$P$20:$P$29</definedName>
    <definedName name="OSRRefP22_0x_0" localSheetId="80">'412'!$P$26:$P$34</definedName>
    <definedName name="OSRRefP22_0x_0" localSheetId="82">'413'!$P$27:$P$35</definedName>
    <definedName name="OSRRefP22_0x_0" localSheetId="83">'414'!$P$27:$P$35</definedName>
    <definedName name="OSRRefP22_0x_0" localSheetId="84">'415'!$P$26:$P$34</definedName>
    <definedName name="OSRRefP22_0x_0" localSheetId="85">'418'!$P$27:$P$35</definedName>
    <definedName name="OSRRefP22_0x_0" localSheetId="81">'420'!$P$23:$P$29</definedName>
    <definedName name="OSRRefP22_0x_0" localSheetId="86">'423'!$P$21:$P$29</definedName>
    <definedName name="OSRRefP22_0x_0" localSheetId="87">'424'!$P$26:$P$33</definedName>
    <definedName name="OSRRefP22_0x_0" localSheetId="88">'425'!$P$27:$P$35</definedName>
    <definedName name="OSRRefP22_0x_0" localSheetId="91">'430'!$P$20:$P$28</definedName>
    <definedName name="OSRRefP22_0x_0" localSheetId="92">'433'!$P$27:$P$36</definedName>
    <definedName name="OSRRefP22_0x_0" localSheetId="93">'435'!$P$27:$P$34</definedName>
    <definedName name="OSRRefP22_0x_0" localSheetId="94">'444'!$P$27:$P$36</definedName>
    <definedName name="OSRRefP22_0x_0" localSheetId="95">'450'!$P$27:$P$36</definedName>
    <definedName name="OSRRefP22_0x_0" localSheetId="89">'455'!$P$20:$P$27</definedName>
    <definedName name="OSRRefP22_0x_0" localSheetId="76">'491'!$P$34:$P$43</definedName>
    <definedName name="OSRRefP22_0x_0" localSheetId="90">'492'!$P$29:$P$38</definedName>
    <definedName name="OSRRefP22_0x_0" localSheetId="97">'501'!$P$21:$P$29</definedName>
    <definedName name="OSRRefP22_0x_0" localSheetId="39">'Div 2'!$P$21:$P$31</definedName>
    <definedName name="OSRRefP22_0x_0" localSheetId="47">'Div 3'!$P$168:$P$177</definedName>
    <definedName name="OSRRefP22_0x_0" localSheetId="74">'Div 4'!$P$35:$P$44</definedName>
    <definedName name="OSRRefP22_0x_0" localSheetId="96">'Div 5'!$P$21:$P$29</definedName>
    <definedName name="OSRRefP22_0x_0" localSheetId="64">'Div 6'!$P$60:$P$69</definedName>
    <definedName name="OSRRefP22_0x_0" localSheetId="2">Summary!$P$200:$P$209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'204'!$P$63:$P$64</definedName>
    <definedName name="OSRRefP22_10x_0" localSheetId="46">'206'!$P$58</definedName>
    <definedName name="OSRRefP22_10x_0" localSheetId="48">'300'!$P$206:$P$207</definedName>
    <definedName name="OSRRefP22_10x_0" localSheetId="49">'300 &amp; 317'!$P$231:$P$232</definedName>
    <definedName name="OSRRefP22_10x_0" localSheetId="50">'301'!$P$63</definedName>
    <definedName name="OSRRefP22_10x_0" localSheetId="51">'306'!$P$61</definedName>
    <definedName name="OSRRefP22_10x_0" localSheetId="53">'307'!$P$112:$P$113</definedName>
    <definedName name="OSRRefP22_10x_0" localSheetId="55">'308'!$P$106</definedName>
    <definedName name="OSRRefP22_10x_0" localSheetId="68">'309'!$P$65:$P$67</definedName>
    <definedName name="OSRRefP22_10x_0" localSheetId="67">'310'!$P$72</definedName>
    <definedName name="OSRRefP22_10x_0" localSheetId="75">'310 &amp; 491'!$P$81</definedName>
    <definedName name="OSRRefP22_10x_0" localSheetId="56">'311'!$P$106</definedName>
    <definedName name="OSRRefP22_10x_0" localSheetId="69">'313'!$P$66:$P$68</definedName>
    <definedName name="OSRRefP22_10x_0" localSheetId="59">'315'!$P$96:$P$98</definedName>
    <definedName name="OSRRefP22_10x_0" localSheetId="62">'316'!$P$71:$P$72</definedName>
    <definedName name="OSRRefP22_10x_0" localSheetId="65">'317'!$P$99:$P$100</definedName>
    <definedName name="OSRRefP22_10x_0" localSheetId="70">'321'!$P$64:$P$65</definedName>
    <definedName name="OSRRefP22_10x_0" localSheetId="71">'322'!$P$66:$P$68</definedName>
    <definedName name="OSRRefP22_10x_0" localSheetId="72">'325'!$P$65</definedName>
    <definedName name="OSRRefP22_10x_0" localSheetId="60">'326'!$P$93</definedName>
    <definedName name="OSRRefP22_10x_0" localSheetId="52">'330'!$P$119:$P$120</definedName>
    <definedName name="OSRRefP22_10x_0" localSheetId="58">'331'!$P$110</definedName>
    <definedName name="OSRRefP22_10x_0" localSheetId="61">'332'!$P$80:$P$81</definedName>
    <definedName name="OSRRefP22_10x_0" localSheetId="77">'405'!$P$65</definedName>
    <definedName name="OSRRefP22_10x_0" localSheetId="78">'406'!$P$67:$P$69</definedName>
    <definedName name="OSRRefP22_10x_0" localSheetId="79">'411'!$P$61:$P$63</definedName>
    <definedName name="OSRRefP22_10x_0" localSheetId="80">'412'!$P$66</definedName>
    <definedName name="OSRRefP22_10x_0" localSheetId="82">'413'!$P$66:$P$71</definedName>
    <definedName name="OSRRefP22_10x_0" localSheetId="83">'414'!$P$66</definedName>
    <definedName name="OSRRefP22_10x_0" localSheetId="84">'415'!$P$65</definedName>
    <definedName name="OSRRefP22_10x_0" localSheetId="85">'418'!$P$67:$P$69</definedName>
    <definedName name="OSRRefP22_10x_0" localSheetId="87">'424'!$P$64:$P$67</definedName>
    <definedName name="OSRRefP22_10x_0" localSheetId="88">'425'!$P$67:$P$68</definedName>
    <definedName name="OSRRefP22_10x_0" localSheetId="91">'430'!$P$59</definedName>
    <definedName name="OSRRefP22_10x_0" localSheetId="92">'433'!$P$65:$P$67</definedName>
    <definedName name="OSRRefP22_10x_0" localSheetId="94">'444'!$P$65</definedName>
    <definedName name="OSRRefP22_10x_0" localSheetId="95">'450'!$P$66</definedName>
    <definedName name="OSRRefP22_10x_0" localSheetId="76">'491'!$P$76</definedName>
    <definedName name="OSRRefP22_10x_0" localSheetId="90">'492'!$P$69</definedName>
    <definedName name="OSRRefP22_10x_0" localSheetId="97">'501'!$P$58:$P$60</definedName>
    <definedName name="OSRRefP22_10x_0" localSheetId="39">'Div 2'!$P$62</definedName>
    <definedName name="OSRRefP22_10x_0" localSheetId="47">'Div 3'!$P$212:$P$213</definedName>
    <definedName name="OSRRefP22_10x_0" localSheetId="74">'Div 4'!$P$78:$P$79</definedName>
    <definedName name="OSRRefP22_10x_0" localSheetId="96">'Div 5'!$P$58:$P$60</definedName>
    <definedName name="OSRRefP22_10x_0" localSheetId="64">'Div 6'!$P$99:$P$100</definedName>
    <definedName name="OSRRefP22_10x_0" localSheetId="2">Summary!$P$245:$P$246</definedName>
    <definedName name="OSRRefP22_11x_0" localSheetId="41">'201'!$P$62:$P$64</definedName>
    <definedName name="OSRRefP22_11x_0" localSheetId="42">'202'!$P$61:$P$63</definedName>
    <definedName name="OSRRefP22_11x_0" localSheetId="43">'203'!$P$62</definedName>
    <definedName name="OSRRefP22_11x_0" localSheetId="44">'204'!$P$66</definedName>
    <definedName name="OSRRefP22_11x_0" localSheetId="48">'300'!$P$209</definedName>
    <definedName name="OSRRefP22_11x_0" localSheetId="49">'300 &amp; 317'!$P$234</definedName>
    <definedName name="OSRRefP22_11x_0" localSheetId="50">'301'!$P$65</definedName>
    <definedName name="OSRRefP22_11x_0" localSheetId="53">'307'!$P$115</definedName>
    <definedName name="OSRRefP22_11x_0" localSheetId="55">'308'!$P$108:$P$110</definedName>
    <definedName name="OSRRefP22_11x_0" localSheetId="68">'309'!$P$69:$P$71</definedName>
    <definedName name="OSRRefP22_11x_0" localSheetId="67">'310'!$P$74</definedName>
    <definedName name="OSRRefP22_11x_0" localSheetId="75">'310 &amp; 491'!$P$83:$P$84</definedName>
    <definedName name="OSRRefP22_11x_0" localSheetId="56">'311'!$P$108:$P$110</definedName>
    <definedName name="OSRRefP22_11x_0" localSheetId="69">'313'!$P$70</definedName>
    <definedName name="OSRRefP22_11x_0" localSheetId="59">'315'!$P$100:$P$101</definedName>
    <definedName name="OSRRefP22_11x_0" localSheetId="62">'316'!$P$74:$P$78</definedName>
    <definedName name="OSRRefP22_11x_0" localSheetId="65">'317'!$P$102</definedName>
    <definedName name="OSRRefP22_11x_0" localSheetId="70">'321'!$P$67:$P$69</definedName>
    <definedName name="OSRRefP22_11x_0" localSheetId="71">'322'!$P$70:$P$74</definedName>
    <definedName name="OSRRefP22_11x_0" localSheetId="72">'325'!$P$67:$P$69</definedName>
    <definedName name="OSRRefP22_11x_0" localSheetId="60">'326'!$P$95</definedName>
    <definedName name="OSRRefP22_11x_0" localSheetId="52">'330'!$P$122</definedName>
    <definedName name="OSRRefP22_11x_0" localSheetId="58">'331'!$P$112</definedName>
    <definedName name="OSRRefP22_11x_0" localSheetId="61">'332'!$P$83:$P$84</definedName>
    <definedName name="OSRRefP22_11x_0" localSheetId="77">'405'!$P$67:$P$69</definedName>
    <definedName name="OSRRefP22_11x_0" localSheetId="78">'406'!$P$71:$P$76</definedName>
    <definedName name="OSRRefP22_11x_0" localSheetId="79">'411'!$P$65:$P$69</definedName>
    <definedName name="OSRRefP22_11x_0" localSheetId="80">'412'!$P$68:$P$70</definedName>
    <definedName name="OSRRefP22_11x_0" localSheetId="82">'413'!$P$73:$P$74</definedName>
    <definedName name="OSRRefP22_11x_0" localSheetId="83">'414'!$P$68</definedName>
    <definedName name="OSRRefP22_11x_0" localSheetId="84">'415'!$P$67:$P$69</definedName>
    <definedName name="OSRRefP22_11x_0" localSheetId="85">'418'!$P$71:$P$73</definedName>
    <definedName name="OSRRefP22_11x_0" localSheetId="87">'424'!$P$69:$P$70</definedName>
    <definedName name="OSRRefP22_11x_0" localSheetId="88">'425'!$P$70:$P$71</definedName>
    <definedName name="OSRRefP22_11x_0" localSheetId="92">'433'!$P$69:$P$72</definedName>
    <definedName name="OSRRefP22_11x_0" localSheetId="94">'444'!$P$67:$P$69</definedName>
    <definedName name="OSRRefP22_11x_0" localSheetId="95">'450'!$P$68:$P$70</definedName>
    <definedName name="OSRRefP22_11x_0" localSheetId="76">'491'!$P$78</definedName>
    <definedName name="OSRRefP22_11x_0" localSheetId="90">'492'!$P$71</definedName>
    <definedName name="OSRRefP22_11x_0" localSheetId="97">'501'!$P$62:$P$64</definedName>
    <definedName name="OSRRefP22_11x_0" localSheetId="39">'Div 2'!$P$64</definedName>
    <definedName name="OSRRefP22_11x_0" localSheetId="47">'Div 3'!$P$215</definedName>
    <definedName name="OSRRefP22_11x_0" localSheetId="74">'Div 4'!$P$81</definedName>
    <definedName name="OSRRefP22_11x_0" localSheetId="96">'Div 5'!$P$62:$P$64</definedName>
    <definedName name="OSRRefP22_11x_0" localSheetId="64">'Div 6'!$P$102</definedName>
    <definedName name="OSRRefP22_11x_0" localSheetId="2">Summary!$P$248:$P$249</definedName>
    <definedName name="OSRRefP22_12x_0" localSheetId="41">'201'!$P$66</definedName>
    <definedName name="OSRRefP22_12x_0" localSheetId="42">'202'!$P$65</definedName>
    <definedName name="OSRRefP22_12x_0" localSheetId="43">'203'!$P$64:$P$66</definedName>
    <definedName name="OSRRefP22_12x_0" localSheetId="44">'204'!$P$68:$P$69</definedName>
    <definedName name="OSRRefP22_12x_0" localSheetId="48">'300'!$P$211</definedName>
    <definedName name="OSRRefP22_12x_0" localSheetId="49">'300 &amp; 317'!$P$236</definedName>
    <definedName name="OSRRefP22_12x_0" localSheetId="50">'301'!$P$67</definedName>
    <definedName name="OSRRefP22_12x_0" localSheetId="53">'307'!$P$117</definedName>
    <definedName name="OSRRefP22_12x_0" localSheetId="55">'308'!$P$112:$P$113</definedName>
    <definedName name="OSRRefP22_12x_0" localSheetId="68">'309'!$P$73</definedName>
    <definedName name="OSRRefP22_12x_0" localSheetId="67">'310'!$P$76</definedName>
    <definedName name="OSRRefP22_12x_0" localSheetId="75">'310 &amp; 491'!$P$86</definedName>
    <definedName name="OSRRefP22_12x_0" localSheetId="56">'311'!$P$112:$P$113</definedName>
    <definedName name="OSRRefP22_12x_0" localSheetId="69">'313'!$P$72:$P$76</definedName>
    <definedName name="OSRRefP22_12x_0" localSheetId="59">'315'!$P$103:$P$107</definedName>
    <definedName name="OSRRefP22_12x_0" localSheetId="62">'316'!$P$80:$P$81</definedName>
    <definedName name="OSRRefP22_12x_0" localSheetId="65">'317'!$P$104</definedName>
    <definedName name="OSRRefP22_12x_0" localSheetId="70">'321'!$P$71:$P$73</definedName>
    <definedName name="OSRRefP22_12x_0" localSheetId="71">'322'!$P$76</definedName>
    <definedName name="OSRRefP22_12x_0" localSheetId="72">'325'!$P$71:$P$74</definedName>
    <definedName name="OSRRefP22_12x_0" localSheetId="60">'326'!$P$97</definedName>
    <definedName name="OSRRefP22_12x_0" localSheetId="52">'330'!$P$124:$P$125</definedName>
    <definedName name="OSRRefP22_12x_0" localSheetId="58">'331'!$P$114</definedName>
    <definedName name="OSRRefP22_12x_0" localSheetId="61">'332'!$P$86:$P$90</definedName>
    <definedName name="OSRRefP22_12x_0" localSheetId="77">'405'!$P$71</definedName>
    <definedName name="OSRRefP22_12x_0" localSheetId="78">'406'!$P$78:$P$79</definedName>
    <definedName name="OSRRefP22_12x_0" localSheetId="79">'411'!$P$71</definedName>
    <definedName name="OSRRefP22_12x_0" localSheetId="80">'412'!$P$72:$P$77</definedName>
    <definedName name="OSRRefP22_12x_0" localSheetId="82">'413'!$P$76</definedName>
    <definedName name="OSRRefP22_12x_0" localSheetId="83">'414'!$P$70</definedName>
    <definedName name="OSRRefP22_12x_0" localSheetId="84">'415'!$P$71:$P$75</definedName>
    <definedName name="OSRRefP22_12x_0" localSheetId="85">'418'!$P$75:$P$76</definedName>
    <definedName name="OSRRefP22_12x_0" localSheetId="88">'425'!$P$73:$P$79</definedName>
    <definedName name="OSRRefP22_12x_0" localSheetId="92">'433'!$P$74:$P$81</definedName>
    <definedName name="OSRRefP22_12x_0" localSheetId="94">'444'!$P$71:$P$74</definedName>
    <definedName name="OSRRefP22_12x_0" localSheetId="95">'450'!$P$72:$P$74</definedName>
    <definedName name="OSRRefP22_12x_0" localSheetId="76">'491'!$P$80</definedName>
    <definedName name="OSRRefP22_12x_0" localSheetId="90">'492'!$P$73:$P$76</definedName>
    <definedName name="OSRRefP22_12x_0" localSheetId="97">'501'!$P$66</definedName>
    <definedName name="OSRRefP22_12x_0" localSheetId="39">'Div 2'!$P$66:$P$68</definedName>
    <definedName name="OSRRefP22_12x_0" localSheetId="47">'Div 3'!$P$217</definedName>
    <definedName name="OSRRefP22_12x_0" localSheetId="74">'Div 4'!$P$83</definedName>
    <definedName name="OSRRefP22_12x_0" localSheetId="96">'Div 5'!$P$66</definedName>
    <definedName name="OSRRefP22_12x_0" localSheetId="64">'Div 6'!$P$104</definedName>
    <definedName name="OSRRefP22_12x_0" localSheetId="2">Summary!$P$251</definedName>
    <definedName name="OSRRefP22_13x_0" localSheetId="41">'201'!$P$68:$P$70</definedName>
    <definedName name="OSRRefP22_13x_0" localSheetId="42">'202'!$P$67</definedName>
    <definedName name="OSRRefP22_13x_0" localSheetId="43">'203'!$P$68</definedName>
    <definedName name="OSRRefP22_13x_0" localSheetId="48">'300'!$P$213</definedName>
    <definedName name="OSRRefP22_13x_0" localSheetId="49">'300 &amp; 317'!$P$238</definedName>
    <definedName name="OSRRefP22_13x_0" localSheetId="50">'301'!$P$69</definedName>
    <definedName name="OSRRefP22_13x_0" localSheetId="55">'308'!$P$115</definedName>
    <definedName name="OSRRefP22_13x_0" localSheetId="68">'309'!$P$75</definedName>
    <definedName name="OSRRefP22_13x_0" localSheetId="67">'310'!$P$78</definedName>
    <definedName name="OSRRefP22_13x_0" localSheetId="75">'310 &amp; 491'!$P$88</definedName>
    <definedName name="OSRRefP22_13x_0" localSheetId="56">'311'!$P$115</definedName>
    <definedName name="OSRRefP22_13x_0" localSheetId="69">'313'!$P$78</definedName>
    <definedName name="OSRRefP22_13x_0" localSheetId="59">'315'!$P$109</definedName>
    <definedName name="OSRRefP22_13x_0" localSheetId="62">'316'!$P$83</definedName>
    <definedName name="OSRRefP22_13x_0" localSheetId="70">'321'!$P$75</definedName>
    <definedName name="OSRRefP22_13x_0" localSheetId="71">'322'!$P$78</definedName>
    <definedName name="OSRRefP22_13x_0" localSheetId="72">'325'!$P$76</definedName>
    <definedName name="OSRRefP22_13x_0" localSheetId="60">'326'!$P$99:$P$100</definedName>
    <definedName name="OSRRefP22_13x_0" localSheetId="52">'330'!$P$127</definedName>
    <definedName name="OSRRefP22_13x_0" localSheetId="58">'331'!$P$116</definedName>
    <definedName name="OSRRefP22_13x_0" localSheetId="61">'332'!$P$92:$P$93</definedName>
    <definedName name="OSRRefP22_13x_0" localSheetId="77">'405'!$P$73:$P$75</definedName>
    <definedName name="OSRRefP22_13x_0" localSheetId="78">'406'!$P$81</definedName>
    <definedName name="OSRRefP22_13x_0" localSheetId="79">'411'!$P$73:$P$79</definedName>
    <definedName name="OSRRefP22_13x_0" localSheetId="80">'412'!$P$79</definedName>
    <definedName name="OSRRefP22_13x_0" localSheetId="83">'414'!$P$72:$P$78</definedName>
    <definedName name="OSRRefP22_13x_0" localSheetId="84">'415'!$P$77:$P$78</definedName>
    <definedName name="OSRRefP22_13x_0" localSheetId="85">'418'!$P$78:$P$84</definedName>
    <definedName name="OSRRefP22_13x_0" localSheetId="88">'425'!$P$81:$P$82</definedName>
    <definedName name="OSRRefP22_13x_0" localSheetId="92">'433'!$P$83</definedName>
    <definedName name="OSRRefP22_13x_0" localSheetId="94">'444'!$P$76:$P$83</definedName>
    <definedName name="OSRRefP22_13x_0" localSheetId="95">'450'!$P$76:$P$81</definedName>
    <definedName name="OSRRefP22_13x_0" localSheetId="76">'491'!$P$82</definedName>
    <definedName name="OSRRefP22_13x_0" localSheetId="90">'492'!$P$78:$P$81</definedName>
    <definedName name="OSRRefP22_13x_0" localSheetId="97">'501'!$P$68</definedName>
    <definedName name="OSRRefP22_13x_0" localSheetId="39">'Div 2'!$P$70:$P$73</definedName>
    <definedName name="OSRRefP22_13x_0" localSheetId="47">'Div 3'!$P$219</definedName>
    <definedName name="OSRRefP22_13x_0" localSheetId="74">'Div 4'!$P$85</definedName>
    <definedName name="OSRRefP22_13x_0" localSheetId="96">'Div 5'!$P$68</definedName>
    <definedName name="OSRRefP22_13x_0" localSheetId="2">Summary!$P$253</definedName>
    <definedName name="OSRRefP22_14x_0" localSheetId="41">'201'!$P$72</definedName>
    <definedName name="OSRRefP22_14x_0" localSheetId="42">'202'!$P$69:$P$70</definedName>
    <definedName name="OSRRefP22_14x_0" localSheetId="43">'203'!$P$70</definedName>
    <definedName name="OSRRefP22_14x_0" localSheetId="48">'300'!$P$215</definedName>
    <definedName name="OSRRefP22_14x_0" localSheetId="49">'300 &amp; 317'!$P$240</definedName>
    <definedName name="OSRRefP22_14x_0" localSheetId="50">'301'!$P$71</definedName>
    <definedName name="OSRRefP22_14x_0" localSheetId="55">'308'!$P$117:$P$118</definedName>
    <definedName name="OSRRefP22_14x_0" localSheetId="67">'310'!$P$80</definedName>
    <definedName name="OSRRefP22_14x_0" localSheetId="75">'310 &amp; 491'!$P$90</definedName>
    <definedName name="OSRRefP22_14x_0" localSheetId="56">'311'!$P$117:$P$118</definedName>
    <definedName name="OSRRefP22_14x_0" localSheetId="69">'313'!$P$80</definedName>
    <definedName name="OSRRefP22_14x_0" localSheetId="59">'315'!$P$111</definedName>
    <definedName name="OSRRefP22_14x_0" localSheetId="70">'321'!$P$77</definedName>
    <definedName name="OSRRefP22_14x_0" localSheetId="72">'325'!$P$78:$P$84</definedName>
    <definedName name="OSRRefP22_14x_0" localSheetId="60">'326'!$P$102:$P$104</definedName>
    <definedName name="OSRRefP22_14x_0" localSheetId="52">'330'!$P$129</definedName>
    <definedName name="OSRRefP22_14x_0" localSheetId="58">'331'!$P$118:$P$119</definedName>
    <definedName name="OSRRefP22_14x_0" localSheetId="61">'332'!$P$95</definedName>
    <definedName name="OSRRefP22_14x_0" localSheetId="77">'405'!$P$77:$P$78</definedName>
    <definedName name="OSRRefP22_14x_0" localSheetId="78">'406'!$P$83</definedName>
    <definedName name="OSRRefP22_14x_0" localSheetId="79">'411'!$P$81</definedName>
    <definedName name="OSRRefP22_14x_0" localSheetId="80">'412'!$P$81</definedName>
    <definedName name="OSRRefP22_14x_0" localSheetId="83">'414'!$P$80</definedName>
    <definedName name="OSRRefP22_14x_0" localSheetId="84">'415'!$P$80:$P$87</definedName>
    <definedName name="OSRRefP22_14x_0" localSheetId="85">'418'!$P$86</definedName>
    <definedName name="OSRRefP22_14x_0" localSheetId="88">'425'!$P$84</definedName>
    <definedName name="OSRRefP22_14x_0" localSheetId="92">'433'!$P$85</definedName>
    <definedName name="OSRRefP22_14x_0" localSheetId="94">'444'!$P$85</definedName>
    <definedName name="OSRRefP22_14x_0" localSheetId="95">'450'!$P$83</definedName>
    <definedName name="OSRRefP22_14x_0" localSheetId="76">'491'!$P$84:$P$87</definedName>
    <definedName name="OSRRefP22_14x_0" localSheetId="90">'492'!$P$83:$P$91</definedName>
    <definedName name="OSRRefP22_14x_0" localSheetId="39">'Div 2'!$P$75:$P$78</definedName>
    <definedName name="OSRRefP22_14x_0" localSheetId="47">'Div 3'!$P$221</definedName>
    <definedName name="OSRRefP22_14x_0" localSheetId="74">'Div 4'!$P$87</definedName>
    <definedName name="OSRRefP22_14x_0" localSheetId="2">Summary!$P$255</definedName>
    <definedName name="OSRRefP22_15x_0" localSheetId="41">'201'!$P$74</definedName>
    <definedName name="OSRRefP22_15x_0" localSheetId="42">'202'!$P$72</definedName>
    <definedName name="OSRRefP22_15x_0" localSheetId="43">'203'!$P$72</definedName>
    <definedName name="OSRRefP22_15x_0" localSheetId="48">'300'!$P$217</definedName>
    <definedName name="OSRRefP22_15x_0" localSheetId="49">'300 &amp; 317'!$P$242</definedName>
    <definedName name="OSRRefP22_15x_0" localSheetId="50">'301'!$P$73:$P$75</definedName>
    <definedName name="OSRRefP22_15x_0" localSheetId="67">'310'!$P$82:$P$84</definedName>
    <definedName name="OSRRefP22_15x_0" localSheetId="75">'310 &amp; 491'!$P$92</definedName>
    <definedName name="OSRRefP22_15x_0" localSheetId="59">'315'!$P$113:$P$114</definedName>
    <definedName name="OSRRefP22_15x_0" localSheetId="72">'325'!$P$86</definedName>
    <definedName name="OSRRefP22_15x_0" localSheetId="60">'326'!$P$106:$P$107</definedName>
    <definedName name="OSRRefP22_15x_0" localSheetId="52">'330'!$P$131</definedName>
    <definedName name="OSRRefP22_15x_0" localSheetId="58">'331'!$P$121:$P$123</definedName>
    <definedName name="OSRRefP22_15x_0" localSheetId="77">'405'!$P$80:$P$88</definedName>
    <definedName name="OSRRefP22_15x_0" localSheetId="79">'411'!$P$83</definedName>
    <definedName name="OSRRefP22_15x_0" localSheetId="83">'414'!$P$82</definedName>
    <definedName name="OSRRefP22_15x_0" localSheetId="84">'415'!$P$89</definedName>
    <definedName name="OSRRefP22_15x_0" localSheetId="85">'418'!$P$88</definedName>
    <definedName name="OSRRefP22_15x_0" localSheetId="88">'425'!$P$86</definedName>
    <definedName name="OSRRefP22_15x_0" localSheetId="92">'433'!$P$87:$P$88</definedName>
    <definedName name="OSRRefP22_15x_0" localSheetId="94">'444'!$P$87</definedName>
    <definedName name="OSRRefP22_15x_0" localSheetId="95">'450'!$P$85</definedName>
    <definedName name="OSRRefP22_15x_0" localSheetId="76">'491'!$P$89:$P$91</definedName>
    <definedName name="OSRRefP22_15x_0" localSheetId="90">'492'!$P$93</definedName>
    <definedName name="OSRRefP22_15x_0" localSheetId="39">'Div 2'!$P$80:$P$81</definedName>
    <definedName name="OSRRefP22_15x_0" localSheetId="47">'Div 3'!$P$223</definedName>
    <definedName name="OSRRefP22_15x_0" localSheetId="74">'Div 4'!$P$89</definedName>
    <definedName name="OSRRefP22_15x_0" localSheetId="2">Summary!$P$257</definedName>
    <definedName name="OSRRefP22_16x_0" localSheetId="41">'201'!$P$76:$P$77</definedName>
    <definedName name="OSRRefP22_16x_0" localSheetId="42">'202'!$P$74</definedName>
    <definedName name="OSRRefP22_16x_0" localSheetId="48">'300'!$P$219:$P$222</definedName>
    <definedName name="OSRRefP22_16x_0" localSheetId="49">'300 &amp; 317'!$P$244:$P$247</definedName>
    <definedName name="OSRRefP22_16x_0" localSheetId="50">'301'!$P$77:$P$79</definedName>
    <definedName name="OSRRefP22_16x_0" localSheetId="67">'310'!$P$86:$P$87</definedName>
    <definedName name="OSRRefP22_16x_0" localSheetId="75">'310 &amp; 491'!$P$94</definedName>
    <definedName name="OSRRefP22_16x_0" localSheetId="72">'325'!$P$88</definedName>
    <definedName name="OSRRefP22_16x_0" localSheetId="60">'326'!$P$109:$P$113</definedName>
    <definedName name="OSRRefP22_16x_0" localSheetId="58">'331'!$P$125:$P$127</definedName>
    <definedName name="OSRRefP22_16x_0" localSheetId="77">'405'!$P$90</definedName>
    <definedName name="OSRRefP22_16x_0" localSheetId="79">'411'!$P$85:$P$87</definedName>
    <definedName name="OSRRefP22_16x_0" localSheetId="84">'415'!$P$91</definedName>
    <definedName name="OSRRefP22_16x_0" localSheetId="85">'418'!$P$90</definedName>
    <definedName name="OSRRefP22_16x_0" localSheetId="94">'444'!$P$89</definedName>
    <definedName name="OSRRefP22_16x_0" localSheetId="95">'450'!$P$87:$P$88</definedName>
    <definedName name="OSRRefP22_16x_0" localSheetId="76">'491'!$P$93:$P$97</definedName>
    <definedName name="OSRRefP22_16x_0" localSheetId="90">'492'!$P$95</definedName>
    <definedName name="OSRRefP22_16x_0" localSheetId="39">'Div 2'!$P$83:$P$84</definedName>
    <definedName name="OSRRefP22_16x_0" localSheetId="47">'Div 3'!$P$225</definedName>
    <definedName name="OSRRefP22_16x_0" localSheetId="74">'Div 4'!$P$91:$P$94</definedName>
    <definedName name="OSRRefP22_16x_0" localSheetId="2">Summary!$P$259</definedName>
    <definedName name="OSRRefP22_17x_0" localSheetId="48">'300'!$P$224:$P$227</definedName>
    <definedName name="OSRRefP22_17x_0" localSheetId="49">'300 &amp; 317'!$P$249:$P$252</definedName>
    <definedName name="OSRRefP22_17x_0" localSheetId="50">'301'!$P$81:$P$82</definedName>
    <definedName name="OSRRefP22_17x_0" localSheetId="67">'310'!$P$89:$P$93</definedName>
    <definedName name="OSRRefP22_17x_0" localSheetId="75">'310 &amp; 491'!$P$96:$P$99</definedName>
    <definedName name="OSRRefP22_17x_0" localSheetId="72">'325'!$P$90</definedName>
    <definedName name="OSRRefP22_17x_0" localSheetId="60">'326'!$P$115:$P$116</definedName>
    <definedName name="OSRRefP22_17x_0" localSheetId="58">'331'!$P$129:$P$130</definedName>
    <definedName name="OSRRefP22_17x_0" localSheetId="77">'405'!$P$92</definedName>
    <definedName name="OSRRefP22_17x_0" localSheetId="79">'411'!$P$89</definedName>
    <definedName name="OSRRefP22_17x_0" localSheetId="84">'415'!$P$93:$P$94</definedName>
    <definedName name="OSRRefP22_17x_0" localSheetId="76">'491'!$P$99:$P$100</definedName>
    <definedName name="OSRRefP22_17x_0" localSheetId="90">'492'!$P$97:$P$98</definedName>
    <definedName name="OSRRefP22_17x_0" localSheetId="39">'Div 2'!$P$86:$P$89</definedName>
    <definedName name="OSRRefP22_17x_0" localSheetId="47">'Div 3'!$P$227</definedName>
    <definedName name="OSRRefP22_17x_0" localSheetId="74">'Div 4'!$P$96:$P$98</definedName>
    <definedName name="OSRRefP22_17x_0" localSheetId="2">Summary!$P$261</definedName>
    <definedName name="OSRRefP22_18x_0" localSheetId="48">'300'!$P$229:$P$232</definedName>
    <definedName name="OSRRefP22_18x_0" localSheetId="49">'300 &amp; 317'!$P$254:$P$257</definedName>
    <definedName name="OSRRefP22_18x_0" localSheetId="50">'301'!$P$84:$P$89</definedName>
    <definedName name="OSRRefP22_18x_0" localSheetId="67">'310'!$P$95</definedName>
    <definedName name="OSRRefP22_18x_0" localSheetId="75">'310 &amp; 491'!$P$101:$P$103</definedName>
    <definedName name="OSRRefP22_18x_0" localSheetId="72">'325'!$P$92</definedName>
    <definedName name="OSRRefP22_18x_0" localSheetId="60">'326'!$P$118</definedName>
    <definedName name="OSRRefP22_18x_0" localSheetId="58">'331'!$P$132:$P$137</definedName>
    <definedName name="OSRRefP22_18x_0" localSheetId="77">'405'!$P$94</definedName>
    <definedName name="OSRRefP22_18x_0" localSheetId="84">'415'!$P$96</definedName>
    <definedName name="OSRRefP22_18x_0" localSheetId="76">'491'!$P$102:$P$111</definedName>
    <definedName name="OSRRefP22_18x_0" localSheetId="39">'Div 2'!$P$91:$P$92</definedName>
    <definedName name="OSRRefP22_18x_0" localSheetId="47">'Div 3'!$P$229:$P$232</definedName>
    <definedName name="OSRRefP22_18x_0" localSheetId="74">'Div 4'!$P$100:$P$104</definedName>
    <definedName name="OSRRefP22_18x_0" localSheetId="2">Summary!$P$263:$P$266</definedName>
    <definedName name="OSRRefP22_19x_0" localSheetId="48">'300'!$P$234:$P$235</definedName>
    <definedName name="OSRRefP22_19x_0" localSheetId="49">'300 &amp; 317'!$P$259:$P$260</definedName>
    <definedName name="OSRRefP22_19x_0" localSheetId="50">'301'!$P$91</definedName>
    <definedName name="OSRRefP22_19x_0" localSheetId="67">'310'!$P$97:$P$104</definedName>
    <definedName name="OSRRefP22_19x_0" localSheetId="75">'310 &amp; 491'!$P$105:$P$110</definedName>
    <definedName name="OSRRefP22_19x_0" localSheetId="60">'326'!$P$120</definedName>
    <definedName name="OSRRefP22_19x_0" localSheetId="58">'331'!$P$139:$P$140</definedName>
    <definedName name="OSRRefP22_19x_0" localSheetId="76">'491'!$P$113:$P$114</definedName>
    <definedName name="OSRRefP22_19x_0" localSheetId="39">'Div 2'!$P$94</definedName>
    <definedName name="OSRRefP22_19x_0" localSheetId="47">'Div 3'!$P$234:$P$237</definedName>
    <definedName name="OSRRefP22_19x_0" localSheetId="74">'Div 4'!$P$106:$P$107</definedName>
    <definedName name="OSRRefP22_19x_0" localSheetId="2">Summary!$P$268:$P$271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'300'!$P$173:$P$182</definedName>
    <definedName name="OSRRefP22_1x_0" localSheetId="49">'300 &amp; 317'!$P$198:$P$207</definedName>
    <definedName name="OSRRefP22_1x_0" localSheetId="50">'301'!$P$30:$P$39</definedName>
    <definedName name="OSRRefP22_1x_0" localSheetId="51">'306'!$P$30:$P$39</definedName>
    <definedName name="OSRRefP22_1x_0" localSheetId="53">'307'!$P$82:$P$91</definedName>
    <definedName name="OSRRefP22_1x_0" localSheetId="55">'308'!$P$75:$P$84</definedName>
    <definedName name="OSRRefP22_1x_0" localSheetId="68">'309'!$P$36:$P$45</definedName>
    <definedName name="OSRRefP22_1x_0" localSheetId="67">'310'!$P$43:$P$52</definedName>
    <definedName name="OSRRefP22_1x_0" localSheetId="75">'310 &amp; 491'!$P$51:$P$60</definedName>
    <definedName name="OSRRefP22_1x_0" localSheetId="56">'311'!$P$75:$P$84</definedName>
    <definedName name="OSRRefP22_1x_0" localSheetId="69">'313'!$P$39:$P$48</definedName>
    <definedName name="OSRRefP22_1x_0" localSheetId="54">'314'!$P$67:$P$76</definedName>
    <definedName name="OSRRefP22_1x_0" localSheetId="59">'315'!$P$67:$P$76</definedName>
    <definedName name="OSRRefP22_1x_0" localSheetId="62">'316'!$P$43:$P$52</definedName>
    <definedName name="OSRRefP22_1x_0" localSheetId="65">'317'!$P$71:$P$80</definedName>
    <definedName name="OSRRefP22_1x_0" localSheetId="63">'320'!$P$40:$P$49</definedName>
    <definedName name="OSRRefP22_1x_0" localSheetId="70">'321'!$P$35:$P$44</definedName>
    <definedName name="OSRRefP22_1x_0" localSheetId="71">'322'!$P$36:$P$45</definedName>
    <definedName name="OSRRefP22_1x_0" localSheetId="72">'325'!$P$36:$P$45</definedName>
    <definedName name="OSRRefP22_1x_0" localSheetId="60">'326'!$P$65:$P$74</definedName>
    <definedName name="OSRRefP22_1x_0" localSheetId="73">'327'!$P$26</definedName>
    <definedName name="OSRRefP22_1x_0" localSheetId="52">'330'!$P$90:$P$99</definedName>
    <definedName name="OSRRefP22_1x_0" localSheetId="58">'331'!$P$80:$P$89</definedName>
    <definedName name="OSRRefP22_1x_0" localSheetId="61">'332'!$P$52:$P$61</definedName>
    <definedName name="OSRRefP22_1x_0" localSheetId="77">'405'!$P$36:$P$45</definedName>
    <definedName name="OSRRefP22_1x_0" localSheetId="78">'406'!$P$37:$P$46</definedName>
    <definedName name="OSRRefP22_1x_0" localSheetId="79">'411'!$P$31:$P$40</definedName>
    <definedName name="OSRRefP22_1x_0" localSheetId="80">'412'!$P$36:$P$45</definedName>
    <definedName name="OSRRefP22_1x_0" localSheetId="82">'413'!$P$37:$P$46</definedName>
    <definedName name="OSRRefP22_1x_0" localSheetId="83">'414'!$P$37:$P$46</definedName>
    <definedName name="OSRRefP22_1x_0" localSheetId="84">'415'!$P$36:$P$45</definedName>
    <definedName name="OSRRefP22_1x_0" localSheetId="85">'418'!$P$37:$P$46</definedName>
    <definedName name="OSRRefP22_1x_0" localSheetId="81">'420'!$P$31:$P$34</definedName>
    <definedName name="OSRRefP22_1x_0" localSheetId="86">'423'!$P$31:$P$40</definedName>
    <definedName name="OSRRefP22_1x_0" localSheetId="87">'424'!$P$35:$P$44</definedName>
    <definedName name="OSRRefP22_1x_0" localSheetId="88">'425'!$P$37:$P$46</definedName>
    <definedName name="OSRRefP22_1x_0" localSheetId="91">'430'!$P$30:$P$39</definedName>
    <definedName name="OSRRefP22_1x_0" localSheetId="92">'433'!$P$38:$P$47</definedName>
    <definedName name="OSRRefP22_1x_0" localSheetId="93">'435'!$P$36:$P$45</definedName>
    <definedName name="OSRRefP22_1x_0" localSheetId="94">'444'!$P$38:$P$47</definedName>
    <definedName name="OSRRefP22_1x_0" localSheetId="95">'450'!$P$38:$P$47</definedName>
    <definedName name="OSRRefP22_1x_0" localSheetId="89">'455'!$P$29:$P$38</definedName>
    <definedName name="OSRRefP22_1x_0" localSheetId="76">'491'!$P$45:$P$54</definedName>
    <definedName name="OSRRefP22_1x_0" localSheetId="90">'492'!$P$40:$P$49</definedName>
    <definedName name="OSRRefP22_1x_0" localSheetId="97">'501'!$P$31:$P$40</definedName>
    <definedName name="OSRRefP22_1x_0" localSheetId="39">'Div 2'!$P$33:$P$42</definedName>
    <definedName name="OSRRefP22_1x_0" localSheetId="47">'Div 3'!$P$179:$P$188</definedName>
    <definedName name="OSRRefP22_1x_0" localSheetId="74">'Div 4'!$P$46:$P$55</definedName>
    <definedName name="OSRRefP22_1x_0" localSheetId="96">'Div 5'!$P$31:$P$40</definedName>
    <definedName name="OSRRefP22_1x_0" localSheetId="64">'Div 6'!$P$71:$P$80</definedName>
    <definedName name="OSRRefP22_1x_0" localSheetId="2">Summary!$P$211:$P$220</definedName>
    <definedName name="OSRRefP22_20x_0" localSheetId="48">'300'!$P$237:$P$243</definedName>
    <definedName name="OSRRefP22_20x_0" localSheetId="49">'300 &amp; 317'!$P$262:$P$268</definedName>
    <definedName name="OSRRefP22_20x_0" localSheetId="50">'301'!$P$93</definedName>
    <definedName name="OSRRefP22_20x_0" localSheetId="67">'310'!$P$106</definedName>
    <definedName name="OSRRefP22_20x_0" localSheetId="75">'310 &amp; 491'!$P$112:$P$113</definedName>
    <definedName name="OSRRefP22_20x_0" localSheetId="60">'326'!$P$122</definedName>
    <definedName name="OSRRefP22_20x_0" localSheetId="58">'331'!$P$142</definedName>
    <definedName name="OSRRefP22_20x_0" localSheetId="76">'491'!$P$116</definedName>
    <definedName name="OSRRefP22_20x_0" localSheetId="39">'Div 2'!$P$96:$P$97</definedName>
    <definedName name="OSRRefP22_20x_0" localSheetId="47">'Div 3'!$P$239:$P$244</definedName>
    <definedName name="OSRRefP22_20x_0" localSheetId="74">'Div 4'!$P$109:$P$118</definedName>
    <definedName name="OSRRefP22_20x_0" localSheetId="2">Summary!$P$273:$P$278</definedName>
    <definedName name="OSRRefP22_21x_0" localSheetId="48">'300'!$P$245:$P$246</definedName>
    <definedName name="OSRRefP22_21x_0" localSheetId="49">'300 &amp; 317'!$P$270:$P$271</definedName>
    <definedName name="OSRRefP22_21x_0" localSheetId="50">'301'!$P$95:$P$97</definedName>
    <definedName name="OSRRefP22_21x_0" localSheetId="67">'310'!$P$108</definedName>
    <definedName name="OSRRefP22_21x_0" localSheetId="75">'310 &amp; 491'!$P$115:$P$124</definedName>
    <definedName name="OSRRefP22_21x_0" localSheetId="58">'331'!$P$144:$P$145</definedName>
    <definedName name="OSRRefP22_21x_0" localSheetId="76">'491'!$P$118:$P$120</definedName>
    <definedName name="OSRRefP22_21x_0" localSheetId="47">'Div 3'!$P$246:$P$247</definedName>
    <definedName name="OSRRefP22_21x_0" localSheetId="74">'Div 4'!$P$120:$P$121</definedName>
    <definedName name="OSRRefP22_21x_0" localSheetId="2">Summary!$P$280:$P$281</definedName>
    <definedName name="OSRRefP22_22x_0" localSheetId="48">'300'!$P$248</definedName>
    <definedName name="OSRRefP22_22x_0" localSheetId="49">'300 &amp; 317'!$P$273</definedName>
    <definedName name="OSRRefP22_22x_0" localSheetId="50">'301'!$P$99</definedName>
    <definedName name="OSRRefP22_22x_0" localSheetId="67">'310'!$P$110</definedName>
    <definedName name="OSRRefP22_22x_0" localSheetId="75">'310 &amp; 491'!$P$126:$P$127</definedName>
    <definedName name="OSRRefP22_22x_0" localSheetId="58">'331'!$P$147</definedName>
    <definedName name="OSRRefP22_22x_0" localSheetId="76">'491'!$P$122</definedName>
    <definedName name="OSRRefP22_22x_0" localSheetId="47">'Div 3'!$P$249:$P$256</definedName>
    <definedName name="OSRRefP22_22x_0" localSheetId="74">'Div 4'!$P$123</definedName>
    <definedName name="OSRRefP22_22x_0" localSheetId="2">Summary!$P$283:$P$292</definedName>
    <definedName name="OSRRefP22_23x_0" localSheetId="48">'300'!$P$250:$P$252</definedName>
    <definedName name="OSRRefP22_23x_0" localSheetId="49">'300 &amp; 317'!$P$275:$P$277</definedName>
    <definedName name="OSRRefP22_23x_0" localSheetId="67">'310'!$P$112</definedName>
    <definedName name="OSRRefP22_23x_0" localSheetId="75">'310 &amp; 491'!$P$129</definedName>
    <definedName name="OSRRefP22_23x_0" localSheetId="47">'Div 3'!$P$258:$P$259</definedName>
    <definedName name="OSRRefP22_23x_0" localSheetId="74">'Div 4'!$P$125:$P$127</definedName>
    <definedName name="OSRRefP22_23x_0" localSheetId="2">Summary!$P$294:$P$295</definedName>
    <definedName name="OSRRefP22_24x_0" localSheetId="48">'300'!$P$254</definedName>
    <definedName name="OSRRefP22_24x_0" localSheetId="49">'300 &amp; 317'!$P$279</definedName>
    <definedName name="OSRRefP22_24x_0" localSheetId="75">'310 &amp; 491'!$P$131:$P$133</definedName>
    <definedName name="OSRRefP22_24x_0" localSheetId="47">'Div 3'!$P$261</definedName>
    <definedName name="OSRRefP22_24x_0" localSheetId="74">'Div 4'!$P$129</definedName>
    <definedName name="OSRRefP22_24x_0" localSheetId="2">Summary!$P$297</definedName>
    <definedName name="OSRRefP22_25x_0" localSheetId="75">'310 &amp; 491'!$P$135</definedName>
    <definedName name="OSRRefP22_25x_0" localSheetId="47">'Div 3'!$P$263:$P$265</definedName>
    <definedName name="OSRRefP22_25x_0" localSheetId="2">Summary!$P$299:$P$301</definedName>
    <definedName name="OSRRefP22_26x_0" localSheetId="47">'Div 3'!$P$267</definedName>
    <definedName name="OSRRefP22_26x_0" localSheetId="2">Summary!$P$303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'300'!$P$184</definedName>
    <definedName name="OSRRefP22_2x_0" localSheetId="49">'300 &amp; 317'!$P$209</definedName>
    <definedName name="OSRRefP22_2x_0" localSheetId="50">'301'!$P$41</definedName>
    <definedName name="OSRRefP22_2x_0" localSheetId="51">'306'!$P$41</definedName>
    <definedName name="OSRRefP22_2x_0" localSheetId="53">'307'!$P$93</definedName>
    <definedName name="OSRRefP22_2x_0" localSheetId="55">'308'!$P$86</definedName>
    <definedName name="OSRRefP22_2x_0" localSheetId="68">'309'!$P$47</definedName>
    <definedName name="OSRRefP22_2x_0" localSheetId="67">'310'!$P$54</definedName>
    <definedName name="OSRRefP22_2x_0" localSheetId="75">'310 &amp; 491'!$P$62</definedName>
    <definedName name="OSRRefP22_2x_0" localSheetId="56">'311'!$P$86</definedName>
    <definedName name="OSRRefP22_2x_0" localSheetId="69">'313'!$P$50</definedName>
    <definedName name="OSRRefP22_2x_0" localSheetId="54">'314'!$P$78</definedName>
    <definedName name="OSRRefP22_2x_0" localSheetId="59">'315'!$P$78</definedName>
    <definedName name="OSRRefP22_2x_0" localSheetId="62">'316'!$P$54</definedName>
    <definedName name="OSRRefP22_2x_0" localSheetId="65">'317'!$P$82</definedName>
    <definedName name="OSRRefP22_2x_0" localSheetId="63">'320'!$P$51</definedName>
    <definedName name="OSRRefP22_2x_0" localSheetId="70">'321'!$P$46</definedName>
    <definedName name="OSRRefP22_2x_0" localSheetId="71">'322'!$P$47</definedName>
    <definedName name="OSRRefP22_2x_0" localSheetId="72">'325'!$P$47</definedName>
    <definedName name="OSRRefP22_2x_0" localSheetId="60">'326'!$P$76</definedName>
    <definedName name="OSRRefP22_2x_0" localSheetId="73">'327'!$P$28</definedName>
    <definedName name="OSRRefP22_2x_0" localSheetId="52">'330'!$P$101</definedName>
    <definedName name="OSRRefP22_2x_0" localSheetId="58">'331'!$P$91</definedName>
    <definedName name="OSRRefP22_2x_0" localSheetId="61">'332'!$P$63</definedName>
    <definedName name="OSRRefP22_2x_0" localSheetId="77">'405'!$P$47</definedName>
    <definedName name="OSRRefP22_2x_0" localSheetId="78">'406'!$P$48</definedName>
    <definedName name="OSRRefP22_2x_0" localSheetId="79">'411'!$P$42</definedName>
    <definedName name="OSRRefP22_2x_0" localSheetId="80">'412'!$P$47</definedName>
    <definedName name="OSRRefP22_2x_0" localSheetId="82">'413'!$P$48</definedName>
    <definedName name="OSRRefP22_2x_0" localSheetId="83">'414'!$P$48</definedName>
    <definedName name="OSRRefP22_2x_0" localSheetId="84">'415'!$P$47</definedName>
    <definedName name="OSRRefP22_2x_0" localSheetId="85">'418'!$P$48</definedName>
    <definedName name="OSRRefP22_2x_0" localSheetId="81">'420'!$P$36</definedName>
    <definedName name="OSRRefP22_2x_0" localSheetId="86">'423'!$P$42</definedName>
    <definedName name="OSRRefP22_2x_0" localSheetId="87">'424'!$P$46</definedName>
    <definedName name="OSRRefP22_2x_0" localSheetId="88">'425'!$P$48</definedName>
    <definedName name="OSRRefP22_2x_0" localSheetId="91">'430'!$P$41</definedName>
    <definedName name="OSRRefP22_2x_0" localSheetId="92">'433'!$P$49</definedName>
    <definedName name="OSRRefP22_2x_0" localSheetId="93">'435'!$P$47</definedName>
    <definedName name="OSRRefP22_2x_0" localSheetId="94">'444'!$P$49</definedName>
    <definedName name="OSRRefP22_2x_0" localSheetId="95">'450'!$P$49</definedName>
    <definedName name="OSRRefP22_2x_0" localSheetId="76">'491'!$P$56</definedName>
    <definedName name="OSRRefP22_2x_0" localSheetId="90">'492'!$P$51</definedName>
    <definedName name="OSRRefP22_2x_0" localSheetId="97">'501'!$P$42</definedName>
    <definedName name="OSRRefP22_2x_0" localSheetId="39">'Div 2'!$P$44</definedName>
    <definedName name="OSRRefP22_2x_0" localSheetId="47">'Div 3'!$P$190</definedName>
    <definedName name="OSRRefP22_2x_0" localSheetId="74">'Div 4'!$P$57</definedName>
    <definedName name="OSRRefP22_2x_0" localSheetId="96">'Div 5'!$P$42</definedName>
    <definedName name="OSRRefP22_2x_0" localSheetId="64">'Div 6'!$P$82</definedName>
    <definedName name="OSRRefP22_2x_0" localSheetId="2">Summary!$P$222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'300'!$P$186:$P$187</definedName>
    <definedName name="OSRRefP22_3x_0" localSheetId="49">'300 &amp; 317'!$P$211:$P$212</definedName>
    <definedName name="OSRRefP22_3x_0" localSheetId="50">'301'!$P$43:$P$44</definedName>
    <definedName name="OSRRefP22_3x_0" localSheetId="51">'306'!$P$43</definedName>
    <definedName name="OSRRefP22_3x_0" localSheetId="53">'307'!$P$95</definedName>
    <definedName name="OSRRefP22_3x_0" localSheetId="55">'308'!$P$88:$P$89</definedName>
    <definedName name="OSRRefP22_3x_0" localSheetId="68">'309'!$P$49</definedName>
    <definedName name="OSRRefP22_3x_0" localSheetId="67">'310'!$P$56</definedName>
    <definedName name="OSRRefP22_3x_0" localSheetId="75">'310 &amp; 491'!$P$64</definedName>
    <definedName name="OSRRefP22_3x_0" localSheetId="56">'311'!$P$88:$P$89</definedName>
    <definedName name="OSRRefP22_3x_0" localSheetId="69">'313'!$P$52</definedName>
    <definedName name="OSRRefP22_3x_0" localSheetId="54">'314'!$P$80:$P$81</definedName>
    <definedName name="OSRRefP22_3x_0" localSheetId="59">'315'!$P$80:$P$81</definedName>
    <definedName name="OSRRefP22_3x_0" localSheetId="62">'316'!$P$56</definedName>
    <definedName name="OSRRefP22_3x_0" localSheetId="65">'317'!$P$84</definedName>
    <definedName name="OSRRefP22_3x_0" localSheetId="63">'320'!$P$53</definedName>
    <definedName name="OSRRefP22_3x_0" localSheetId="70">'321'!$P$48</definedName>
    <definedName name="OSRRefP22_3x_0" localSheetId="71">'322'!$P$49</definedName>
    <definedName name="OSRRefP22_3x_0" localSheetId="72">'325'!$P$49</definedName>
    <definedName name="OSRRefP22_3x_0" localSheetId="60">'326'!$P$78:$P$79</definedName>
    <definedName name="OSRRefP22_3x_0" localSheetId="52">'330'!$P$103</definedName>
    <definedName name="OSRRefP22_3x_0" localSheetId="58">'331'!$P$93:$P$94</definedName>
    <definedName name="OSRRefP22_3x_0" localSheetId="61">'332'!$P$65</definedName>
    <definedName name="OSRRefP22_3x_0" localSheetId="77">'405'!$P$49</definedName>
    <definedName name="OSRRefP22_3x_0" localSheetId="78">'406'!$P$50</definedName>
    <definedName name="OSRRefP22_3x_0" localSheetId="79">'411'!$P$44:$P$47</definedName>
    <definedName name="OSRRefP22_3x_0" localSheetId="80">'412'!$P$49</definedName>
    <definedName name="OSRRefP22_3x_0" localSheetId="82">'413'!$P$50</definedName>
    <definedName name="OSRRefP22_3x_0" localSheetId="83">'414'!$P$50</definedName>
    <definedName name="OSRRefP22_3x_0" localSheetId="84">'415'!$P$49</definedName>
    <definedName name="OSRRefP22_3x_0" localSheetId="85">'418'!$P$50</definedName>
    <definedName name="OSRRefP22_3x_0" localSheetId="81">'420'!$P$38</definedName>
    <definedName name="OSRRefP22_3x_0" localSheetId="86">'423'!$P$44</definedName>
    <definedName name="OSRRefP22_3x_0" localSheetId="87">'424'!$P$48</definedName>
    <definedName name="OSRRefP22_3x_0" localSheetId="88">'425'!$P$50</definedName>
    <definedName name="OSRRefP22_3x_0" localSheetId="91">'430'!$P$43</definedName>
    <definedName name="OSRRefP22_3x_0" localSheetId="92">'433'!$P$51</definedName>
    <definedName name="OSRRefP22_3x_0" localSheetId="93">'435'!$P$49</definedName>
    <definedName name="OSRRefP22_3x_0" localSheetId="94">'444'!$P$51</definedName>
    <definedName name="OSRRefP22_3x_0" localSheetId="95">'450'!$P$51:$P$52</definedName>
    <definedName name="OSRRefP22_3x_0" localSheetId="76">'491'!$P$58</definedName>
    <definedName name="OSRRefP22_3x_0" localSheetId="90">'492'!$P$53:$P$54</definedName>
    <definedName name="OSRRefP22_3x_0" localSheetId="97">'501'!$P$44</definedName>
    <definedName name="OSRRefP22_3x_0" localSheetId="39">'Div 2'!$P$46</definedName>
    <definedName name="OSRRefP22_3x_0" localSheetId="47">'Div 3'!$P$192:$P$193</definedName>
    <definedName name="OSRRefP22_3x_0" localSheetId="74">'Div 4'!$P$59:$P$60</definedName>
    <definedName name="OSRRefP22_3x_0" localSheetId="96">'Div 5'!$P$44</definedName>
    <definedName name="OSRRefP22_3x_0" localSheetId="64">'Div 6'!$P$84</definedName>
    <definedName name="OSRRefP22_3x_0" localSheetId="2">Summary!$P$224:$P$225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'300'!$P$189</definedName>
    <definedName name="OSRRefP22_4x_0" localSheetId="49">'300 &amp; 317'!$P$214</definedName>
    <definedName name="OSRRefP22_4x_0" localSheetId="50">'301'!$P$46</definedName>
    <definedName name="OSRRefP22_4x_0" localSheetId="51">'306'!$P$45</definedName>
    <definedName name="OSRRefP22_4x_0" localSheetId="53">'307'!$P$97:$P$98</definedName>
    <definedName name="OSRRefP22_4x_0" localSheetId="55">'308'!$P$91</definedName>
    <definedName name="OSRRefP22_4x_0" localSheetId="68">'309'!$P$51</definedName>
    <definedName name="OSRRefP22_4x_0" localSheetId="67">'310'!$P$58</definedName>
    <definedName name="OSRRefP22_4x_0" localSheetId="75">'310 &amp; 491'!$P$66</definedName>
    <definedName name="OSRRefP22_4x_0" localSheetId="56">'311'!$P$91</definedName>
    <definedName name="OSRRefP22_4x_0" localSheetId="69">'313'!$P$54</definedName>
    <definedName name="OSRRefP22_4x_0" localSheetId="54">'314'!$P$83</definedName>
    <definedName name="OSRRefP22_4x_0" localSheetId="59">'315'!$P$83</definedName>
    <definedName name="OSRRefP22_4x_0" localSheetId="62">'316'!$P$58</definedName>
    <definedName name="OSRRefP22_4x_0" localSheetId="65">'317'!$P$86</definedName>
    <definedName name="OSRRefP22_4x_0" localSheetId="63">'320'!$P$55:$P$56</definedName>
    <definedName name="OSRRefP22_4x_0" localSheetId="70">'321'!$P$50</definedName>
    <definedName name="OSRRefP22_4x_0" localSheetId="71">'322'!$P$51</definedName>
    <definedName name="OSRRefP22_4x_0" localSheetId="72">'325'!$P$51</definedName>
    <definedName name="OSRRefP22_4x_0" localSheetId="60">'326'!$P$81</definedName>
    <definedName name="OSRRefP22_4x_0" localSheetId="52">'330'!$P$105:$P$106</definedName>
    <definedName name="OSRRefP22_4x_0" localSheetId="58">'331'!$P$96</definedName>
    <definedName name="OSRRefP22_4x_0" localSheetId="61">'332'!$P$67</definedName>
    <definedName name="OSRRefP22_4x_0" localSheetId="77">'405'!$P$51</definedName>
    <definedName name="OSRRefP22_4x_0" localSheetId="78">'406'!$P$52</definedName>
    <definedName name="OSRRefP22_4x_0" localSheetId="79">'411'!$P$49</definedName>
    <definedName name="OSRRefP22_4x_0" localSheetId="80">'412'!$P$51</definedName>
    <definedName name="OSRRefP22_4x_0" localSheetId="82">'413'!$P$52</definedName>
    <definedName name="OSRRefP22_4x_0" localSheetId="83">'414'!$P$52</definedName>
    <definedName name="OSRRefP22_4x_0" localSheetId="84">'415'!$P$51</definedName>
    <definedName name="OSRRefP22_4x_0" localSheetId="85">'418'!$P$52</definedName>
    <definedName name="OSRRefP22_4x_0" localSheetId="81">'420'!$P$40:$P$41</definedName>
    <definedName name="OSRRefP22_4x_0" localSheetId="86">'423'!$P$46</definedName>
    <definedName name="OSRRefP22_4x_0" localSheetId="87">'424'!$P$50</definedName>
    <definedName name="OSRRefP22_4x_0" localSheetId="88">'425'!$P$52</definedName>
    <definedName name="OSRRefP22_4x_0" localSheetId="91">'430'!$P$45</definedName>
    <definedName name="OSRRefP22_4x_0" localSheetId="92">'433'!$P$53</definedName>
    <definedName name="OSRRefP22_4x_0" localSheetId="93">'435'!$P$51</definedName>
    <definedName name="OSRRefP22_4x_0" localSheetId="94">'444'!$P$53</definedName>
    <definedName name="OSRRefP22_4x_0" localSheetId="95">'450'!$P$54</definedName>
    <definedName name="OSRRefP22_4x_0" localSheetId="76">'491'!$P$60</definedName>
    <definedName name="OSRRefP22_4x_0" localSheetId="90">'492'!$P$56</definedName>
    <definedName name="OSRRefP22_4x_0" localSheetId="97">'501'!$P$46</definedName>
    <definedName name="OSRRefP22_4x_0" localSheetId="39">'Div 2'!$P$48</definedName>
    <definedName name="OSRRefP22_4x_0" localSheetId="47">'Div 3'!$P$195</definedName>
    <definedName name="OSRRefP22_4x_0" localSheetId="74">'Div 4'!$P$62</definedName>
    <definedName name="OSRRefP22_4x_0" localSheetId="96">'Div 5'!$P$46</definedName>
    <definedName name="OSRRefP22_4x_0" localSheetId="64">'Div 6'!$P$86</definedName>
    <definedName name="OSRRefP22_4x_0" localSheetId="2">Summary!$P$227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'205'!$P$47:$P$48</definedName>
    <definedName name="OSRRefP22_5x_0" localSheetId="46">'206'!$P$47</definedName>
    <definedName name="OSRRefP22_5x_0" localSheetId="48">'300'!$P$191:$P$194</definedName>
    <definedName name="OSRRefP22_5x_0" localSheetId="49">'300 &amp; 317'!$P$216:$P$219</definedName>
    <definedName name="OSRRefP22_5x_0" localSheetId="50">'301'!$P$48:$P$51</definedName>
    <definedName name="OSRRefP22_5x_0" localSheetId="51">'306'!$P$47</definedName>
    <definedName name="OSRRefP22_5x_0" localSheetId="53">'307'!$P$100</definedName>
    <definedName name="OSRRefP22_5x_0" localSheetId="55">'308'!$P$93</definedName>
    <definedName name="OSRRefP22_5x_0" localSheetId="68">'309'!$P$53:$P$54</definedName>
    <definedName name="OSRRefP22_5x_0" localSheetId="67">'310'!$P$60:$P$62</definedName>
    <definedName name="OSRRefP22_5x_0" localSheetId="75">'310 &amp; 491'!$P$68:$P$71</definedName>
    <definedName name="OSRRefP22_5x_0" localSheetId="56">'311'!$P$93</definedName>
    <definedName name="OSRRefP22_5x_0" localSheetId="69">'313'!$P$56</definedName>
    <definedName name="OSRRefP22_5x_0" localSheetId="54">'314'!$P$85</definedName>
    <definedName name="OSRRefP22_5x_0" localSheetId="59">'315'!$P$85:$P$86</definedName>
    <definedName name="OSRRefP22_5x_0" localSheetId="62">'316'!$P$60</definedName>
    <definedName name="OSRRefP22_5x_0" localSheetId="65">'317'!$P$88</definedName>
    <definedName name="OSRRefP22_5x_0" localSheetId="63">'320'!$P$58</definedName>
    <definedName name="OSRRefP22_5x_0" localSheetId="70">'321'!$P$52</definedName>
    <definedName name="OSRRefP22_5x_0" localSheetId="71">'322'!$P$53:$P$54</definedName>
    <definedName name="OSRRefP22_5x_0" localSheetId="72">'325'!$P$53:$P$55</definedName>
    <definedName name="OSRRefP22_5x_0" localSheetId="60">'326'!$P$83</definedName>
    <definedName name="OSRRefP22_5x_0" localSheetId="52">'330'!$P$108</definedName>
    <definedName name="OSRRefP22_5x_0" localSheetId="58">'331'!$P$98:$P$99</definedName>
    <definedName name="OSRRefP22_5x_0" localSheetId="61">'332'!$P$69</definedName>
    <definedName name="OSRRefP22_5x_0" localSheetId="77">'405'!$P$53:$P$55</definedName>
    <definedName name="OSRRefP22_5x_0" localSheetId="78">'406'!$P$54:$P$55</definedName>
    <definedName name="OSRRefP22_5x_0" localSheetId="79">'411'!$P$51</definedName>
    <definedName name="OSRRefP22_5x_0" localSheetId="80">'412'!$P$53:$P$55</definedName>
    <definedName name="OSRRefP22_5x_0" localSheetId="82">'413'!$P$54</definedName>
    <definedName name="OSRRefP22_5x_0" localSheetId="83">'414'!$P$54:$P$55</definedName>
    <definedName name="OSRRefP22_5x_0" localSheetId="84">'415'!$P$53:$P$55</definedName>
    <definedName name="OSRRefP22_5x_0" localSheetId="85">'418'!$P$54:$P$56</definedName>
    <definedName name="OSRRefP22_5x_0" localSheetId="81">'420'!$P$43</definedName>
    <definedName name="OSRRefP22_5x_0" localSheetId="86">'423'!$P$48</definedName>
    <definedName name="OSRRefP22_5x_0" localSheetId="87">'424'!$P$52</definedName>
    <definedName name="OSRRefP22_5x_0" localSheetId="88">'425'!$P$54:$P$55</definedName>
    <definedName name="OSRRefP22_5x_0" localSheetId="91">'430'!$P$47</definedName>
    <definedName name="OSRRefP22_5x_0" localSheetId="92">'433'!$P$55</definedName>
    <definedName name="OSRRefP22_5x_0" localSheetId="93">'435'!$P$53</definedName>
    <definedName name="OSRRefP22_5x_0" localSheetId="94">'444'!$P$55</definedName>
    <definedName name="OSRRefP22_5x_0" localSheetId="95">'450'!$P$56</definedName>
    <definedName name="OSRRefP22_5x_0" localSheetId="76">'491'!$P$62:$P$65</definedName>
    <definedName name="OSRRefP22_5x_0" localSheetId="90">'492'!$P$58:$P$59</definedName>
    <definedName name="OSRRefP22_5x_0" localSheetId="97">'501'!$P$48</definedName>
    <definedName name="OSRRefP22_5x_0" localSheetId="39">'Div 2'!$P$50:$P$51</definedName>
    <definedName name="OSRRefP22_5x_0" localSheetId="47">'Div 3'!$P$197:$P$200</definedName>
    <definedName name="OSRRefP22_5x_0" localSheetId="74">'Div 4'!$P$64:$P$67</definedName>
    <definedName name="OSRRefP22_5x_0" localSheetId="96">'Div 5'!$P$48</definedName>
    <definedName name="OSRRefP22_5x_0" localSheetId="64">'Div 6'!$P$88</definedName>
    <definedName name="OSRRefP22_5x_0" localSheetId="2">Summary!$P$229:$P$232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'205'!$P$50</definedName>
    <definedName name="OSRRefP22_6x_0" localSheetId="46">'206'!$P$49</definedName>
    <definedName name="OSRRefP22_6x_0" localSheetId="48">'300'!$P$196:$P$197</definedName>
    <definedName name="OSRRefP22_6x_0" localSheetId="49">'300 &amp; 317'!$P$221:$P$222</definedName>
    <definedName name="OSRRefP22_6x_0" localSheetId="50">'301'!$P$53:$P$54</definedName>
    <definedName name="OSRRefP22_6x_0" localSheetId="51">'306'!$P$49</definedName>
    <definedName name="OSRRefP22_6x_0" localSheetId="53">'307'!$P$102</definedName>
    <definedName name="OSRRefP22_6x_0" localSheetId="55">'308'!$P$95:$P$96</definedName>
    <definedName name="OSRRefP22_6x_0" localSheetId="68">'309'!$P$56</definedName>
    <definedName name="OSRRefP22_6x_0" localSheetId="67">'310'!$P$64</definedName>
    <definedName name="OSRRefP22_6x_0" localSheetId="75">'310 &amp; 491'!$P$73</definedName>
    <definedName name="OSRRefP22_6x_0" localSheetId="56">'311'!$P$95:$P$96</definedName>
    <definedName name="OSRRefP22_6x_0" localSheetId="69">'313'!$P$58</definedName>
    <definedName name="OSRRefP22_6x_0" localSheetId="54">'314'!$P$87</definedName>
    <definedName name="OSRRefP22_6x_0" localSheetId="59">'315'!$P$88</definedName>
    <definedName name="OSRRefP22_6x_0" localSheetId="62">'316'!$P$62</definedName>
    <definedName name="OSRRefP22_6x_0" localSheetId="65">'317'!$P$90</definedName>
    <definedName name="OSRRefP22_6x_0" localSheetId="63">'320'!$P$60</definedName>
    <definedName name="OSRRefP22_6x_0" localSheetId="70">'321'!$P$54</definedName>
    <definedName name="OSRRefP22_6x_0" localSheetId="71">'322'!$P$56</definedName>
    <definedName name="OSRRefP22_6x_0" localSheetId="72">'325'!$P$57</definedName>
    <definedName name="OSRRefP22_6x_0" localSheetId="60">'326'!$P$85</definedName>
    <definedName name="OSRRefP22_6x_0" localSheetId="52">'330'!$P$110</definedName>
    <definedName name="OSRRefP22_6x_0" localSheetId="58">'331'!$P$101</definedName>
    <definedName name="OSRRefP22_6x_0" localSheetId="61">'332'!$P$71</definedName>
    <definedName name="OSRRefP22_6x_0" localSheetId="77">'405'!$P$57</definedName>
    <definedName name="OSRRefP22_6x_0" localSheetId="78">'406'!$P$57</definedName>
    <definedName name="OSRRefP22_6x_0" localSheetId="79">'411'!$P$53</definedName>
    <definedName name="OSRRefP22_6x_0" localSheetId="80">'412'!$P$57</definedName>
    <definedName name="OSRRefP22_6x_0" localSheetId="82">'413'!$P$56</definedName>
    <definedName name="OSRRefP22_6x_0" localSheetId="83">'414'!$P$57</definedName>
    <definedName name="OSRRefP22_6x_0" localSheetId="84">'415'!$P$57</definedName>
    <definedName name="OSRRefP22_6x_0" localSheetId="85">'418'!$P$58</definedName>
    <definedName name="OSRRefP22_6x_0" localSheetId="87">'424'!$P$54</definedName>
    <definedName name="OSRRefP22_6x_0" localSheetId="88">'425'!$P$57</definedName>
    <definedName name="OSRRefP22_6x_0" localSheetId="91">'430'!$P$49</definedName>
    <definedName name="OSRRefP22_6x_0" localSheetId="92">'433'!$P$57</definedName>
    <definedName name="OSRRefP22_6x_0" localSheetId="93">'435'!$P$55:$P$57</definedName>
    <definedName name="OSRRefP22_6x_0" localSheetId="94">'444'!$P$57</definedName>
    <definedName name="OSRRefP22_6x_0" localSheetId="95">'450'!$P$58</definedName>
    <definedName name="OSRRefP22_6x_0" localSheetId="76">'491'!$P$67</definedName>
    <definedName name="OSRRefP22_6x_0" localSheetId="90">'492'!$P$61</definedName>
    <definedName name="OSRRefP22_6x_0" localSheetId="97">'501'!$P$50</definedName>
    <definedName name="OSRRefP22_6x_0" localSheetId="39">'Div 2'!$P$53:$P$54</definedName>
    <definedName name="OSRRefP22_6x_0" localSheetId="47">'Div 3'!$P$202:$P$203</definedName>
    <definedName name="OSRRefP22_6x_0" localSheetId="74">'Div 4'!$P$69:$P$70</definedName>
    <definedName name="OSRRefP22_6x_0" localSheetId="96">'Div 5'!$P$50</definedName>
    <definedName name="OSRRefP22_6x_0" localSheetId="64">'Div 6'!$P$90</definedName>
    <definedName name="OSRRefP22_6x_0" localSheetId="2">Summary!$P$234:$P$235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'205'!$P$52:$P$53</definedName>
    <definedName name="OSRRefP22_7x_0" localSheetId="46">'206'!$P$51:$P$52</definedName>
    <definedName name="OSRRefP22_7x_0" localSheetId="48">'300'!$P$199:$P$200</definedName>
    <definedName name="OSRRefP22_7x_0" localSheetId="49">'300 &amp; 317'!$P$224:$P$225</definedName>
    <definedName name="OSRRefP22_7x_0" localSheetId="50">'301'!$P$56:$P$57</definedName>
    <definedName name="OSRRefP22_7x_0" localSheetId="51">'306'!$P$51:$P$52</definedName>
    <definedName name="OSRRefP22_7x_0" localSheetId="53">'307'!$P$104</definedName>
    <definedName name="OSRRefP22_7x_0" localSheetId="55">'308'!$P$98</definedName>
    <definedName name="OSRRefP22_7x_0" localSheetId="68">'309'!$P$58</definedName>
    <definedName name="OSRRefP22_7x_0" localSheetId="67">'310'!$P$66</definedName>
    <definedName name="OSRRefP22_7x_0" localSheetId="75">'310 &amp; 491'!$P$75</definedName>
    <definedName name="OSRRefP22_7x_0" localSheetId="56">'311'!$P$98</definedName>
    <definedName name="OSRRefP22_7x_0" localSheetId="69">'313'!$P$60</definedName>
    <definedName name="OSRRefP22_7x_0" localSheetId="54">'314'!$P$89</definedName>
    <definedName name="OSRRefP22_7x_0" localSheetId="59">'315'!$P$90</definedName>
    <definedName name="OSRRefP22_7x_0" localSheetId="62">'316'!$P$64</definedName>
    <definedName name="OSRRefP22_7x_0" localSheetId="65">'317'!$P$92</definedName>
    <definedName name="OSRRefP22_7x_0" localSheetId="63">'320'!$P$62:$P$63</definedName>
    <definedName name="OSRRefP22_7x_0" localSheetId="70">'321'!$P$56</definedName>
    <definedName name="OSRRefP22_7x_0" localSheetId="71">'322'!$P$58</definedName>
    <definedName name="OSRRefP22_7x_0" localSheetId="72">'325'!$P$59</definedName>
    <definedName name="OSRRefP22_7x_0" localSheetId="60">'326'!$P$87</definedName>
    <definedName name="OSRRefP22_7x_0" localSheetId="52">'330'!$P$112</definedName>
    <definedName name="OSRRefP22_7x_0" localSheetId="58">'331'!$P$103</definedName>
    <definedName name="OSRRefP22_7x_0" localSheetId="61">'332'!$P$73:$P$74</definedName>
    <definedName name="OSRRefP22_7x_0" localSheetId="77">'405'!$P$59</definedName>
    <definedName name="OSRRefP22_7x_0" localSheetId="78">'406'!$P$59</definedName>
    <definedName name="OSRRefP22_7x_0" localSheetId="79">'411'!$P$55</definedName>
    <definedName name="OSRRefP22_7x_0" localSheetId="80">'412'!$P$59</definedName>
    <definedName name="OSRRefP22_7x_0" localSheetId="82">'413'!$P$58</definedName>
    <definedName name="OSRRefP22_7x_0" localSheetId="83">'414'!$P$59</definedName>
    <definedName name="OSRRefP22_7x_0" localSheetId="84">'415'!$P$59</definedName>
    <definedName name="OSRRefP22_7x_0" localSheetId="85">'418'!$P$60</definedName>
    <definedName name="OSRRefP22_7x_0" localSheetId="87">'424'!$P$56:$P$57</definedName>
    <definedName name="OSRRefP22_7x_0" localSheetId="88">'425'!$P$59</definedName>
    <definedName name="OSRRefP22_7x_0" localSheetId="91">'430'!$P$51:$P$53</definedName>
    <definedName name="OSRRefP22_7x_0" localSheetId="92">'433'!$P$59</definedName>
    <definedName name="OSRRefP22_7x_0" localSheetId="93">'435'!$P$59</definedName>
    <definedName name="OSRRefP22_7x_0" localSheetId="94">'444'!$P$59</definedName>
    <definedName name="OSRRefP22_7x_0" localSheetId="95">'450'!$P$60</definedName>
    <definedName name="OSRRefP22_7x_0" localSheetId="76">'491'!$P$69</definedName>
    <definedName name="OSRRefP22_7x_0" localSheetId="90">'492'!$P$63</definedName>
    <definedName name="OSRRefP22_7x_0" localSheetId="97">'501'!$P$52</definedName>
    <definedName name="OSRRefP22_7x_0" localSheetId="39">'Div 2'!$P$56</definedName>
    <definedName name="OSRRefP22_7x_0" localSheetId="47">'Div 3'!$P$205:$P$206</definedName>
    <definedName name="OSRRefP22_7x_0" localSheetId="74">'Div 4'!$P$72</definedName>
    <definedName name="OSRRefP22_7x_0" localSheetId="96">'Div 5'!$P$52</definedName>
    <definedName name="OSRRefP22_7x_0" localSheetId="64">'Div 6'!$P$92</definedName>
    <definedName name="OSRRefP22_7x_0" localSheetId="2">Summary!$P$237:$P$239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'205'!$P$55</definedName>
    <definedName name="OSRRefP22_8x_0" localSheetId="46">'206'!$P$54</definedName>
    <definedName name="OSRRefP22_8x_0" localSheetId="48">'300'!$P$202</definedName>
    <definedName name="OSRRefP22_8x_0" localSheetId="49">'300 &amp; 317'!$P$227</definedName>
    <definedName name="OSRRefP22_8x_0" localSheetId="50">'301'!$P$59</definedName>
    <definedName name="OSRRefP22_8x_0" localSheetId="51">'306'!$P$54:$P$57</definedName>
    <definedName name="OSRRefP22_8x_0" localSheetId="53">'307'!$P$106:$P$107</definedName>
    <definedName name="OSRRefP22_8x_0" localSheetId="55">'308'!$P$100</definedName>
    <definedName name="OSRRefP22_8x_0" localSheetId="68">'309'!$P$60</definedName>
    <definedName name="OSRRefP22_8x_0" localSheetId="67">'310'!$P$68</definedName>
    <definedName name="OSRRefP22_8x_0" localSheetId="75">'310 &amp; 491'!$P$77</definedName>
    <definedName name="OSRRefP22_8x_0" localSheetId="56">'311'!$P$100</definedName>
    <definedName name="OSRRefP22_8x_0" localSheetId="69">'313'!$P$62</definedName>
    <definedName name="OSRRefP22_8x_0" localSheetId="54">'314'!$P$91</definedName>
    <definedName name="OSRRefP22_8x_0" localSheetId="59">'315'!$P$92</definedName>
    <definedName name="OSRRefP22_8x_0" localSheetId="62">'316'!$P$66</definedName>
    <definedName name="OSRRefP22_8x_0" localSheetId="65">'317'!$P$94</definedName>
    <definedName name="OSRRefP22_8x_0" localSheetId="63">'320'!$P$65</definedName>
    <definedName name="OSRRefP22_8x_0" localSheetId="70">'321'!$P$58</definedName>
    <definedName name="OSRRefP22_8x_0" localSheetId="71">'322'!$P$60</definedName>
    <definedName name="OSRRefP22_8x_0" localSheetId="72">'325'!$P$61</definedName>
    <definedName name="OSRRefP22_8x_0" localSheetId="60">'326'!$P$89</definedName>
    <definedName name="OSRRefP22_8x_0" localSheetId="52">'330'!$P$114</definedName>
    <definedName name="OSRRefP22_8x_0" localSheetId="58">'331'!$P$105:$P$106</definedName>
    <definedName name="OSRRefP22_8x_0" localSheetId="61">'332'!$P$76</definedName>
    <definedName name="OSRRefP22_8x_0" localSheetId="77">'405'!$P$61</definedName>
    <definedName name="OSRRefP22_8x_0" localSheetId="78">'406'!$P$61</definedName>
    <definedName name="OSRRefP22_8x_0" localSheetId="79">'411'!$P$57</definedName>
    <definedName name="OSRRefP22_8x_0" localSheetId="80">'412'!$P$61</definedName>
    <definedName name="OSRRefP22_8x_0" localSheetId="82">'413'!$P$60:$P$62</definedName>
    <definedName name="OSRRefP22_8x_0" localSheetId="83">'414'!$P$61</definedName>
    <definedName name="OSRRefP22_8x_0" localSheetId="84">'415'!$P$61</definedName>
    <definedName name="OSRRefP22_8x_0" localSheetId="85">'418'!$P$62</definedName>
    <definedName name="OSRRefP22_8x_0" localSheetId="87">'424'!$P$59:$P$60</definedName>
    <definedName name="OSRRefP22_8x_0" localSheetId="88">'425'!$P$61</definedName>
    <definedName name="OSRRefP22_8x_0" localSheetId="91">'430'!$P$55</definedName>
    <definedName name="OSRRefP22_8x_0" localSheetId="92">'433'!$P$61</definedName>
    <definedName name="OSRRefP22_8x_0" localSheetId="94">'444'!$P$61</definedName>
    <definedName name="OSRRefP22_8x_0" localSheetId="95">'450'!$P$62</definedName>
    <definedName name="OSRRefP22_8x_0" localSheetId="76">'491'!$P$71</definedName>
    <definedName name="OSRRefP22_8x_0" localSheetId="90">'492'!$P$65</definedName>
    <definedName name="OSRRefP22_8x_0" localSheetId="97">'501'!$P$54</definedName>
    <definedName name="OSRRefP22_8x_0" localSheetId="39">'Div 2'!$P$58</definedName>
    <definedName name="OSRRefP22_8x_0" localSheetId="47">'Div 3'!$P$208</definedName>
    <definedName name="OSRRefP22_8x_0" localSheetId="74">'Div 4'!$P$74</definedName>
    <definedName name="OSRRefP22_8x_0" localSheetId="96">'Div 5'!$P$54</definedName>
    <definedName name="OSRRefP22_8x_0" localSheetId="64">'Div 6'!$P$94</definedName>
    <definedName name="OSRRefP22_8x_0" localSheetId="2">Summary!$P$241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'204'!$P$61</definedName>
    <definedName name="OSRRefP22_9x_0" localSheetId="45">'205'!$P$57</definedName>
    <definedName name="OSRRefP22_9x_0" localSheetId="46">'206'!$P$56</definedName>
    <definedName name="OSRRefP22_9x_0" localSheetId="48">'300'!$P$204</definedName>
    <definedName name="OSRRefP22_9x_0" localSheetId="49">'300 &amp; 317'!$P$229</definedName>
    <definedName name="OSRRefP22_9x_0" localSheetId="50">'301'!$P$61</definedName>
    <definedName name="OSRRefP22_9x_0" localSheetId="51">'306'!$P$59</definedName>
    <definedName name="OSRRefP22_9x_0" localSheetId="53">'307'!$P$109:$P$110</definedName>
    <definedName name="OSRRefP22_9x_0" localSheetId="55">'308'!$P$102:$P$104</definedName>
    <definedName name="OSRRefP22_9x_0" localSheetId="68">'309'!$P$62:$P$63</definedName>
    <definedName name="OSRRefP22_9x_0" localSheetId="67">'310'!$P$70</definedName>
    <definedName name="OSRRefP22_9x_0" localSheetId="75">'310 &amp; 491'!$P$79</definedName>
    <definedName name="OSRRefP22_9x_0" localSheetId="56">'311'!$P$102:$P$104</definedName>
    <definedName name="OSRRefP22_9x_0" localSheetId="69">'313'!$P$64</definedName>
    <definedName name="OSRRefP22_9x_0" localSheetId="54">'314'!$P$93</definedName>
    <definedName name="OSRRefP22_9x_0" localSheetId="59">'315'!$P$94</definedName>
    <definedName name="OSRRefP22_9x_0" localSheetId="62">'316'!$P$68:$P$69</definedName>
    <definedName name="OSRRefP22_9x_0" localSheetId="65">'317'!$P$96:$P$97</definedName>
    <definedName name="OSRRefP22_9x_0" localSheetId="70">'321'!$P$60:$P$62</definedName>
    <definedName name="OSRRefP22_9x_0" localSheetId="71">'322'!$P$62:$P$64</definedName>
    <definedName name="OSRRefP22_9x_0" localSheetId="72">'325'!$P$63</definedName>
    <definedName name="OSRRefP22_9x_0" localSheetId="60">'326'!$P$91</definedName>
    <definedName name="OSRRefP22_9x_0" localSheetId="52">'330'!$P$116:$P$117</definedName>
    <definedName name="OSRRefP22_9x_0" localSheetId="58">'331'!$P$108</definedName>
    <definedName name="OSRRefP22_9x_0" localSheetId="61">'332'!$P$78</definedName>
    <definedName name="OSRRefP22_9x_0" localSheetId="77">'405'!$P$63</definedName>
    <definedName name="OSRRefP22_9x_0" localSheetId="78">'406'!$P$63:$P$65</definedName>
    <definedName name="OSRRefP22_9x_0" localSheetId="79">'411'!$P$59</definedName>
    <definedName name="OSRRefP22_9x_0" localSheetId="80">'412'!$P$63:$P$64</definedName>
    <definedName name="OSRRefP22_9x_0" localSheetId="82">'413'!$P$64</definedName>
    <definedName name="OSRRefP22_9x_0" localSheetId="83">'414'!$P$63:$P$64</definedName>
    <definedName name="OSRRefP22_9x_0" localSheetId="84">'415'!$P$63</definedName>
    <definedName name="OSRRefP22_9x_0" localSheetId="85">'418'!$P$64:$P$65</definedName>
    <definedName name="OSRRefP22_9x_0" localSheetId="87">'424'!$P$62</definedName>
    <definedName name="OSRRefP22_9x_0" localSheetId="88">'425'!$P$63:$P$65</definedName>
    <definedName name="OSRRefP22_9x_0" localSheetId="91">'430'!$P$57</definedName>
    <definedName name="OSRRefP22_9x_0" localSheetId="92">'433'!$P$63</definedName>
    <definedName name="OSRRefP22_9x_0" localSheetId="94">'444'!$P$63</definedName>
    <definedName name="OSRRefP22_9x_0" localSheetId="95">'450'!$P$64</definedName>
    <definedName name="OSRRefP22_9x_0" localSheetId="76">'491'!$P$73:$P$74</definedName>
    <definedName name="OSRRefP22_9x_0" localSheetId="90">'492'!$P$67</definedName>
    <definedName name="OSRRefP22_9x_0" localSheetId="97">'501'!$P$56</definedName>
    <definedName name="OSRRefP22_9x_0" localSheetId="39">'Div 2'!$P$60</definedName>
    <definedName name="OSRRefP22_9x_0" localSheetId="47">'Div 3'!$P$210</definedName>
    <definedName name="OSRRefP22_9x_0" localSheetId="74">'Div 4'!$P$76</definedName>
    <definedName name="OSRRefP22_9x_0" localSheetId="96">'Div 5'!$P$56</definedName>
    <definedName name="OSRRefP22_9x_0" localSheetId="64">'Div 6'!$P$96:$P$97</definedName>
    <definedName name="OSRRefP22_9x_0" localSheetId="2">Summary!$P$243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'204'!$P$21:$P$30,'204'!$P$32:$P$41,'204'!$P$43,'204'!$P$45:$P$46,'204'!$P$48,'204'!$P$50,'204'!$P$52,'204'!$P$54:$P$57,'204'!$P$59,'204'!$P$61,'204'!$P$63:$P$64,'204'!$P$66,'204'!$P$68:$P$69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$162:$P$171,'300'!$P$173:$P$182,'300'!$P$184,'300'!$P$186:$P$187,'300'!$P$189,'300'!$P$191:$P$194,'300'!$P$196:$P$197,'300'!$P$199:$P$200,'300'!$P$202,'300'!$P$204,'300'!$P$206:$P$207,'300'!$P$209,'300'!$P$211,'300'!$P$213,'300'!$P$215,'300'!$P$217,'300'!$P$219:$P$222,'300'!$P$224:$P$227,'300'!$P$229:$P$232,'300'!$P$234:$P$235,'300'!$P$237:$P$243,'300'!$P$245:$P$246,'300'!$P$248,'300'!$P$250:$P$252,'300'!$P$254</definedName>
    <definedName name="OSRRefP22x_0" localSheetId="49">'300 &amp; 317'!$P$187:$P$196,'300 &amp; 317'!$P$198:$P$207,'300 &amp; 317'!$P$209,'300 &amp; 317'!$P$211:$P$212,'300 &amp; 317'!$P$214,'300 &amp; 317'!$P$216:$P$219,'300 &amp; 317'!$P$221:$P$222,'300 &amp; 317'!$P$224:$P$225,'300 &amp; 317'!$P$227,'300 &amp; 317'!$P$229,'300 &amp; 317'!$P$231:$P$232,'300 &amp; 317'!$P$234,'300 &amp; 317'!$P$236,'300 &amp; 317'!$P$238,'300 &amp; 317'!$P$240,'300 &amp; 317'!$P$242,'300 &amp; 317'!$P$244:$P$247,'300 &amp; 317'!$P$249:$P$252,'300 &amp; 317'!$P$254:$P$257,'300 &amp; 317'!$P$259:$P$260,'300 &amp; 317'!$P$262:$P$268,'300 &amp; 317'!$P$270:$P$271,'300 &amp; 317'!$P$273,'300 &amp; 317'!$P$275:$P$277,'300 &amp; 317'!$P$279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$75,'301'!$P$77:$P$79,'301'!$P$81:$P$82,'301'!$P$84:$P$89,'301'!$P$91,'301'!$P$93,'301'!$P$95:$P$97,'301'!$P$99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'307'!$P$72:$P$80,'307'!$P$82:$P$91,'307'!$P$93,'307'!$P$95,'307'!$P$97:$P$98,'307'!$P$100,'307'!$P$102,'307'!$P$104,'307'!$P$106:$P$107,'307'!$P$109:$P$110,'307'!$P$112:$P$113,'307'!$P$115,'307'!$P$117</definedName>
    <definedName name="OSRRefP22x_0" localSheetId="55">'308'!$P$64:$P$73,'308'!$P$75:$P$84,'308'!$P$86,'308'!$P$88:$P$89,'308'!$P$91,'308'!$P$93,'308'!$P$95:$P$96,'308'!$P$98,'308'!$P$100,'308'!$P$102:$P$104,'308'!$P$106,'308'!$P$108:$P$110,'308'!$P$112:$P$113,'308'!$P$115,'308'!$P$117:$P$118</definedName>
    <definedName name="OSRRefP22x_0" localSheetId="68">'309'!$P$26:$P$34,'309'!$P$36:$P$45,'309'!$P$47,'309'!$P$49,'309'!$P$51,'309'!$P$53:$P$54,'309'!$P$56,'309'!$P$58,'309'!$P$60,'309'!$P$62:$P$63,'309'!$P$65:$P$67,'309'!$P$69:$P$71,'309'!$P$73,'309'!$P$75</definedName>
    <definedName name="OSRRefP22x_0" localSheetId="67">'310'!$P$33:$P$41,'310'!$P$43:$P$52,'310'!$P$54,'310'!$P$56,'310'!$P$58,'310'!$P$60:$P$62,'310'!$P$64,'310'!$P$66,'310'!$P$68,'310'!$P$70,'310'!$P$72,'310'!$P$74,'310'!$P$76,'310'!$P$78,'310'!$P$80,'310'!$P$82:$P$84,'310'!$P$86:$P$87,'310'!$P$89:$P$93,'310'!$P$95,'310'!$P$97:$P$104,'310'!$P$106,'310'!$P$108,'310'!$P$110,'310'!$P$112</definedName>
    <definedName name="OSRRefP22x_0" localSheetId="75">'310 &amp; 491'!$P$40:$P$49,'310 &amp; 491'!$P$51:$P$60,'310 &amp; 491'!$P$62,'310 &amp; 491'!$P$64,'310 &amp; 491'!$P$66,'310 &amp; 491'!$P$68:$P$71,'310 &amp; 491'!$P$73,'310 &amp; 491'!$P$75,'310 &amp; 491'!$P$77,'310 &amp; 491'!$P$79,'310 &amp; 491'!$P$81,'310 &amp; 491'!$P$83:$P$84,'310 &amp; 491'!$P$86,'310 &amp; 491'!$P$88,'310 &amp; 491'!$P$90,'310 &amp; 491'!$P$92,'310 &amp; 491'!$P$94,'310 &amp; 491'!$P$96:$P$99,'310 &amp; 491'!$P$101:$P$103,'310 &amp; 491'!$P$105:$P$110,'310 &amp; 491'!$P$112:$P$113,'310 &amp; 491'!$P$115:$P$124,'310 &amp; 491'!$P$126:$P$127,'310 &amp; 491'!$P$129,'310 &amp; 491'!$P$131:$P$133,'310 &amp; 491'!$P$135</definedName>
    <definedName name="OSRRefP22x_0" localSheetId="56">'311'!$P$64:$P$73,'311'!$P$75:$P$84,'311'!$P$86,'311'!$P$88:$P$89,'311'!$P$91,'311'!$P$93,'311'!$P$95:$P$96,'311'!$P$98,'311'!$P$100,'311'!$P$102:$P$104,'311'!$P$106,'311'!$P$108:$P$110,'311'!$P$112:$P$113,'311'!$P$115,'311'!$P$117:$P$118</definedName>
    <definedName name="OSRRefP22x_0" localSheetId="69">'313'!$P$29:$P$37,'313'!$P$39:$P$48,'313'!$P$50,'313'!$P$52,'313'!$P$54,'313'!$P$56,'313'!$P$58,'313'!$P$60,'313'!$P$62,'313'!$P$64,'313'!$P$66:$P$68,'313'!$P$70,'313'!$P$72:$P$76,'313'!$P$78,'313'!$P$80</definedName>
    <definedName name="OSRRefP22x_0" localSheetId="54">'314'!$P$58:$P$65,'314'!$P$67:$P$76,'314'!$P$78,'314'!$P$80:$P$81,'314'!$P$83,'314'!$P$85,'314'!$P$87,'314'!$P$89,'314'!$P$91,'314'!$P$93</definedName>
    <definedName name="OSRRefP22x_0" localSheetId="59">'315'!$P$57:$P$65,'315'!$P$67:$P$76,'315'!$P$78,'315'!$P$80:$P$81,'315'!$P$83,'315'!$P$85:$P$86,'315'!$P$88,'315'!$P$90,'315'!$P$92,'315'!$P$94,'315'!$P$96:$P$98,'315'!$P$100:$P$101,'315'!$P$103:$P$107,'315'!$P$109,'315'!$P$111,'315'!$P$113:$P$114</definedName>
    <definedName name="OSRRefP22x_0" localSheetId="62">'316'!$P$33:$P$41,'316'!$P$43:$P$52,'316'!$P$54,'316'!$P$56,'316'!$P$58,'316'!$P$60,'316'!$P$62,'316'!$P$64,'316'!$P$66,'316'!$P$68:$P$69,'316'!$P$71:$P$72,'316'!$P$74:$P$78,'316'!$P$80:$P$81,'316'!$P$83</definedName>
    <definedName name="OSRRefP22x_0" localSheetId="65">'317'!$P$60:$P$69,'317'!$P$71:$P$80,'317'!$P$82,'317'!$P$84,'317'!$P$86,'317'!$P$88,'317'!$P$90,'317'!$P$92,'317'!$P$94,'317'!$P$96:$P$97,'317'!$P$99:$P$100,'317'!$P$102,'317'!$P$104</definedName>
    <definedName name="OSRRefP22x_0" localSheetId="63">'320'!$P$31:$P$38,'320'!$P$40:$P$49,'320'!$P$51,'320'!$P$53,'320'!$P$55:$P$56,'320'!$P$58,'320'!$P$60,'320'!$P$62:$P$63,'320'!$P$65</definedName>
    <definedName name="OSRRefP22x_0" localSheetId="70">'321'!$P$26:$P$33,'321'!$P$35:$P$44,'321'!$P$46,'321'!$P$48,'321'!$P$50,'321'!$P$52,'321'!$P$54,'321'!$P$56,'321'!$P$58,'321'!$P$60:$P$62,'321'!$P$64:$P$65,'321'!$P$67:$P$69,'321'!$P$71:$P$73,'321'!$P$75,'321'!$P$77</definedName>
    <definedName name="OSRRefP22x_0" localSheetId="71">'322'!$P$26:$P$34,'322'!$P$36:$P$45,'322'!$P$47,'322'!$P$49,'322'!$P$51,'322'!$P$53:$P$54,'322'!$P$56,'322'!$P$58,'322'!$P$60,'322'!$P$62:$P$64,'322'!$P$66:$P$68,'322'!$P$70:$P$74,'322'!$P$76,'322'!$P$78</definedName>
    <definedName name="OSRRefP22x_0" localSheetId="72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0">'326'!$P$55:$P$63,'326'!$P$65:$P$74,'326'!$P$76,'326'!$P$78:$P$79,'326'!$P$81,'326'!$P$83,'326'!$P$85,'326'!$P$87,'326'!$P$89,'326'!$P$91,'326'!$P$93,'326'!$P$95,'326'!$P$97,'326'!$P$99:$P$100,'326'!$P$102:$P$104,'326'!$P$106:$P$107,'326'!$P$109:$P$113,'326'!$P$115:$P$116,'326'!$P$118,'326'!$P$120,'326'!$P$122</definedName>
    <definedName name="OSRRefP22x_0" localSheetId="73">'327'!$P$24,'327'!$P$26,'327'!$P$28</definedName>
    <definedName name="OSRRefP22x_0" localSheetId="52">'330'!$P$80:$P$88,'330'!$P$90:$P$99,'330'!$P$101,'330'!$P$103,'330'!$P$105:$P$106,'330'!$P$108,'330'!$P$110,'330'!$P$112,'330'!$P$114,'330'!$P$116:$P$117,'330'!$P$119:$P$120,'330'!$P$122,'330'!$P$124:$P$125,'330'!$P$127,'330'!$P$129,'330'!$P$131</definedName>
    <definedName name="OSRRefP22x_0" localSheetId="58">'331'!$P$70:$P$78,'331'!$P$80:$P$89,'331'!$P$91,'331'!$P$93:$P$94,'331'!$P$96,'331'!$P$98:$P$99,'331'!$P$101,'331'!$P$103,'331'!$P$105:$P$106,'331'!$P$108,'331'!$P$110,'331'!$P$112,'331'!$P$114,'331'!$P$116,'331'!$P$118:$P$119,'331'!$P$121:$P$123,'331'!$P$125:$P$127,'331'!$P$129:$P$130,'331'!$P$132:$P$137,'331'!$P$139:$P$140,'331'!$P$142,'331'!$P$144:$P$145,'331'!$P$147</definedName>
    <definedName name="OSRRefP22x_0" localSheetId="61">'332'!$P$42:$P$50,'332'!$P$52:$P$61,'332'!$P$63,'332'!$P$65,'332'!$P$67,'332'!$P$69,'332'!$P$71,'332'!$P$73:$P$74,'332'!$P$76,'332'!$P$78,'332'!$P$80:$P$81,'332'!$P$83:$P$84,'332'!$P$86:$P$90,'332'!$P$92:$P$93,'332'!$P$95</definedName>
    <definedName name="OSRRefP22x_0" localSheetId="77">'405'!$P$26:$P$34,'405'!$P$36:$P$45,'405'!$P$47,'405'!$P$49,'405'!$P$51,'405'!$P$53:$P$55,'405'!$P$57,'405'!$P$59,'405'!$P$61,'405'!$P$63,'405'!$P$65,'405'!$P$67:$P$69,'405'!$P$71,'405'!$P$73:$P$75,'405'!$P$77:$P$78,'405'!$P$80:$P$88,'405'!$P$90,'405'!$P$92,'405'!$P$94</definedName>
    <definedName name="OSRRefP22x_0" localSheetId="78">'406'!$P$27:$P$35,'406'!$P$37:$P$46,'406'!$P$48,'406'!$P$50,'406'!$P$52,'406'!$P$54:$P$55,'406'!$P$57,'406'!$P$59,'406'!$P$61,'406'!$P$63:$P$65,'406'!$P$67:$P$69,'406'!$P$71:$P$76,'406'!$P$78:$P$79,'406'!$P$81,'406'!$P$83</definedName>
    <definedName name="OSRRefP22x_0" localSheetId="79">'411'!$P$20:$P$29,'411'!$P$31:$P$40,'411'!$P$42,'411'!$P$44:$P$47,'411'!$P$49,'411'!$P$51,'411'!$P$53,'411'!$P$55,'411'!$P$57,'411'!$P$59,'411'!$P$61:$P$63,'411'!$P$65:$P$69,'411'!$P$71,'411'!$P$73:$P$79,'411'!$P$81,'411'!$P$83,'411'!$P$85:$P$87,'411'!$P$89</definedName>
    <definedName name="OSRRefP22x_0" localSheetId="80">'412'!$P$26:$P$34,'412'!$P$36:$P$45,'412'!$P$47,'412'!$P$49,'412'!$P$51,'412'!$P$53:$P$55,'412'!$P$57,'412'!$P$59,'412'!$P$61,'412'!$P$63:$P$64,'412'!$P$66,'412'!$P$68:$P$70,'412'!$P$72:$P$77,'412'!$P$79,'412'!$P$81</definedName>
    <definedName name="OSRRefP22x_0" localSheetId="82">'413'!$P$27:$P$35,'413'!$P$37:$P$46,'413'!$P$48,'413'!$P$50,'413'!$P$52,'413'!$P$54,'413'!$P$56,'413'!$P$58,'413'!$P$60:$P$62,'413'!$P$64,'413'!$P$66:$P$71,'413'!$P$73:$P$74,'413'!$P$76</definedName>
    <definedName name="OSRRefP22x_0" localSheetId="83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4">'415'!$P$26:$P$34,'415'!$P$36:$P$45,'415'!$P$47,'415'!$P$49,'415'!$P$51,'415'!$P$53:$P$55,'415'!$P$57,'415'!$P$59,'415'!$P$61,'415'!$P$63,'415'!$P$65,'415'!$P$67:$P$69,'415'!$P$71:$P$75,'415'!$P$77:$P$78,'415'!$P$80:$P$87,'415'!$P$89,'415'!$P$91,'415'!$P$93:$P$94,'415'!$P$96</definedName>
    <definedName name="OSRRefP22x_0" localSheetId="85">'418'!$P$27:$P$35,'418'!$P$37:$P$46,'418'!$P$48,'418'!$P$50,'418'!$P$52,'418'!$P$54:$P$56,'418'!$P$58,'418'!$P$60,'418'!$P$62,'418'!$P$64:$P$65,'418'!$P$67:$P$69,'418'!$P$71:$P$73,'418'!$P$75:$P$76,'418'!$P$78:$P$84,'418'!$P$86,'418'!$P$88,'418'!$P$90</definedName>
    <definedName name="OSRRefP22x_0" localSheetId="81">'420'!$P$23:$P$29,'420'!$P$31:$P$34,'420'!$P$36,'420'!$P$38,'420'!$P$40:$P$41,'420'!$P$43</definedName>
    <definedName name="OSRRefP22x_0" localSheetId="86">'423'!$P$21:$P$29,'423'!$P$31:$P$40,'423'!$P$42,'423'!$P$44,'423'!$P$46,'423'!$P$48</definedName>
    <definedName name="OSRRefP22x_0" localSheetId="87">'424'!$P$26:$P$33,'424'!$P$35:$P$44,'424'!$P$46,'424'!$P$48,'424'!$P$50,'424'!$P$52,'424'!$P$54,'424'!$P$56:$P$57,'424'!$P$59:$P$60,'424'!$P$62,'424'!$P$64:$P$67,'424'!$P$69:$P$70</definedName>
    <definedName name="OSRRefP22x_0" localSheetId="88">'425'!$P$27:$P$35,'425'!$P$37:$P$46,'425'!$P$48,'425'!$P$50,'425'!$P$52,'425'!$P$54:$P$55,'425'!$P$57,'425'!$P$59,'425'!$P$61,'425'!$P$63:$P$65,'425'!$P$67:$P$68,'425'!$P$70:$P$71,'425'!$P$73:$P$79,'425'!$P$81:$P$82,'425'!$P$84,'425'!$P$86</definedName>
    <definedName name="OSRRefP22x_0" localSheetId="91">'430'!$P$20:$P$28,'430'!$P$30:$P$39,'430'!$P$41,'430'!$P$43,'430'!$P$45,'430'!$P$47,'430'!$P$49,'430'!$P$51:$P$53,'430'!$P$55,'430'!$P$57,'430'!$P$59</definedName>
    <definedName name="OSRRefP22x_0" localSheetId="92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3">'435'!$P$27:$P$34,'435'!$P$36:$P$45,'435'!$P$47,'435'!$P$49,'435'!$P$51,'435'!$P$53,'435'!$P$55:$P$57,'435'!$P$59</definedName>
    <definedName name="OSRRefP22x_0" localSheetId="94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5">'450'!$P$27:$P$36,'450'!$P$38:$P$47,'450'!$P$49,'450'!$P$51:$P$52,'450'!$P$54,'450'!$P$56,'450'!$P$58,'450'!$P$60,'450'!$P$62,'450'!$P$64,'450'!$P$66,'450'!$P$68:$P$70,'450'!$P$72:$P$74,'450'!$P$76:$P$81,'450'!$P$83,'450'!$P$85,'450'!$P$87:$P$88</definedName>
    <definedName name="OSRRefP22x_0" localSheetId="89">'455'!$P$20:$P$27,'455'!$P$29:$P$38</definedName>
    <definedName name="OSRRefP22x_0" localSheetId="76">'491'!$P$34:$P$43,'491'!$P$45:$P$54,'491'!$P$56,'491'!$P$58,'491'!$P$60,'491'!$P$62:$P$65,'491'!$P$67,'491'!$P$69,'491'!$P$71,'491'!$P$73:$P$74,'491'!$P$76,'491'!$P$78,'491'!$P$80,'491'!$P$82,'491'!$P$84:$P$87,'491'!$P$89:$P$91,'491'!$P$93:$P$97,'491'!$P$99:$P$100,'491'!$P$102:$P$111,'491'!$P$113:$P$114,'491'!$P$116,'491'!$P$118:$P$120,'491'!$P$122</definedName>
    <definedName name="OSRRefP22x_0" localSheetId="90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7">'501'!$P$21:$P$29,'501'!$P$31:$P$40,'501'!$P$42,'501'!$P$44,'501'!$P$46,'501'!$P$48,'501'!$P$50,'501'!$P$52,'501'!$P$54,'501'!$P$56,'501'!$P$58:$P$60,'501'!$P$62:$P$64,'501'!$P$66,'501'!$P$68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2'!$P$86:$P$89,'Div 2'!$P$91:$P$92,'Div 2'!$P$94,'Div 2'!$P$96:$P$97</definedName>
    <definedName name="OSRRefP22x_0" localSheetId="47">'Div 3'!$P$168:$P$177,'Div 3'!$P$179:$P$188,'Div 3'!$P$190,'Div 3'!$P$192:$P$193,'Div 3'!$P$195,'Div 3'!$P$197:$P$200,'Div 3'!$P$202:$P$203,'Div 3'!$P$205:$P$206,'Div 3'!$P$208,'Div 3'!$P$210,'Div 3'!$P$212:$P$213,'Div 3'!$P$215,'Div 3'!$P$217,'Div 3'!$P$219,'Div 3'!$P$221,'Div 3'!$P$223,'Div 3'!$P$225,'Div 3'!$P$227,'Div 3'!$P$229:$P$232,'Div 3'!$P$234:$P$237,'Div 3'!$P$239:$P$244,'Div 3'!$P$246:$P$247,'Div 3'!$P$249:$P$256,'Div 3'!$P$258:$P$259,'Div 3'!$P$261,'Div 3'!$P$263:$P$265,'Div 3'!$P$267</definedName>
    <definedName name="OSRRefP22x_0" localSheetId="74">'Div 4'!$P$35:$P$44,'Div 4'!$P$46:$P$55,'Div 4'!$P$57,'Div 4'!$P$59:$P$60,'Div 4'!$P$62,'Div 4'!$P$64:$P$67,'Div 4'!$P$69:$P$70,'Div 4'!$P$72,'Div 4'!$P$74,'Div 4'!$P$76,'Div 4'!$P$78:$P$79,'Div 4'!$P$81,'Div 4'!$P$83,'Div 4'!$P$85,'Div 4'!$P$87,'Div 4'!$P$89,'Div 4'!$P$91:$P$94,'Div 4'!$P$96:$P$98,'Div 4'!$P$100:$P$104,'Div 4'!$P$106:$P$107,'Div 4'!$P$109:$P$118,'Div 4'!$P$120:$P$121,'Div 4'!$P$123,'Div 4'!$P$125:$P$127,'Div 4'!$P$129</definedName>
    <definedName name="OSRRefP22x_0" localSheetId="96">'Div 5'!$P$21:$P$29,'Div 5'!$P$31:$P$40,'Div 5'!$P$42,'Div 5'!$P$44,'Div 5'!$P$46,'Div 5'!$P$48,'Div 5'!$P$50,'Div 5'!$P$52,'Div 5'!$P$54,'Div 5'!$P$56,'Div 5'!$P$58:$P$60,'Div 5'!$P$62:$P$64,'Div 5'!$P$66,'Div 5'!$P$68</definedName>
    <definedName name="OSRRefP22x_0" localSheetId="64">'Div 6'!$P$60:$P$69,'Div 6'!$P$71:$P$80,'Div 6'!$P$82,'Div 6'!$P$84,'Div 6'!$P$86,'Div 6'!$P$88,'Div 6'!$P$90,'Div 6'!$P$92,'Div 6'!$P$94,'Div 6'!$P$96:$P$97,'Div 6'!$P$99:$P$100,'Div 6'!$P$102,'Div 6'!$P$104</definedName>
    <definedName name="OSRRefP22x_0" localSheetId="2">Summary!$P$200:$P$209,Summary!$P$211:$P$220,Summary!$P$222,Summary!$P$224:$P$225,Summary!$P$227,Summary!$P$229:$P$232,Summary!$P$234:$P$235,Summary!$P$237:$P$239,Summary!$P$241,Summary!$P$243,Summary!$P$245:$P$246,Summary!$P$248:$P$249,Summary!$P$251,Summary!$P$253,Summary!$P$255,Summary!$P$257,Summary!$P$259,Summary!$P$261,Summary!$P$263:$P$266,Summary!$P$268:$P$271,Summary!$P$273:$P$278,Summary!$P$280:$P$281,Summary!$P$283:$P$292,Summary!$P$294:$P$295,Summary!$P$297,Summary!$P$299:$P$301,Summary!$P$303</definedName>
    <definedName name="OSRRefP25x_0" localSheetId="48">'300'!$P$257:$P$265</definedName>
    <definedName name="OSRRefP25x_0" localSheetId="49">'300 &amp; 317'!$P$282:$P$293</definedName>
    <definedName name="OSRRefP25x_0" localSheetId="50">'301'!$P$102:$P$105</definedName>
    <definedName name="OSRRefP25x_0" localSheetId="53">'307'!$P$120</definedName>
    <definedName name="OSRRefP25x_0" localSheetId="55">'308'!$P$121:$P$124</definedName>
    <definedName name="OSRRefP25x_0" localSheetId="75">'310 &amp; 491'!$P$138:$P$141</definedName>
    <definedName name="OSRRefP25x_0" localSheetId="56">'311'!$P$121:$P$124</definedName>
    <definedName name="OSRRefP25x_0" localSheetId="59">'315'!$P$117:$P$119</definedName>
    <definedName name="OSRRefP25x_0" localSheetId="62">'316'!$P$86:$P$87</definedName>
    <definedName name="OSRRefP25x_0" localSheetId="65">'317'!$P$107:$P$110</definedName>
    <definedName name="OSRRefP25x_0" localSheetId="63">'320'!$P$68:$P$72</definedName>
    <definedName name="OSRRefP25x_0" localSheetId="52">'330'!$P$134</definedName>
    <definedName name="OSRRefP25x_0" localSheetId="58">'331'!$P$150:$P$152</definedName>
    <definedName name="OSRRefP25x_0" localSheetId="61">'332'!$P$98:$P$104</definedName>
    <definedName name="OSRRefP25x_0" localSheetId="79">'411'!$P$92:$P$93</definedName>
    <definedName name="OSRRefP25x_0" localSheetId="82">'413'!$P$79</definedName>
    <definedName name="OSRRefP25x_0" localSheetId="84">'415'!$P$99</definedName>
    <definedName name="OSRRefP25x_0" localSheetId="86">'423'!$P$51</definedName>
    <definedName name="OSRRefP25x_0" localSheetId="87">'424'!$P$73</definedName>
    <definedName name="OSRRefP25x_0" localSheetId="88">'425'!$P$89</definedName>
    <definedName name="OSRRefP25x_0" localSheetId="89">'455'!$P$41:$P$44</definedName>
    <definedName name="OSRRefP25x_0" localSheetId="76">'491'!$P$125:$P$128</definedName>
    <definedName name="OSRRefP25x_0" localSheetId="97">'501'!$P$71</definedName>
    <definedName name="OSRRefP25x_0" localSheetId="47">'Div 3'!$P$270:$P$278</definedName>
    <definedName name="OSRRefP25x_0" localSheetId="74">'Div 4'!$P$132:$P$135</definedName>
    <definedName name="OSRRefP25x_0" localSheetId="96">'Div 5'!$P$71</definedName>
    <definedName name="OSRRefP25x_0" localSheetId="64">'Div 6'!$P$107:$P$110</definedName>
    <definedName name="OSRRefP25x_0" localSheetId="2">Summary!$P$306:$P$318</definedName>
    <definedName name="OSRRefT13x_0" localSheetId="44">'204'!$T$13</definedName>
    <definedName name="OSRRefT13x_0" localSheetId="48">'300'!$T$13:$T$103</definedName>
    <definedName name="OSRRefT13x_0" localSheetId="49">'300 &amp; 317'!$T$13:$T$121</definedName>
    <definedName name="OSRRefT13x_0" localSheetId="53">'307'!$T$13:$T$43</definedName>
    <definedName name="OSRRefT13x_0" localSheetId="55">'308'!$T$13:$T$40</definedName>
    <definedName name="OSRRefT13x_0" localSheetId="68">'309'!$T$13:$T$15</definedName>
    <definedName name="OSRRefT13x_0" localSheetId="67">'310'!$T$13:$T$22</definedName>
    <definedName name="OSRRefT13x_0" localSheetId="75">'310 &amp; 491'!$T$13:$T$29</definedName>
    <definedName name="OSRRefT13x_0" localSheetId="56">'311'!$T$13:$T$40</definedName>
    <definedName name="OSRRefT13x_0" localSheetId="69">'313'!$T$13:$T$18</definedName>
    <definedName name="OSRRefT13x_0" localSheetId="54">'314'!$T$13:$T$34</definedName>
    <definedName name="OSRRefT13x_0" localSheetId="59">'315'!$T$13:$T$33</definedName>
    <definedName name="OSRRefT13x_0" localSheetId="62">'316'!$T$13:$T$25</definedName>
    <definedName name="OSRRefT13x_0" localSheetId="65">'317'!$T$13:$T$38</definedName>
    <definedName name="OSRRefT13x_0" localSheetId="63">'320'!$T$13:$T$17</definedName>
    <definedName name="OSRRefT13x_0" localSheetId="70">'321'!$T$13:$T$15</definedName>
    <definedName name="OSRRefT13x_0" localSheetId="71">'322'!$T$13:$T$15</definedName>
    <definedName name="OSRRefT13x_0" localSheetId="57">'324'!$T$13:$T$15</definedName>
    <definedName name="OSRRefT13x_0" localSheetId="72">'325'!$T$13:$T$15</definedName>
    <definedName name="OSRRefT13x_0" localSheetId="60">'326'!$T$13:$T$32</definedName>
    <definedName name="OSRRefT13x_0" localSheetId="73">'327'!$T$13:$T$14</definedName>
    <definedName name="OSRRefT13x_0" localSheetId="52">'330'!$T$13:$T$48</definedName>
    <definedName name="OSRRefT13x_0" localSheetId="58">'331'!$T$13:$T$40</definedName>
    <definedName name="OSRRefT13x_0" localSheetId="61">'332'!$T$13:$T$28</definedName>
    <definedName name="OSRRefT13x_0" localSheetId="77">'405'!$T$13:$T$15</definedName>
    <definedName name="OSRRefT13x_0" localSheetId="78">'406'!$T$13:$T$16</definedName>
    <definedName name="OSRRefT13x_0" localSheetId="80">'412'!$T$13:$T$16</definedName>
    <definedName name="OSRRefT13x_0" localSheetId="82">'413'!$T$13:$T$16</definedName>
    <definedName name="OSRRefT13x_0" localSheetId="83">'414'!$T$13:$T$16</definedName>
    <definedName name="OSRRefT13x_0" localSheetId="84">'415'!$T$13:$T$15</definedName>
    <definedName name="OSRRefT13x_0" localSheetId="85">'418'!$T$13:$T$16</definedName>
    <definedName name="OSRRefT13x_0" localSheetId="81">'420'!$T$13:$T$14</definedName>
    <definedName name="OSRRefT13x_0" localSheetId="87">'424'!$T$13:$T$15</definedName>
    <definedName name="OSRRefT13x_0" localSheetId="88">'425'!$T$13:$T$16</definedName>
    <definedName name="OSRRefT13x_0" localSheetId="92">'433'!$T$13:$T$16</definedName>
    <definedName name="OSRRefT13x_0" localSheetId="93">'435'!$T$13:$T$16</definedName>
    <definedName name="OSRRefT13x_0" localSheetId="94">'444'!$T$13:$T$16</definedName>
    <definedName name="OSRRefT13x_0" localSheetId="95">'450'!$T$13:$T$16</definedName>
    <definedName name="OSRRefT13x_0" localSheetId="76">'491'!$T$13:$T$23</definedName>
    <definedName name="OSRRefT13x_0" localSheetId="90">'492'!$T$13:$T$18</definedName>
    <definedName name="OSRRefT13x_0" localSheetId="97">'501'!$T$13</definedName>
    <definedName name="OSRRefT13x_0" localSheetId="39">'Div 2'!$T$13</definedName>
    <definedName name="OSRRefT13x_0" localSheetId="47">'Div 3'!$T$13:$T$107</definedName>
    <definedName name="OSRRefT13x_0" localSheetId="74">'Div 4'!$T$13:$T$24</definedName>
    <definedName name="OSRRefT13x_0" localSheetId="96">'Div 5'!$T$13</definedName>
    <definedName name="OSRRefT13x_0" localSheetId="64">'Div 6'!$T$13:$T$38</definedName>
    <definedName name="OSRRefT13x_0" localSheetId="2">Summary!$T$13:$T$132</definedName>
    <definedName name="OSRRefT16x_0" localSheetId="48">'300'!$T$106:$T$156</definedName>
    <definedName name="OSRRefT16x_0" localSheetId="49">'300 &amp; 317'!$T$124:$T$181</definedName>
    <definedName name="OSRRefT16x_0" localSheetId="53">'307'!$T$46:$T$66</definedName>
    <definedName name="OSRRefT16x_0" localSheetId="55">'308'!$T$43:$T$58</definedName>
    <definedName name="OSRRefT16x_0" localSheetId="68">'309'!$T$18:$T$20</definedName>
    <definedName name="OSRRefT16x_0" localSheetId="67">'310'!$T$25:$T$27</definedName>
    <definedName name="OSRRefT16x_0" localSheetId="75">'310 &amp; 491'!$T$32:$T$34</definedName>
    <definedName name="OSRRefT16x_0" localSheetId="56">'311'!$T$43:$T$58</definedName>
    <definedName name="OSRRefT16x_0" localSheetId="69">'313'!$T$21:$T$23</definedName>
    <definedName name="OSRRefT16x_0" localSheetId="54">'314'!$T$37:$T$52</definedName>
    <definedName name="OSRRefT16x_0" localSheetId="59">'315'!$T$36:$T$51</definedName>
    <definedName name="OSRRefT16x_0" localSheetId="65">'317'!$T$41:$T$54</definedName>
    <definedName name="OSRRefT16x_0" localSheetId="63">'320'!$T$20:$T$25</definedName>
    <definedName name="OSRRefT16x_0" localSheetId="70">'321'!$T$18:$T$20</definedName>
    <definedName name="OSRRefT16x_0" localSheetId="71">'322'!$T$18:$T$20</definedName>
    <definedName name="OSRRefT16x_0" localSheetId="57">'324'!$T$18:$T$20</definedName>
    <definedName name="OSRRefT16x_0" localSheetId="72">'325'!$T$18:$T$20</definedName>
    <definedName name="OSRRefT16x_0" localSheetId="60">'326'!$T$35:$T$49</definedName>
    <definedName name="OSRRefT16x_0" localSheetId="73">'327'!$T$17:$T$18</definedName>
    <definedName name="OSRRefT16x_0" localSheetId="52">'330'!$T$51:$T$74</definedName>
    <definedName name="OSRRefT16x_0" localSheetId="58">'331'!$T$43:$T$64</definedName>
    <definedName name="OSRRefT16x_0" localSheetId="61">'332'!$T$31:$T$36</definedName>
    <definedName name="OSRRefT16x_0" localSheetId="77">'405'!$T$18:$T$20</definedName>
    <definedName name="OSRRefT16x_0" localSheetId="78">'406'!$T$19:$T$21</definedName>
    <definedName name="OSRRefT16x_0" localSheetId="80">'412'!$T$19:$T$20</definedName>
    <definedName name="OSRRefT16x_0" localSheetId="82">'413'!$T$19:$T$21</definedName>
    <definedName name="OSRRefT16x_0" localSheetId="83">'414'!$T$19:$T$21</definedName>
    <definedName name="OSRRefT16x_0" localSheetId="84">'415'!$T$18:$T$20</definedName>
    <definedName name="OSRRefT16x_0" localSheetId="85">'418'!$T$19:$T$21</definedName>
    <definedName name="OSRRefT16x_0" localSheetId="81">'420'!$T$17</definedName>
    <definedName name="OSRRefT16x_0" localSheetId="86">'423'!$T$15</definedName>
    <definedName name="OSRRefT16x_0" localSheetId="87">'424'!$T$18:$T$20</definedName>
    <definedName name="OSRRefT16x_0" localSheetId="88">'425'!$T$19:$T$21</definedName>
    <definedName name="OSRRefT16x_0" localSheetId="92">'433'!$T$19:$T$21</definedName>
    <definedName name="OSRRefT16x_0" localSheetId="93">'435'!$T$19:$T$21</definedName>
    <definedName name="OSRRefT16x_0" localSheetId="94">'444'!$T$19:$T$21</definedName>
    <definedName name="OSRRefT16x_0" localSheetId="95">'450'!$T$19:$T$21</definedName>
    <definedName name="OSRRefT16x_0" localSheetId="76">'491'!$T$26:$T$28</definedName>
    <definedName name="OSRRefT16x_0" localSheetId="90">'492'!$T$21:$T$23</definedName>
    <definedName name="OSRRefT16x_0" localSheetId="47">'Div 3'!$T$110:$T$162</definedName>
    <definedName name="OSRRefT16x_0" localSheetId="74">'Div 4'!$T$27:$T$29</definedName>
    <definedName name="OSRRefT16x_0" localSheetId="64">'Div 6'!$T$41:$T$54</definedName>
    <definedName name="OSRRefT16x_0" localSheetId="2">Summary!$T$135:$T$194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'300'!$T$162:$T$171</definedName>
    <definedName name="OSRRefT22_0x_0" localSheetId="49">'300 &amp; 317'!$T$187:$T$196</definedName>
    <definedName name="OSRRefT22_0x_0" localSheetId="50">'301'!$T$20:$T$28</definedName>
    <definedName name="OSRRefT22_0x_0" localSheetId="51">'306'!$T$20:$T$28</definedName>
    <definedName name="OSRRefT22_0x_0" localSheetId="53">'307'!$T$72:$T$80</definedName>
    <definedName name="OSRRefT22_0x_0" localSheetId="55">'308'!$T$64:$T$73</definedName>
    <definedName name="OSRRefT22_0x_0" localSheetId="68">'309'!$T$26:$T$34</definedName>
    <definedName name="OSRRefT22_0x_0" localSheetId="67">'310'!$T$33:$T$41</definedName>
    <definedName name="OSRRefT22_0x_0" localSheetId="75">'310 &amp; 491'!$T$40:$T$49</definedName>
    <definedName name="OSRRefT22_0x_0" localSheetId="56">'311'!$T$64:$T$73</definedName>
    <definedName name="OSRRefT22_0x_0" localSheetId="69">'313'!$T$29:$T$37</definedName>
    <definedName name="OSRRefT22_0x_0" localSheetId="54">'314'!$T$58:$T$65</definedName>
    <definedName name="OSRRefT22_0x_0" localSheetId="59">'315'!$T$57:$T$65</definedName>
    <definedName name="OSRRefT22_0x_0" localSheetId="62">'316'!$T$33:$T$41</definedName>
    <definedName name="OSRRefT22_0x_0" localSheetId="65">'317'!$T$60:$T$69</definedName>
    <definedName name="OSRRefT22_0x_0" localSheetId="63">'320'!$T$31:$T$38</definedName>
    <definedName name="OSRRefT22_0x_0" localSheetId="70">'321'!$T$26:$T$33</definedName>
    <definedName name="OSRRefT22_0x_0" localSheetId="71">'322'!$T$26:$T$34</definedName>
    <definedName name="OSRRefT22_0x_0" localSheetId="72">'325'!$T$26:$T$34</definedName>
    <definedName name="OSRRefT22_0x_0" localSheetId="60">'326'!$T$55:$T$63</definedName>
    <definedName name="OSRRefT22_0x_0" localSheetId="73">'327'!$T$24</definedName>
    <definedName name="OSRRefT22_0x_0" localSheetId="52">'330'!$T$80:$T$88</definedName>
    <definedName name="OSRRefT22_0x_0" localSheetId="58">'331'!$T$70:$T$78</definedName>
    <definedName name="OSRRefT22_0x_0" localSheetId="61">'332'!$T$42:$T$50</definedName>
    <definedName name="OSRRefT22_0x_0" localSheetId="77">'405'!$T$26:$T$34</definedName>
    <definedName name="OSRRefT22_0x_0" localSheetId="78">'406'!$T$27:$T$35</definedName>
    <definedName name="OSRRefT22_0x_0" localSheetId="79">'411'!$T$20:$T$29</definedName>
    <definedName name="OSRRefT22_0x_0" localSheetId="80">'412'!$T$26:$T$34</definedName>
    <definedName name="OSRRefT22_0x_0" localSheetId="82">'413'!$T$27:$T$35</definedName>
    <definedName name="OSRRefT22_0x_0" localSheetId="83">'414'!$T$27:$T$35</definedName>
    <definedName name="OSRRefT22_0x_0" localSheetId="84">'415'!$T$26:$T$34</definedName>
    <definedName name="OSRRefT22_0x_0" localSheetId="85">'418'!$T$27:$T$35</definedName>
    <definedName name="OSRRefT22_0x_0" localSheetId="81">'420'!$T$23:$T$29</definedName>
    <definedName name="OSRRefT22_0x_0" localSheetId="86">'423'!$T$21:$T$29</definedName>
    <definedName name="OSRRefT22_0x_0" localSheetId="87">'424'!$T$26:$T$33</definedName>
    <definedName name="OSRRefT22_0x_0" localSheetId="88">'425'!$T$27:$T$35</definedName>
    <definedName name="OSRRefT22_0x_0" localSheetId="91">'430'!$T$20:$T$28</definedName>
    <definedName name="OSRRefT22_0x_0" localSheetId="92">'433'!$T$27:$T$36</definedName>
    <definedName name="OSRRefT22_0x_0" localSheetId="93">'435'!$T$27:$T$34</definedName>
    <definedName name="OSRRefT22_0x_0" localSheetId="94">'444'!$T$27:$T$36</definedName>
    <definedName name="OSRRefT22_0x_0" localSheetId="95">'450'!$T$27:$T$36</definedName>
    <definedName name="OSRRefT22_0x_0" localSheetId="89">'455'!$T$20:$T$27</definedName>
    <definedName name="OSRRefT22_0x_0" localSheetId="76">'491'!$T$34:$T$43</definedName>
    <definedName name="OSRRefT22_0x_0" localSheetId="90">'492'!$T$29:$T$38</definedName>
    <definedName name="OSRRefT22_0x_0" localSheetId="97">'501'!$T$21:$T$29</definedName>
    <definedName name="OSRRefT22_0x_0" localSheetId="39">'Div 2'!$T$21:$T$31</definedName>
    <definedName name="OSRRefT22_0x_0" localSheetId="47">'Div 3'!$T$168:$T$177</definedName>
    <definedName name="OSRRefT22_0x_0" localSheetId="74">'Div 4'!$T$35:$T$44</definedName>
    <definedName name="OSRRefT22_0x_0" localSheetId="96">'Div 5'!$T$21:$T$29</definedName>
    <definedName name="OSRRefT22_0x_0" localSheetId="64">'Div 6'!$T$60:$T$69</definedName>
    <definedName name="OSRRefT22_0x_0" localSheetId="2">Summary!$T$200:$T$209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'204'!$T$63:$T$64</definedName>
    <definedName name="OSRRefT22_10x_0" localSheetId="46">'206'!$T$58</definedName>
    <definedName name="OSRRefT22_10x_0" localSheetId="48">'300'!$T$206:$T$207</definedName>
    <definedName name="OSRRefT22_10x_0" localSheetId="49">'300 &amp; 317'!$T$231:$T$232</definedName>
    <definedName name="OSRRefT22_10x_0" localSheetId="50">'301'!$T$63</definedName>
    <definedName name="OSRRefT22_10x_0" localSheetId="51">'306'!$T$61</definedName>
    <definedName name="OSRRefT22_10x_0" localSheetId="53">'307'!$T$112:$T$113</definedName>
    <definedName name="OSRRefT22_10x_0" localSheetId="55">'308'!$T$106</definedName>
    <definedName name="OSRRefT22_10x_0" localSheetId="68">'309'!$T$65:$T$67</definedName>
    <definedName name="OSRRefT22_10x_0" localSheetId="67">'310'!$T$72</definedName>
    <definedName name="OSRRefT22_10x_0" localSheetId="75">'310 &amp; 491'!$T$81</definedName>
    <definedName name="OSRRefT22_10x_0" localSheetId="56">'311'!$T$106</definedName>
    <definedName name="OSRRefT22_10x_0" localSheetId="69">'313'!$T$66:$T$68</definedName>
    <definedName name="OSRRefT22_10x_0" localSheetId="59">'315'!$T$96:$T$98</definedName>
    <definedName name="OSRRefT22_10x_0" localSheetId="62">'316'!$T$71:$T$72</definedName>
    <definedName name="OSRRefT22_10x_0" localSheetId="65">'317'!$T$99:$T$100</definedName>
    <definedName name="OSRRefT22_10x_0" localSheetId="70">'321'!$T$64:$T$65</definedName>
    <definedName name="OSRRefT22_10x_0" localSheetId="71">'322'!$T$66:$T$68</definedName>
    <definedName name="OSRRefT22_10x_0" localSheetId="72">'325'!$T$65</definedName>
    <definedName name="OSRRefT22_10x_0" localSheetId="60">'326'!$T$93</definedName>
    <definedName name="OSRRefT22_10x_0" localSheetId="52">'330'!$T$119:$T$120</definedName>
    <definedName name="OSRRefT22_10x_0" localSheetId="58">'331'!$T$110</definedName>
    <definedName name="OSRRefT22_10x_0" localSheetId="61">'332'!$T$80:$T$81</definedName>
    <definedName name="OSRRefT22_10x_0" localSheetId="77">'405'!$T$65</definedName>
    <definedName name="OSRRefT22_10x_0" localSheetId="78">'406'!$T$67:$T$69</definedName>
    <definedName name="OSRRefT22_10x_0" localSheetId="79">'411'!$T$61:$T$63</definedName>
    <definedName name="OSRRefT22_10x_0" localSheetId="80">'412'!$T$66</definedName>
    <definedName name="OSRRefT22_10x_0" localSheetId="82">'413'!$T$66:$T$71</definedName>
    <definedName name="OSRRefT22_10x_0" localSheetId="83">'414'!$T$66</definedName>
    <definedName name="OSRRefT22_10x_0" localSheetId="84">'415'!$T$65</definedName>
    <definedName name="OSRRefT22_10x_0" localSheetId="85">'418'!$T$67:$T$69</definedName>
    <definedName name="OSRRefT22_10x_0" localSheetId="87">'424'!$T$64:$T$67</definedName>
    <definedName name="OSRRefT22_10x_0" localSheetId="88">'425'!$T$67:$T$68</definedName>
    <definedName name="OSRRefT22_10x_0" localSheetId="91">'430'!$T$59</definedName>
    <definedName name="OSRRefT22_10x_0" localSheetId="92">'433'!$T$65:$T$67</definedName>
    <definedName name="OSRRefT22_10x_0" localSheetId="94">'444'!$T$65</definedName>
    <definedName name="OSRRefT22_10x_0" localSheetId="95">'450'!$T$66</definedName>
    <definedName name="OSRRefT22_10x_0" localSheetId="76">'491'!$T$76</definedName>
    <definedName name="OSRRefT22_10x_0" localSheetId="90">'492'!$T$69</definedName>
    <definedName name="OSRRefT22_10x_0" localSheetId="97">'501'!$T$58:$T$60</definedName>
    <definedName name="OSRRefT22_10x_0" localSheetId="39">'Div 2'!$T$62</definedName>
    <definedName name="OSRRefT22_10x_0" localSheetId="47">'Div 3'!$T$212:$T$213</definedName>
    <definedName name="OSRRefT22_10x_0" localSheetId="74">'Div 4'!$T$78:$T$79</definedName>
    <definedName name="OSRRefT22_10x_0" localSheetId="96">'Div 5'!$T$58:$T$60</definedName>
    <definedName name="OSRRefT22_10x_0" localSheetId="64">'Div 6'!$T$99:$T$100</definedName>
    <definedName name="OSRRefT22_10x_0" localSheetId="2">Summary!$T$245:$T$246</definedName>
    <definedName name="OSRRefT22_11x_0" localSheetId="41">'201'!$T$62:$T$64</definedName>
    <definedName name="OSRRefT22_11x_0" localSheetId="42">'202'!$T$61:$T$63</definedName>
    <definedName name="OSRRefT22_11x_0" localSheetId="43">'203'!$T$62</definedName>
    <definedName name="OSRRefT22_11x_0" localSheetId="44">'204'!$T$66</definedName>
    <definedName name="OSRRefT22_11x_0" localSheetId="48">'300'!$T$209</definedName>
    <definedName name="OSRRefT22_11x_0" localSheetId="49">'300 &amp; 317'!$T$234</definedName>
    <definedName name="OSRRefT22_11x_0" localSheetId="50">'301'!$T$65</definedName>
    <definedName name="OSRRefT22_11x_0" localSheetId="53">'307'!$T$115</definedName>
    <definedName name="OSRRefT22_11x_0" localSheetId="55">'308'!$T$108:$T$110</definedName>
    <definedName name="OSRRefT22_11x_0" localSheetId="68">'309'!$T$69:$T$71</definedName>
    <definedName name="OSRRefT22_11x_0" localSheetId="67">'310'!$T$74</definedName>
    <definedName name="OSRRefT22_11x_0" localSheetId="75">'310 &amp; 491'!$T$83:$T$84</definedName>
    <definedName name="OSRRefT22_11x_0" localSheetId="56">'311'!$T$108:$T$110</definedName>
    <definedName name="OSRRefT22_11x_0" localSheetId="69">'313'!$T$70</definedName>
    <definedName name="OSRRefT22_11x_0" localSheetId="59">'315'!$T$100:$T$101</definedName>
    <definedName name="OSRRefT22_11x_0" localSheetId="62">'316'!$T$74:$T$78</definedName>
    <definedName name="OSRRefT22_11x_0" localSheetId="65">'317'!$T$102</definedName>
    <definedName name="OSRRefT22_11x_0" localSheetId="70">'321'!$T$67:$T$69</definedName>
    <definedName name="OSRRefT22_11x_0" localSheetId="71">'322'!$T$70:$T$74</definedName>
    <definedName name="OSRRefT22_11x_0" localSheetId="72">'325'!$T$67:$T$69</definedName>
    <definedName name="OSRRefT22_11x_0" localSheetId="60">'326'!$T$95</definedName>
    <definedName name="OSRRefT22_11x_0" localSheetId="52">'330'!$T$122</definedName>
    <definedName name="OSRRefT22_11x_0" localSheetId="58">'331'!$T$112</definedName>
    <definedName name="OSRRefT22_11x_0" localSheetId="61">'332'!$T$83:$T$84</definedName>
    <definedName name="OSRRefT22_11x_0" localSheetId="77">'405'!$T$67:$T$69</definedName>
    <definedName name="OSRRefT22_11x_0" localSheetId="78">'406'!$T$71:$T$76</definedName>
    <definedName name="OSRRefT22_11x_0" localSheetId="79">'411'!$T$65:$T$69</definedName>
    <definedName name="OSRRefT22_11x_0" localSheetId="80">'412'!$T$68:$T$70</definedName>
    <definedName name="OSRRefT22_11x_0" localSheetId="82">'413'!$T$73:$T$74</definedName>
    <definedName name="OSRRefT22_11x_0" localSheetId="83">'414'!$T$68</definedName>
    <definedName name="OSRRefT22_11x_0" localSheetId="84">'415'!$T$67:$T$69</definedName>
    <definedName name="OSRRefT22_11x_0" localSheetId="85">'418'!$T$71:$T$73</definedName>
    <definedName name="OSRRefT22_11x_0" localSheetId="87">'424'!$T$69:$T$70</definedName>
    <definedName name="OSRRefT22_11x_0" localSheetId="88">'425'!$T$70:$T$71</definedName>
    <definedName name="OSRRefT22_11x_0" localSheetId="92">'433'!$T$69:$T$72</definedName>
    <definedName name="OSRRefT22_11x_0" localSheetId="94">'444'!$T$67:$T$69</definedName>
    <definedName name="OSRRefT22_11x_0" localSheetId="95">'450'!$T$68:$T$70</definedName>
    <definedName name="OSRRefT22_11x_0" localSheetId="76">'491'!$T$78</definedName>
    <definedName name="OSRRefT22_11x_0" localSheetId="90">'492'!$T$71</definedName>
    <definedName name="OSRRefT22_11x_0" localSheetId="97">'501'!$T$62:$T$64</definedName>
    <definedName name="OSRRefT22_11x_0" localSheetId="39">'Div 2'!$T$64</definedName>
    <definedName name="OSRRefT22_11x_0" localSheetId="47">'Div 3'!$T$215</definedName>
    <definedName name="OSRRefT22_11x_0" localSheetId="74">'Div 4'!$T$81</definedName>
    <definedName name="OSRRefT22_11x_0" localSheetId="96">'Div 5'!$T$62:$T$64</definedName>
    <definedName name="OSRRefT22_11x_0" localSheetId="64">'Div 6'!$T$102</definedName>
    <definedName name="OSRRefT22_11x_0" localSheetId="2">Summary!$T$248:$T$249</definedName>
    <definedName name="OSRRefT22_12x_0" localSheetId="41">'201'!$T$66</definedName>
    <definedName name="OSRRefT22_12x_0" localSheetId="42">'202'!$T$65</definedName>
    <definedName name="OSRRefT22_12x_0" localSheetId="43">'203'!$T$64:$T$66</definedName>
    <definedName name="OSRRefT22_12x_0" localSheetId="44">'204'!$T$68:$T$69</definedName>
    <definedName name="OSRRefT22_12x_0" localSheetId="48">'300'!$T$211</definedName>
    <definedName name="OSRRefT22_12x_0" localSheetId="49">'300 &amp; 317'!$T$236</definedName>
    <definedName name="OSRRefT22_12x_0" localSheetId="50">'301'!$T$67</definedName>
    <definedName name="OSRRefT22_12x_0" localSheetId="53">'307'!$T$117</definedName>
    <definedName name="OSRRefT22_12x_0" localSheetId="55">'308'!$T$112:$T$113</definedName>
    <definedName name="OSRRefT22_12x_0" localSheetId="68">'309'!$T$73</definedName>
    <definedName name="OSRRefT22_12x_0" localSheetId="67">'310'!$T$76</definedName>
    <definedName name="OSRRefT22_12x_0" localSheetId="75">'310 &amp; 491'!$T$86</definedName>
    <definedName name="OSRRefT22_12x_0" localSheetId="56">'311'!$T$112:$T$113</definedName>
    <definedName name="OSRRefT22_12x_0" localSheetId="69">'313'!$T$72:$T$76</definedName>
    <definedName name="OSRRefT22_12x_0" localSheetId="59">'315'!$T$103:$T$107</definedName>
    <definedName name="OSRRefT22_12x_0" localSheetId="62">'316'!$T$80:$T$81</definedName>
    <definedName name="OSRRefT22_12x_0" localSheetId="65">'317'!$T$104</definedName>
    <definedName name="OSRRefT22_12x_0" localSheetId="70">'321'!$T$71:$T$73</definedName>
    <definedName name="OSRRefT22_12x_0" localSheetId="71">'322'!$T$76</definedName>
    <definedName name="OSRRefT22_12x_0" localSheetId="72">'325'!$T$71:$T$74</definedName>
    <definedName name="OSRRefT22_12x_0" localSheetId="60">'326'!$T$97</definedName>
    <definedName name="OSRRefT22_12x_0" localSheetId="52">'330'!$T$124:$T$125</definedName>
    <definedName name="OSRRefT22_12x_0" localSheetId="58">'331'!$T$114</definedName>
    <definedName name="OSRRefT22_12x_0" localSheetId="61">'332'!$T$86:$T$90</definedName>
    <definedName name="OSRRefT22_12x_0" localSheetId="77">'405'!$T$71</definedName>
    <definedName name="OSRRefT22_12x_0" localSheetId="78">'406'!$T$78:$T$79</definedName>
    <definedName name="OSRRefT22_12x_0" localSheetId="79">'411'!$T$71</definedName>
    <definedName name="OSRRefT22_12x_0" localSheetId="80">'412'!$T$72:$T$77</definedName>
    <definedName name="OSRRefT22_12x_0" localSheetId="82">'413'!$T$76</definedName>
    <definedName name="OSRRefT22_12x_0" localSheetId="83">'414'!$T$70</definedName>
    <definedName name="OSRRefT22_12x_0" localSheetId="84">'415'!$T$71:$T$75</definedName>
    <definedName name="OSRRefT22_12x_0" localSheetId="85">'418'!$T$75:$T$76</definedName>
    <definedName name="OSRRefT22_12x_0" localSheetId="88">'425'!$T$73:$T$79</definedName>
    <definedName name="OSRRefT22_12x_0" localSheetId="92">'433'!$T$74:$T$81</definedName>
    <definedName name="OSRRefT22_12x_0" localSheetId="94">'444'!$T$71:$T$74</definedName>
    <definedName name="OSRRefT22_12x_0" localSheetId="95">'450'!$T$72:$T$74</definedName>
    <definedName name="OSRRefT22_12x_0" localSheetId="76">'491'!$T$80</definedName>
    <definedName name="OSRRefT22_12x_0" localSheetId="90">'492'!$T$73:$T$76</definedName>
    <definedName name="OSRRefT22_12x_0" localSheetId="97">'501'!$T$66</definedName>
    <definedName name="OSRRefT22_12x_0" localSheetId="39">'Div 2'!$T$66:$T$68</definedName>
    <definedName name="OSRRefT22_12x_0" localSheetId="47">'Div 3'!$T$217</definedName>
    <definedName name="OSRRefT22_12x_0" localSheetId="74">'Div 4'!$T$83</definedName>
    <definedName name="OSRRefT22_12x_0" localSheetId="96">'Div 5'!$T$66</definedName>
    <definedName name="OSRRefT22_12x_0" localSheetId="64">'Div 6'!$T$104</definedName>
    <definedName name="OSRRefT22_12x_0" localSheetId="2">Summary!$T$251</definedName>
    <definedName name="OSRRefT22_13x_0" localSheetId="41">'201'!$T$68:$T$70</definedName>
    <definedName name="OSRRefT22_13x_0" localSheetId="42">'202'!$T$67</definedName>
    <definedName name="OSRRefT22_13x_0" localSheetId="43">'203'!$T$68</definedName>
    <definedName name="OSRRefT22_13x_0" localSheetId="48">'300'!$T$213</definedName>
    <definedName name="OSRRefT22_13x_0" localSheetId="49">'300 &amp; 317'!$T$238</definedName>
    <definedName name="OSRRefT22_13x_0" localSheetId="50">'301'!$T$69</definedName>
    <definedName name="OSRRefT22_13x_0" localSheetId="55">'308'!$T$115</definedName>
    <definedName name="OSRRefT22_13x_0" localSheetId="68">'309'!$T$75</definedName>
    <definedName name="OSRRefT22_13x_0" localSheetId="67">'310'!$T$78</definedName>
    <definedName name="OSRRefT22_13x_0" localSheetId="75">'310 &amp; 491'!$T$88</definedName>
    <definedName name="OSRRefT22_13x_0" localSheetId="56">'311'!$T$115</definedName>
    <definedName name="OSRRefT22_13x_0" localSheetId="69">'313'!$T$78</definedName>
    <definedName name="OSRRefT22_13x_0" localSheetId="59">'315'!$T$109</definedName>
    <definedName name="OSRRefT22_13x_0" localSheetId="62">'316'!$T$83</definedName>
    <definedName name="OSRRefT22_13x_0" localSheetId="70">'321'!$T$75</definedName>
    <definedName name="OSRRefT22_13x_0" localSheetId="71">'322'!$T$78</definedName>
    <definedName name="OSRRefT22_13x_0" localSheetId="72">'325'!$T$76</definedName>
    <definedName name="OSRRefT22_13x_0" localSheetId="60">'326'!$T$99:$T$100</definedName>
    <definedName name="OSRRefT22_13x_0" localSheetId="52">'330'!$T$127</definedName>
    <definedName name="OSRRefT22_13x_0" localSheetId="58">'331'!$T$116</definedName>
    <definedName name="OSRRefT22_13x_0" localSheetId="61">'332'!$T$92:$T$93</definedName>
    <definedName name="OSRRefT22_13x_0" localSheetId="77">'405'!$T$73:$T$75</definedName>
    <definedName name="OSRRefT22_13x_0" localSheetId="78">'406'!$T$81</definedName>
    <definedName name="OSRRefT22_13x_0" localSheetId="79">'411'!$T$73:$T$79</definedName>
    <definedName name="OSRRefT22_13x_0" localSheetId="80">'412'!$T$79</definedName>
    <definedName name="OSRRefT22_13x_0" localSheetId="83">'414'!$T$72:$T$78</definedName>
    <definedName name="OSRRefT22_13x_0" localSheetId="84">'415'!$T$77:$T$78</definedName>
    <definedName name="OSRRefT22_13x_0" localSheetId="85">'418'!$T$78:$T$84</definedName>
    <definedName name="OSRRefT22_13x_0" localSheetId="88">'425'!$T$81:$T$82</definedName>
    <definedName name="OSRRefT22_13x_0" localSheetId="92">'433'!$T$83</definedName>
    <definedName name="OSRRefT22_13x_0" localSheetId="94">'444'!$T$76:$T$83</definedName>
    <definedName name="OSRRefT22_13x_0" localSheetId="95">'450'!$T$76:$T$81</definedName>
    <definedName name="OSRRefT22_13x_0" localSheetId="76">'491'!$T$82</definedName>
    <definedName name="OSRRefT22_13x_0" localSheetId="90">'492'!$T$78:$T$81</definedName>
    <definedName name="OSRRefT22_13x_0" localSheetId="97">'501'!$T$68</definedName>
    <definedName name="OSRRefT22_13x_0" localSheetId="39">'Div 2'!$T$70:$T$73</definedName>
    <definedName name="OSRRefT22_13x_0" localSheetId="47">'Div 3'!$T$219</definedName>
    <definedName name="OSRRefT22_13x_0" localSheetId="74">'Div 4'!$T$85</definedName>
    <definedName name="OSRRefT22_13x_0" localSheetId="96">'Div 5'!$T$68</definedName>
    <definedName name="OSRRefT22_13x_0" localSheetId="2">Summary!$T$253</definedName>
    <definedName name="OSRRefT22_14x_0" localSheetId="41">'201'!$T$72</definedName>
    <definedName name="OSRRefT22_14x_0" localSheetId="42">'202'!$T$69:$T$70</definedName>
    <definedName name="OSRRefT22_14x_0" localSheetId="43">'203'!$T$70</definedName>
    <definedName name="OSRRefT22_14x_0" localSheetId="48">'300'!$T$215</definedName>
    <definedName name="OSRRefT22_14x_0" localSheetId="49">'300 &amp; 317'!$T$240</definedName>
    <definedName name="OSRRefT22_14x_0" localSheetId="50">'301'!$T$71</definedName>
    <definedName name="OSRRefT22_14x_0" localSheetId="55">'308'!$T$117:$T$118</definedName>
    <definedName name="OSRRefT22_14x_0" localSheetId="67">'310'!$T$80</definedName>
    <definedName name="OSRRefT22_14x_0" localSheetId="75">'310 &amp; 491'!$T$90</definedName>
    <definedName name="OSRRefT22_14x_0" localSheetId="56">'311'!$T$117:$T$118</definedName>
    <definedName name="OSRRefT22_14x_0" localSheetId="69">'313'!$T$80</definedName>
    <definedName name="OSRRefT22_14x_0" localSheetId="59">'315'!$T$111</definedName>
    <definedName name="OSRRefT22_14x_0" localSheetId="70">'321'!$T$77</definedName>
    <definedName name="OSRRefT22_14x_0" localSheetId="72">'325'!$T$78:$T$84</definedName>
    <definedName name="OSRRefT22_14x_0" localSheetId="60">'326'!$T$102:$T$104</definedName>
    <definedName name="OSRRefT22_14x_0" localSheetId="52">'330'!$T$129</definedName>
    <definedName name="OSRRefT22_14x_0" localSheetId="58">'331'!$T$118:$T$119</definedName>
    <definedName name="OSRRefT22_14x_0" localSheetId="61">'332'!$T$95</definedName>
    <definedName name="OSRRefT22_14x_0" localSheetId="77">'405'!$T$77:$T$78</definedName>
    <definedName name="OSRRefT22_14x_0" localSheetId="78">'406'!$T$83</definedName>
    <definedName name="OSRRefT22_14x_0" localSheetId="79">'411'!$T$81</definedName>
    <definedName name="OSRRefT22_14x_0" localSheetId="80">'412'!$T$81</definedName>
    <definedName name="OSRRefT22_14x_0" localSheetId="83">'414'!$T$80</definedName>
    <definedName name="OSRRefT22_14x_0" localSheetId="84">'415'!$T$80:$T$87</definedName>
    <definedName name="OSRRefT22_14x_0" localSheetId="85">'418'!$T$86</definedName>
    <definedName name="OSRRefT22_14x_0" localSheetId="88">'425'!$T$84</definedName>
    <definedName name="OSRRefT22_14x_0" localSheetId="92">'433'!$T$85</definedName>
    <definedName name="OSRRefT22_14x_0" localSheetId="94">'444'!$T$85</definedName>
    <definedName name="OSRRefT22_14x_0" localSheetId="95">'450'!$T$83</definedName>
    <definedName name="OSRRefT22_14x_0" localSheetId="76">'491'!$T$84:$T$87</definedName>
    <definedName name="OSRRefT22_14x_0" localSheetId="90">'492'!$T$83:$T$91</definedName>
    <definedName name="OSRRefT22_14x_0" localSheetId="39">'Div 2'!$T$75:$T$78</definedName>
    <definedName name="OSRRefT22_14x_0" localSheetId="47">'Div 3'!$T$221</definedName>
    <definedName name="OSRRefT22_14x_0" localSheetId="74">'Div 4'!$T$87</definedName>
    <definedName name="OSRRefT22_14x_0" localSheetId="2">Summary!$T$255</definedName>
    <definedName name="OSRRefT22_15x_0" localSheetId="41">'201'!$T$74</definedName>
    <definedName name="OSRRefT22_15x_0" localSheetId="42">'202'!$T$72</definedName>
    <definedName name="OSRRefT22_15x_0" localSheetId="43">'203'!$T$72</definedName>
    <definedName name="OSRRefT22_15x_0" localSheetId="48">'300'!$T$217</definedName>
    <definedName name="OSRRefT22_15x_0" localSheetId="49">'300 &amp; 317'!$T$242</definedName>
    <definedName name="OSRRefT22_15x_0" localSheetId="50">'301'!$T$73:$T$75</definedName>
    <definedName name="OSRRefT22_15x_0" localSheetId="67">'310'!$T$82:$T$84</definedName>
    <definedName name="OSRRefT22_15x_0" localSheetId="75">'310 &amp; 491'!$T$92</definedName>
    <definedName name="OSRRefT22_15x_0" localSheetId="59">'315'!$T$113:$T$114</definedName>
    <definedName name="OSRRefT22_15x_0" localSheetId="72">'325'!$T$86</definedName>
    <definedName name="OSRRefT22_15x_0" localSheetId="60">'326'!$T$106:$T$107</definedName>
    <definedName name="OSRRefT22_15x_0" localSheetId="52">'330'!$T$131</definedName>
    <definedName name="OSRRefT22_15x_0" localSheetId="58">'331'!$T$121:$T$123</definedName>
    <definedName name="OSRRefT22_15x_0" localSheetId="77">'405'!$T$80:$T$88</definedName>
    <definedName name="OSRRefT22_15x_0" localSheetId="79">'411'!$T$83</definedName>
    <definedName name="OSRRefT22_15x_0" localSheetId="83">'414'!$T$82</definedName>
    <definedName name="OSRRefT22_15x_0" localSheetId="84">'415'!$T$89</definedName>
    <definedName name="OSRRefT22_15x_0" localSheetId="85">'418'!$T$88</definedName>
    <definedName name="OSRRefT22_15x_0" localSheetId="88">'425'!$T$86</definedName>
    <definedName name="OSRRefT22_15x_0" localSheetId="92">'433'!$T$87:$T$88</definedName>
    <definedName name="OSRRefT22_15x_0" localSheetId="94">'444'!$T$87</definedName>
    <definedName name="OSRRefT22_15x_0" localSheetId="95">'450'!$T$85</definedName>
    <definedName name="OSRRefT22_15x_0" localSheetId="76">'491'!$T$89:$T$91</definedName>
    <definedName name="OSRRefT22_15x_0" localSheetId="90">'492'!$T$93</definedName>
    <definedName name="OSRRefT22_15x_0" localSheetId="39">'Div 2'!$T$80:$T$81</definedName>
    <definedName name="OSRRefT22_15x_0" localSheetId="47">'Div 3'!$T$223</definedName>
    <definedName name="OSRRefT22_15x_0" localSheetId="74">'Div 4'!$T$89</definedName>
    <definedName name="OSRRefT22_15x_0" localSheetId="2">Summary!$T$257</definedName>
    <definedName name="OSRRefT22_16x_0" localSheetId="41">'201'!$T$76:$T$77</definedName>
    <definedName name="OSRRefT22_16x_0" localSheetId="42">'202'!$T$74</definedName>
    <definedName name="OSRRefT22_16x_0" localSheetId="48">'300'!$T$219:$T$222</definedName>
    <definedName name="OSRRefT22_16x_0" localSheetId="49">'300 &amp; 317'!$T$244:$T$247</definedName>
    <definedName name="OSRRefT22_16x_0" localSheetId="50">'301'!$T$77:$T$79</definedName>
    <definedName name="OSRRefT22_16x_0" localSheetId="67">'310'!$T$86:$T$87</definedName>
    <definedName name="OSRRefT22_16x_0" localSheetId="75">'310 &amp; 491'!$T$94</definedName>
    <definedName name="OSRRefT22_16x_0" localSheetId="72">'325'!$T$88</definedName>
    <definedName name="OSRRefT22_16x_0" localSheetId="60">'326'!$T$109:$T$113</definedName>
    <definedName name="OSRRefT22_16x_0" localSheetId="58">'331'!$T$125:$T$127</definedName>
    <definedName name="OSRRefT22_16x_0" localSheetId="77">'405'!$T$90</definedName>
    <definedName name="OSRRefT22_16x_0" localSheetId="79">'411'!$T$85:$T$87</definedName>
    <definedName name="OSRRefT22_16x_0" localSheetId="84">'415'!$T$91</definedName>
    <definedName name="OSRRefT22_16x_0" localSheetId="85">'418'!$T$90</definedName>
    <definedName name="OSRRefT22_16x_0" localSheetId="94">'444'!$T$89</definedName>
    <definedName name="OSRRefT22_16x_0" localSheetId="95">'450'!$T$87:$T$88</definedName>
    <definedName name="OSRRefT22_16x_0" localSheetId="76">'491'!$T$93:$T$97</definedName>
    <definedName name="OSRRefT22_16x_0" localSheetId="90">'492'!$T$95</definedName>
    <definedName name="OSRRefT22_16x_0" localSheetId="39">'Div 2'!$T$83:$T$84</definedName>
    <definedName name="OSRRefT22_16x_0" localSheetId="47">'Div 3'!$T$225</definedName>
    <definedName name="OSRRefT22_16x_0" localSheetId="74">'Div 4'!$T$91:$T$94</definedName>
    <definedName name="OSRRefT22_16x_0" localSheetId="2">Summary!$T$259</definedName>
    <definedName name="OSRRefT22_17x_0" localSheetId="48">'300'!$T$224:$T$227</definedName>
    <definedName name="OSRRefT22_17x_0" localSheetId="49">'300 &amp; 317'!$T$249:$T$252</definedName>
    <definedName name="OSRRefT22_17x_0" localSheetId="50">'301'!$T$81:$T$82</definedName>
    <definedName name="OSRRefT22_17x_0" localSheetId="67">'310'!$T$89:$T$93</definedName>
    <definedName name="OSRRefT22_17x_0" localSheetId="75">'310 &amp; 491'!$T$96:$T$99</definedName>
    <definedName name="OSRRefT22_17x_0" localSheetId="72">'325'!$T$90</definedName>
    <definedName name="OSRRefT22_17x_0" localSheetId="60">'326'!$T$115:$T$116</definedName>
    <definedName name="OSRRefT22_17x_0" localSheetId="58">'331'!$T$129:$T$130</definedName>
    <definedName name="OSRRefT22_17x_0" localSheetId="77">'405'!$T$92</definedName>
    <definedName name="OSRRefT22_17x_0" localSheetId="79">'411'!$T$89</definedName>
    <definedName name="OSRRefT22_17x_0" localSheetId="84">'415'!$T$93:$T$94</definedName>
    <definedName name="OSRRefT22_17x_0" localSheetId="76">'491'!$T$99:$T$100</definedName>
    <definedName name="OSRRefT22_17x_0" localSheetId="90">'492'!$T$97:$T$98</definedName>
    <definedName name="OSRRefT22_17x_0" localSheetId="39">'Div 2'!$T$86:$T$89</definedName>
    <definedName name="OSRRefT22_17x_0" localSheetId="47">'Div 3'!$T$227</definedName>
    <definedName name="OSRRefT22_17x_0" localSheetId="74">'Div 4'!$T$96:$T$98</definedName>
    <definedName name="OSRRefT22_17x_0" localSheetId="2">Summary!$T$261</definedName>
    <definedName name="OSRRefT22_18x_0" localSheetId="48">'300'!$T$229:$T$232</definedName>
    <definedName name="OSRRefT22_18x_0" localSheetId="49">'300 &amp; 317'!$T$254:$T$257</definedName>
    <definedName name="OSRRefT22_18x_0" localSheetId="50">'301'!$T$84:$T$89</definedName>
    <definedName name="OSRRefT22_18x_0" localSheetId="67">'310'!$T$95</definedName>
    <definedName name="OSRRefT22_18x_0" localSheetId="75">'310 &amp; 491'!$T$101:$T$103</definedName>
    <definedName name="OSRRefT22_18x_0" localSheetId="72">'325'!$T$92</definedName>
    <definedName name="OSRRefT22_18x_0" localSheetId="60">'326'!$T$118</definedName>
    <definedName name="OSRRefT22_18x_0" localSheetId="58">'331'!$T$132:$T$137</definedName>
    <definedName name="OSRRefT22_18x_0" localSheetId="77">'405'!$T$94</definedName>
    <definedName name="OSRRefT22_18x_0" localSheetId="84">'415'!$T$96</definedName>
    <definedName name="OSRRefT22_18x_0" localSheetId="76">'491'!$T$102:$T$111</definedName>
    <definedName name="OSRRefT22_18x_0" localSheetId="39">'Div 2'!$T$91:$T$92</definedName>
    <definedName name="OSRRefT22_18x_0" localSheetId="47">'Div 3'!$T$229:$T$232</definedName>
    <definedName name="OSRRefT22_18x_0" localSheetId="74">'Div 4'!$T$100:$T$104</definedName>
    <definedName name="OSRRefT22_18x_0" localSheetId="2">Summary!$T$263:$T$266</definedName>
    <definedName name="OSRRefT22_19x_0" localSheetId="48">'300'!$T$234:$T$235</definedName>
    <definedName name="OSRRefT22_19x_0" localSheetId="49">'300 &amp; 317'!$T$259:$T$260</definedName>
    <definedName name="OSRRefT22_19x_0" localSheetId="50">'301'!$T$91</definedName>
    <definedName name="OSRRefT22_19x_0" localSheetId="67">'310'!$T$97:$T$104</definedName>
    <definedName name="OSRRefT22_19x_0" localSheetId="75">'310 &amp; 491'!$T$105:$T$110</definedName>
    <definedName name="OSRRefT22_19x_0" localSheetId="60">'326'!$T$120</definedName>
    <definedName name="OSRRefT22_19x_0" localSheetId="58">'331'!$T$139:$T$140</definedName>
    <definedName name="OSRRefT22_19x_0" localSheetId="76">'491'!$T$113:$T$114</definedName>
    <definedName name="OSRRefT22_19x_0" localSheetId="39">'Div 2'!$T$94</definedName>
    <definedName name="OSRRefT22_19x_0" localSheetId="47">'Div 3'!$T$234:$T$237</definedName>
    <definedName name="OSRRefT22_19x_0" localSheetId="74">'Div 4'!$T$106:$T$107</definedName>
    <definedName name="OSRRefT22_19x_0" localSheetId="2">Summary!$T$268:$T$271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'300'!$T$173:$T$182</definedName>
    <definedName name="OSRRefT22_1x_0" localSheetId="49">'300 &amp; 317'!$T$198:$T$207</definedName>
    <definedName name="OSRRefT22_1x_0" localSheetId="50">'301'!$T$30:$T$39</definedName>
    <definedName name="OSRRefT22_1x_0" localSheetId="51">'306'!$T$30:$T$39</definedName>
    <definedName name="OSRRefT22_1x_0" localSheetId="53">'307'!$T$82:$T$91</definedName>
    <definedName name="OSRRefT22_1x_0" localSheetId="55">'308'!$T$75:$T$84</definedName>
    <definedName name="OSRRefT22_1x_0" localSheetId="68">'309'!$T$36:$T$45</definedName>
    <definedName name="OSRRefT22_1x_0" localSheetId="67">'310'!$T$43:$T$52</definedName>
    <definedName name="OSRRefT22_1x_0" localSheetId="75">'310 &amp; 491'!$T$51:$T$60</definedName>
    <definedName name="OSRRefT22_1x_0" localSheetId="56">'311'!$T$75:$T$84</definedName>
    <definedName name="OSRRefT22_1x_0" localSheetId="69">'313'!$T$39:$T$48</definedName>
    <definedName name="OSRRefT22_1x_0" localSheetId="54">'314'!$T$67:$T$76</definedName>
    <definedName name="OSRRefT22_1x_0" localSheetId="59">'315'!$T$67:$T$76</definedName>
    <definedName name="OSRRefT22_1x_0" localSheetId="62">'316'!$T$43:$T$52</definedName>
    <definedName name="OSRRefT22_1x_0" localSheetId="65">'317'!$T$71:$T$80</definedName>
    <definedName name="OSRRefT22_1x_0" localSheetId="63">'320'!$T$40:$T$49</definedName>
    <definedName name="OSRRefT22_1x_0" localSheetId="70">'321'!$T$35:$T$44</definedName>
    <definedName name="OSRRefT22_1x_0" localSheetId="71">'322'!$T$36:$T$45</definedName>
    <definedName name="OSRRefT22_1x_0" localSheetId="72">'325'!$T$36:$T$45</definedName>
    <definedName name="OSRRefT22_1x_0" localSheetId="60">'326'!$T$65:$T$74</definedName>
    <definedName name="OSRRefT22_1x_0" localSheetId="73">'327'!$T$26</definedName>
    <definedName name="OSRRefT22_1x_0" localSheetId="52">'330'!$T$90:$T$99</definedName>
    <definedName name="OSRRefT22_1x_0" localSheetId="58">'331'!$T$80:$T$89</definedName>
    <definedName name="OSRRefT22_1x_0" localSheetId="61">'332'!$T$52:$T$61</definedName>
    <definedName name="OSRRefT22_1x_0" localSheetId="77">'405'!$T$36:$T$45</definedName>
    <definedName name="OSRRefT22_1x_0" localSheetId="78">'406'!$T$37:$T$46</definedName>
    <definedName name="OSRRefT22_1x_0" localSheetId="79">'411'!$T$31:$T$40</definedName>
    <definedName name="OSRRefT22_1x_0" localSheetId="80">'412'!$T$36:$T$45</definedName>
    <definedName name="OSRRefT22_1x_0" localSheetId="82">'413'!$T$37:$T$46</definedName>
    <definedName name="OSRRefT22_1x_0" localSheetId="83">'414'!$T$37:$T$46</definedName>
    <definedName name="OSRRefT22_1x_0" localSheetId="84">'415'!$T$36:$T$45</definedName>
    <definedName name="OSRRefT22_1x_0" localSheetId="85">'418'!$T$37:$T$46</definedName>
    <definedName name="OSRRefT22_1x_0" localSheetId="81">'420'!$T$31:$T$34</definedName>
    <definedName name="OSRRefT22_1x_0" localSheetId="86">'423'!$T$31:$T$40</definedName>
    <definedName name="OSRRefT22_1x_0" localSheetId="87">'424'!$T$35:$T$44</definedName>
    <definedName name="OSRRefT22_1x_0" localSheetId="88">'425'!$T$37:$T$46</definedName>
    <definedName name="OSRRefT22_1x_0" localSheetId="91">'430'!$T$30:$T$39</definedName>
    <definedName name="OSRRefT22_1x_0" localSheetId="92">'433'!$T$38:$T$47</definedName>
    <definedName name="OSRRefT22_1x_0" localSheetId="93">'435'!$T$36:$T$45</definedName>
    <definedName name="OSRRefT22_1x_0" localSheetId="94">'444'!$T$38:$T$47</definedName>
    <definedName name="OSRRefT22_1x_0" localSheetId="95">'450'!$T$38:$T$47</definedName>
    <definedName name="OSRRefT22_1x_0" localSheetId="89">'455'!$T$29:$T$38</definedName>
    <definedName name="OSRRefT22_1x_0" localSheetId="76">'491'!$T$45:$T$54</definedName>
    <definedName name="OSRRefT22_1x_0" localSheetId="90">'492'!$T$40:$T$49</definedName>
    <definedName name="OSRRefT22_1x_0" localSheetId="97">'501'!$T$31:$T$40</definedName>
    <definedName name="OSRRefT22_1x_0" localSheetId="39">'Div 2'!$T$33:$T$42</definedName>
    <definedName name="OSRRefT22_1x_0" localSheetId="47">'Div 3'!$T$179:$T$188</definedName>
    <definedName name="OSRRefT22_1x_0" localSheetId="74">'Div 4'!$T$46:$T$55</definedName>
    <definedName name="OSRRefT22_1x_0" localSheetId="96">'Div 5'!$T$31:$T$40</definedName>
    <definedName name="OSRRefT22_1x_0" localSheetId="64">'Div 6'!$T$71:$T$80</definedName>
    <definedName name="OSRRefT22_1x_0" localSheetId="2">Summary!$T$211:$T$220</definedName>
    <definedName name="OSRRefT22_20x_0" localSheetId="48">'300'!$T$237:$T$243</definedName>
    <definedName name="OSRRefT22_20x_0" localSheetId="49">'300 &amp; 317'!$T$262:$T$268</definedName>
    <definedName name="OSRRefT22_20x_0" localSheetId="50">'301'!$T$93</definedName>
    <definedName name="OSRRefT22_20x_0" localSheetId="67">'310'!$T$106</definedName>
    <definedName name="OSRRefT22_20x_0" localSheetId="75">'310 &amp; 491'!$T$112:$T$113</definedName>
    <definedName name="OSRRefT22_20x_0" localSheetId="60">'326'!$T$122</definedName>
    <definedName name="OSRRefT22_20x_0" localSheetId="58">'331'!$T$142</definedName>
    <definedName name="OSRRefT22_20x_0" localSheetId="76">'491'!$T$116</definedName>
    <definedName name="OSRRefT22_20x_0" localSheetId="39">'Div 2'!$T$96:$T$97</definedName>
    <definedName name="OSRRefT22_20x_0" localSheetId="47">'Div 3'!$T$239:$T$244</definedName>
    <definedName name="OSRRefT22_20x_0" localSheetId="74">'Div 4'!$T$109:$T$118</definedName>
    <definedName name="OSRRefT22_20x_0" localSheetId="2">Summary!$T$273:$T$278</definedName>
    <definedName name="OSRRefT22_21x_0" localSheetId="48">'300'!$T$245:$T$246</definedName>
    <definedName name="OSRRefT22_21x_0" localSheetId="49">'300 &amp; 317'!$T$270:$T$271</definedName>
    <definedName name="OSRRefT22_21x_0" localSheetId="50">'301'!$T$95:$T$97</definedName>
    <definedName name="OSRRefT22_21x_0" localSheetId="67">'310'!$T$108</definedName>
    <definedName name="OSRRefT22_21x_0" localSheetId="75">'310 &amp; 491'!$T$115:$T$124</definedName>
    <definedName name="OSRRefT22_21x_0" localSheetId="58">'331'!$T$144:$T$145</definedName>
    <definedName name="OSRRefT22_21x_0" localSheetId="76">'491'!$T$118:$T$120</definedName>
    <definedName name="OSRRefT22_21x_0" localSheetId="47">'Div 3'!$T$246:$T$247</definedName>
    <definedName name="OSRRefT22_21x_0" localSheetId="74">'Div 4'!$T$120:$T$121</definedName>
    <definedName name="OSRRefT22_21x_0" localSheetId="2">Summary!$T$280:$T$281</definedName>
    <definedName name="OSRRefT22_22x_0" localSheetId="48">'300'!$T$248</definedName>
    <definedName name="OSRRefT22_22x_0" localSheetId="49">'300 &amp; 317'!$T$273</definedName>
    <definedName name="OSRRefT22_22x_0" localSheetId="50">'301'!$T$99</definedName>
    <definedName name="OSRRefT22_22x_0" localSheetId="67">'310'!$T$110</definedName>
    <definedName name="OSRRefT22_22x_0" localSheetId="75">'310 &amp; 491'!$T$126:$T$127</definedName>
    <definedName name="OSRRefT22_22x_0" localSheetId="58">'331'!$T$147</definedName>
    <definedName name="OSRRefT22_22x_0" localSheetId="76">'491'!$T$122</definedName>
    <definedName name="OSRRefT22_22x_0" localSheetId="47">'Div 3'!$T$249:$T$256</definedName>
    <definedName name="OSRRefT22_22x_0" localSheetId="74">'Div 4'!$T$123</definedName>
    <definedName name="OSRRefT22_22x_0" localSheetId="2">Summary!$T$283:$T$292</definedName>
    <definedName name="OSRRefT22_23x_0" localSheetId="48">'300'!$T$250:$T$252</definedName>
    <definedName name="OSRRefT22_23x_0" localSheetId="49">'300 &amp; 317'!$T$275:$T$277</definedName>
    <definedName name="OSRRefT22_23x_0" localSheetId="67">'310'!$T$112</definedName>
    <definedName name="OSRRefT22_23x_0" localSheetId="75">'310 &amp; 491'!$T$129</definedName>
    <definedName name="OSRRefT22_23x_0" localSheetId="47">'Div 3'!$T$258:$T$259</definedName>
    <definedName name="OSRRefT22_23x_0" localSheetId="74">'Div 4'!$T$125:$T$127</definedName>
    <definedName name="OSRRefT22_23x_0" localSheetId="2">Summary!$T$294:$T$295</definedName>
    <definedName name="OSRRefT22_24x_0" localSheetId="48">'300'!$T$254</definedName>
    <definedName name="OSRRefT22_24x_0" localSheetId="49">'300 &amp; 317'!$T$279</definedName>
    <definedName name="OSRRefT22_24x_0" localSheetId="75">'310 &amp; 491'!$T$131:$T$133</definedName>
    <definedName name="OSRRefT22_24x_0" localSheetId="47">'Div 3'!$T$261</definedName>
    <definedName name="OSRRefT22_24x_0" localSheetId="74">'Div 4'!$T$129</definedName>
    <definedName name="OSRRefT22_24x_0" localSheetId="2">Summary!$T$297</definedName>
    <definedName name="OSRRefT22_25x_0" localSheetId="75">'310 &amp; 491'!$T$135</definedName>
    <definedName name="OSRRefT22_25x_0" localSheetId="47">'Div 3'!$T$263:$T$265</definedName>
    <definedName name="OSRRefT22_25x_0" localSheetId="2">Summary!$T$299:$T$301</definedName>
    <definedName name="OSRRefT22_26x_0" localSheetId="47">'Div 3'!$T$267</definedName>
    <definedName name="OSRRefT22_26x_0" localSheetId="2">Summary!$T$303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'300'!$T$184</definedName>
    <definedName name="OSRRefT22_2x_0" localSheetId="49">'300 &amp; 317'!$T$209</definedName>
    <definedName name="OSRRefT22_2x_0" localSheetId="50">'301'!$T$41</definedName>
    <definedName name="OSRRefT22_2x_0" localSheetId="51">'306'!$T$41</definedName>
    <definedName name="OSRRefT22_2x_0" localSheetId="53">'307'!$T$93</definedName>
    <definedName name="OSRRefT22_2x_0" localSheetId="55">'308'!$T$86</definedName>
    <definedName name="OSRRefT22_2x_0" localSheetId="68">'309'!$T$47</definedName>
    <definedName name="OSRRefT22_2x_0" localSheetId="67">'310'!$T$54</definedName>
    <definedName name="OSRRefT22_2x_0" localSheetId="75">'310 &amp; 491'!$T$62</definedName>
    <definedName name="OSRRefT22_2x_0" localSheetId="56">'311'!$T$86</definedName>
    <definedName name="OSRRefT22_2x_0" localSheetId="69">'313'!$T$50</definedName>
    <definedName name="OSRRefT22_2x_0" localSheetId="54">'314'!$T$78</definedName>
    <definedName name="OSRRefT22_2x_0" localSheetId="59">'315'!$T$78</definedName>
    <definedName name="OSRRefT22_2x_0" localSheetId="62">'316'!$T$54</definedName>
    <definedName name="OSRRefT22_2x_0" localSheetId="65">'317'!$T$82</definedName>
    <definedName name="OSRRefT22_2x_0" localSheetId="63">'320'!$T$51</definedName>
    <definedName name="OSRRefT22_2x_0" localSheetId="70">'321'!$T$46</definedName>
    <definedName name="OSRRefT22_2x_0" localSheetId="71">'322'!$T$47</definedName>
    <definedName name="OSRRefT22_2x_0" localSheetId="72">'325'!$T$47</definedName>
    <definedName name="OSRRefT22_2x_0" localSheetId="60">'326'!$T$76</definedName>
    <definedName name="OSRRefT22_2x_0" localSheetId="73">'327'!$T$28</definedName>
    <definedName name="OSRRefT22_2x_0" localSheetId="52">'330'!$T$101</definedName>
    <definedName name="OSRRefT22_2x_0" localSheetId="58">'331'!$T$91</definedName>
    <definedName name="OSRRefT22_2x_0" localSheetId="61">'332'!$T$63</definedName>
    <definedName name="OSRRefT22_2x_0" localSheetId="77">'405'!$T$47</definedName>
    <definedName name="OSRRefT22_2x_0" localSheetId="78">'406'!$T$48</definedName>
    <definedName name="OSRRefT22_2x_0" localSheetId="79">'411'!$T$42</definedName>
    <definedName name="OSRRefT22_2x_0" localSheetId="80">'412'!$T$47</definedName>
    <definedName name="OSRRefT22_2x_0" localSheetId="82">'413'!$T$48</definedName>
    <definedName name="OSRRefT22_2x_0" localSheetId="83">'414'!$T$48</definedName>
    <definedName name="OSRRefT22_2x_0" localSheetId="84">'415'!$T$47</definedName>
    <definedName name="OSRRefT22_2x_0" localSheetId="85">'418'!$T$48</definedName>
    <definedName name="OSRRefT22_2x_0" localSheetId="81">'420'!$T$36</definedName>
    <definedName name="OSRRefT22_2x_0" localSheetId="86">'423'!$T$42</definedName>
    <definedName name="OSRRefT22_2x_0" localSheetId="87">'424'!$T$46</definedName>
    <definedName name="OSRRefT22_2x_0" localSheetId="88">'425'!$T$48</definedName>
    <definedName name="OSRRefT22_2x_0" localSheetId="91">'430'!$T$41</definedName>
    <definedName name="OSRRefT22_2x_0" localSheetId="92">'433'!$T$49</definedName>
    <definedName name="OSRRefT22_2x_0" localSheetId="93">'435'!$T$47</definedName>
    <definedName name="OSRRefT22_2x_0" localSheetId="94">'444'!$T$49</definedName>
    <definedName name="OSRRefT22_2x_0" localSheetId="95">'450'!$T$49</definedName>
    <definedName name="OSRRefT22_2x_0" localSheetId="76">'491'!$T$56</definedName>
    <definedName name="OSRRefT22_2x_0" localSheetId="90">'492'!$T$51</definedName>
    <definedName name="OSRRefT22_2x_0" localSheetId="97">'501'!$T$42</definedName>
    <definedName name="OSRRefT22_2x_0" localSheetId="39">'Div 2'!$T$44</definedName>
    <definedName name="OSRRefT22_2x_0" localSheetId="47">'Div 3'!$T$190</definedName>
    <definedName name="OSRRefT22_2x_0" localSheetId="74">'Div 4'!$T$57</definedName>
    <definedName name="OSRRefT22_2x_0" localSheetId="96">'Div 5'!$T$42</definedName>
    <definedName name="OSRRefT22_2x_0" localSheetId="64">'Div 6'!$T$82</definedName>
    <definedName name="OSRRefT22_2x_0" localSheetId="2">Summary!$T$222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'300'!$T$186:$T$187</definedName>
    <definedName name="OSRRefT22_3x_0" localSheetId="49">'300 &amp; 317'!$T$211:$T$212</definedName>
    <definedName name="OSRRefT22_3x_0" localSheetId="50">'301'!$T$43:$T$44</definedName>
    <definedName name="OSRRefT22_3x_0" localSheetId="51">'306'!$T$43</definedName>
    <definedName name="OSRRefT22_3x_0" localSheetId="53">'307'!$T$95</definedName>
    <definedName name="OSRRefT22_3x_0" localSheetId="55">'308'!$T$88:$T$89</definedName>
    <definedName name="OSRRefT22_3x_0" localSheetId="68">'309'!$T$49</definedName>
    <definedName name="OSRRefT22_3x_0" localSheetId="67">'310'!$T$56</definedName>
    <definedName name="OSRRefT22_3x_0" localSheetId="75">'310 &amp; 491'!$T$64</definedName>
    <definedName name="OSRRefT22_3x_0" localSheetId="56">'311'!$T$88:$T$89</definedName>
    <definedName name="OSRRefT22_3x_0" localSheetId="69">'313'!$T$52</definedName>
    <definedName name="OSRRefT22_3x_0" localSheetId="54">'314'!$T$80:$T$81</definedName>
    <definedName name="OSRRefT22_3x_0" localSheetId="59">'315'!$T$80:$T$81</definedName>
    <definedName name="OSRRefT22_3x_0" localSheetId="62">'316'!$T$56</definedName>
    <definedName name="OSRRefT22_3x_0" localSheetId="65">'317'!$T$84</definedName>
    <definedName name="OSRRefT22_3x_0" localSheetId="63">'320'!$T$53</definedName>
    <definedName name="OSRRefT22_3x_0" localSheetId="70">'321'!$T$48</definedName>
    <definedName name="OSRRefT22_3x_0" localSheetId="71">'322'!$T$49</definedName>
    <definedName name="OSRRefT22_3x_0" localSheetId="72">'325'!$T$49</definedName>
    <definedName name="OSRRefT22_3x_0" localSheetId="60">'326'!$T$78:$T$79</definedName>
    <definedName name="OSRRefT22_3x_0" localSheetId="52">'330'!$T$103</definedName>
    <definedName name="OSRRefT22_3x_0" localSheetId="58">'331'!$T$93:$T$94</definedName>
    <definedName name="OSRRefT22_3x_0" localSheetId="61">'332'!$T$65</definedName>
    <definedName name="OSRRefT22_3x_0" localSheetId="77">'405'!$T$49</definedName>
    <definedName name="OSRRefT22_3x_0" localSheetId="78">'406'!$T$50</definedName>
    <definedName name="OSRRefT22_3x_0" localSheetId="79">'411'!$T$44:$T$47</definedName>
    <definedName name="OSRRefT22_3x_0" localSheetId="80">'412'!$T$49</definedName>
    <definedName name="OSRRefT22_3x_0" localSheetId="82">'413'!$T$50</definedName>
    <definedName name="OSRRefT22_3x_0" localSheetId="83">'414'!$T$50</definedName>
    <definedName name="OSRRefT22_3x_0" localSheetId="84">'415'!$T$49</definedName>
    <definedName name="OSRRefT22_3x_0" localSheetId="85">'418'!$T$50</definedName>
    <definedName name="OSRRefT22_3x_0" localSheetId="81">'420'!$T$38</definedName>
    <definedName name="OSRRefT22_3x_0" localSheetId="86">'423'!$T$44</definedName>
    <definedName name="OSRRefT22_3x_0" localSheetId="87">'424'!$T$48</definedName>
    <definedName name="OSRRefT22_3x_0" localSheetId="88">'425'!$T$50</definedName>
    <definedName name="OSRRefT22_3x_0" localSheetId="91">'430'!$T$43</definedName>
    <definedName name="OSRRefT22_3x_0" localSheetId="92">'433'!$T$51</definedName>
    <definedName name="OSRRefT22_3x_0" localSheetId="93">'435'!$T$49</definedName>
    <definedName name="OSRRefT22_3x_0" localSheetId="94">'444'!$T$51</definedName>
    <definedName name="OSRRefT22_3x_0" localSheetId="95">'450'!$T$51:$T$52</definedName>
    <definedName name="OSRRefT22_3x_0" localSheetId="76">'491'!$T$58</definedName>
    <definedName name="OSRRefT22_3x_0" localSheetId="90">'492'!$T$53:$T$54</definedName>
    <definedName name="OSRRefT22_3x_0" localSheetId="97">'501'!$T$44</definedName>
    <definedName name="OSRRefT22_3x_0" localSheetId="39">'Div 2'!$T$46</definedName>
    <definedName name="OSRRefT22_3x_0" localSheetId="47">'Div 3'!$T$192:$T$193</definedName>
    <definedName name="OSRRefT22_3x_0" localSheetId="74">'Div 4'!$T$59:$T$60</definedName>
    <definedName name="OSRRefT22_3x_0" localSheetId="96">'Div 5'!$T$44</definedName>
    <definedName name="OSRRefT22_3x_0" localSheetId="64">'Div 6'!$T$84</definedName>
    <definedName name="OSRRefT22_3x_0" localSheetId="2">Summary!$T$224:$T$225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'300'!$T$189</definedName>
    <definedName name="OSRRefT22_4x_0" localSheetId="49">'300 &amp; 317'!$T$214</definedName>
    <definedName name="OSRRefT22_4x_0" localSheetId="50">'301'!$T$46</definedName>
    <definedName name="OSRRefT22_4x_0" localSheetId="51">'306'!$T$45</definedName>
    <definedName name="OSRRefT22_4x_0" localSheetId="53">'307'!$T$97:$T$98</definedName>
    <definedName name="OSRRefT22_4x_0" localSheetId="55">'308'!$T$91</definedName>
    <definedName name="OSRRefT22_4x_0" localSheetId="68">'309'!$T$51</definedName>
    <definedName name="OSRRefT22_4x_0" localSheetId="67">'310'!$T$58</definedName>
    <definedName name="OSRRefT22_4x_0" localSheetId="75">'310 &amp; 491'!$T$66</definedName>
    <definedName name="OSRRefT22_4x_0" localSheetId="56">'311'!$T$91</definedName>
    <definedName name="OSRRefT22_4x_0" localSheetId="69">'313'!$T$54</definedName>
    <definedName name="OSRRefT22_4x_0" localSheetId="54">'314'!$T$83</definedName>
    <definedName name="OSRRefT22_4x_0" localSheetId="59">'315'!$T$83</definedName>
    <definedName name="OSRRefT22_4x_0" localSheetId="62">'316'!$T$58</definedName>
    <definedName name="OSRRefT22_4x_0" localSheetId="65">'317'!$T$86</definedName>
    <definedName name="OSRRefT22_4x_0" localSheetId="63">'320'!$T$55:$T$56</definedName>
    <definedName name="OSRRefT22_4x_0" localSheetId="70">'321'!$T$50</definedName>
    <definedName name="OSRRefT22_4x_0" localSheetId="71">'322'!$T$51</definedName>
    <definedName name="OSRRefT22_4x_0" localSheetId="72">'325'!$T$51</definedName>
    <definedName name="OSRRefT22_4x_0" localSheetId="60">'326'!$T$81</definedName>
    <definedName name="OSRRefT22_4x_0" localSheetId="52">'330'!$T$105:$T$106</definedName>
    <definedName name="OSRRefT22_4x_0" localSheetId="58">'331'!$T$96</definedName>
    <definedName name="OSRRefT22_4x_0" localSheetId="61">'332'!$T$67</definedName>
    <definedName name="OSRRefT22_4x_0" localSheetId="77">'405'!$T$51</definedName>
    <definedName name="OSRRefT22_4x_0" localSheetId="78">'406'!$T$52</definedName>
    <definedName name="OSRRefT22_4x_0" localSheetId="79">'411'!$T$49</definedName>
    <definedName name="OSRRefT22_4x_0" localSheetId="80">'412'!$T$51</definedName>
    <definedName name="OSRRefT22_4x_0" localSheetId="82">'413'!$T$52</definedName>
    <definedName name="OSRRefT22_4x_0" localSheetId="83">'414'!$T$52</definedName>
    <definedName name="OSRRefT22_4x_0" localSheetId="84">'415'!$T$51</definedName>
    <definedName name="OSRRefT22_4x_0" localSheetId="85">'418'!$T$52</definedName>
    <definedName name="OSRRefT22_4x_0" localSheetId="81">'420'!$T$40:$T$41</definedName>
    <definedName name="OSRRefT22_4x_0" localSheetId="86">'423'!$T$46</definedName>
    <definedName name="OSRRefT22_4x_0" localSheetId="87">'424'!$T$50</definedName>
    <definedName name="OSRRefT22_4x_0" localSheetId="88">'425'!$T$52</definedName>
    <definedName name="OSRRefT22_4x_0" localSheetId="91">'430'!$T$45</definedName>
    <definedName name="OSRRefT22_4x_0" localSheetId="92">'433'!$T$53</definedName>
    <definedName name="OSRRefT22_4x_0" localSheetId="93">'435'!$T$51</definedName>
    <definedName name="OSRRefT22_4x_0" localSheetId="94">'444'!$T$53</definedName>
    <definedName name="OSRRefT22_4x_0" localSheetId="95">'450'!$T$54</definedName>
    <definedName name="OSRRefT22_4x_0" localSheetId="76">'491'!$T$60</definedName>
    <definedName name="OSRRefT22_4x_0" localSheetId="90">'492'!$T$56</definedName>
    <definedName name="OSRRefT22_4x_0" localSheetId="97">'501'!$T$46</definedName>
    <definedName name="OSRRefT22_4x_0" localSheetId="39">'Div 2'!$T$48</definedName>
    <definedName name="OSRRefT22_4x_0" localSheetId="47">'Div 3'!$T$195</definedName>
    <definedName name="OSRRefT22_4x_0" localSheetId="74">'Div 4'!$T$62</definedName>
    <definedName name="OSRRefT22_4x_0" localSheetId="96">'Div 5'!$T$46</definedName>
    <definedName name="OSRRefT22_4x_0" localSheetId="64">'Div 6'!$T$86</definedName>
    <definedName name="OSRRefT22_4x_0" localSheetId="2">Summary!$T$227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'205'!$T$47:$T$48</definedName>
    <definedName name="OSRRefT22_5x_0" localSheetId="46">'206'!$T$47</definedName>
    <definedName name="OSRRefT22_5x_0" localSheetId="48">'300'!$T$191:$T$194</definedName>
    <definedName name="OSRRefT22_5x_0" localSheetId="49">'300 &amp; 317'!$T$216:$T$219</definedName>
    <definedName name="OSRRefT22_5x_0" localSheetId="50">'301'!$T$48:$T$51</definedName>
    <definedName name="OSRRefT22_5x_0" localSheetId="51">'306'!$T$47</definedName>
    <definedName name="OSRRefT22_5x_0" localSheetId="53">'307'!$T$100</definedName>
    <definedName name="OSRRefT22_5x_0" localSheetId="55">'308'!$T$93</definedName>
    <definedName name="OSRRefT22_5x_0" localSheetId="68">'309'!$T$53:$T$54</definedName>
    <definedName name="OSRRefT22_5x_0" localSheetId="67">'310'!$T$60:$T$62</definedName>
    <definedName name="OSRRefT22_5x_0" localSheetId="75">'310 &amp; 491'!$T$68:$T$71</definedName>
    <definedName name="OSRRefT22_5x_0" localSheetId="56">'311'!$T$93</definedName>
    <definedName name="OSRRefT22_5x_0" localSheetId="69">'313'!$T$56</definedName>
    <definedName name="OSRRefT22_5x_0" localSheetId="54">'314'!$T$85</definedName>
    <definedName name="OSRRefT22_5x_0" localSheetId="59">'315'!$T$85:$T$86</definedName>
    <definedName name="OSRRefT22_5x_0" localSheetId="62">'316'!$T$60</definedName>
    <definedName name="OSRRefT22_5x_0" localSheetId="65">'317'!$T$88</definedName>
    <definedName name="OSRRefT22_5x_0" localSheetId="63">'320'!$T$58</definedName>
    <definedName name="OSRRefT22_5x_0" localSheetId="70">'321'!$T$52</definedName>
    <definedName name="OSRRefT22_5x_0" localSheetId="71">'322'!$T$53:$T$54</definedName>
    <definedName name="OSRRefT22_5x_0" localSheetId="72">'325'!$T$53:$T$55</definedName>
    <definedName name="OSRRefT22_5x_0" localSheetId="60">'326'!$T$83</definedName>
    <definedName name="OSRRefT22_5x_0" localSheetId="52">'330'!$T$108</definedName>
    <definedName name="OSRRefT22_5x_0" localSheetId="58">'331'!$T$98:$T$99</definedName>
    <definedName name="OSRRefT22_5x_0" localSheetId="61">'332'!$T$69</definedName>
    <definedName name="OSRRefT22_5x_0" localSheetId="77">'405'!$T$53:$T$55</definedName>
    <definedName name="OSRRefT22_5x_0" localSheetId="78">'406'!$T$54:$T$55</definedName>
    <definedName name="OSRRefT22_5x_0" localSheetId="79">'411'!$T$51</definedName>
    <definedName name="OSRRefT22_5x_0" localSheetId="80">'412'!$T$53:$T$55</definedName>
    <definedName name="OSRRefT22_5x_0" localSheetId="82">'413'!$T$54</definedName>
    <definedName name="OSRRefT22_5x_0" localSheetId="83">'414'!$T$54:$T$55</definedName>
    <definedName name="OSRRefT22_5x_0" localSheetId="84">'415'!$T$53:$T$55</definedName>
    <definedName name="OSRRefT22_5x_0" localSheetId="85">'418'!$T$54:$T$56</definedName>
    <definedName name="OSRRefT22_5x_0" localSheetId="81">'420'!$T$43</definedName>
    <definedName name="OSRRefT22_5x_0" localSheetId="86">'423'!$T$48</definedName>
    <definedName name="OSRRefT22_5x_0" localSheetId="87">'424'!$T$52</definedName>
    <definedName name="OSRRefT22_5x_0" localSheetId="88">'425'!$T$54:$T$55</definedName>
    <definedName name="OSRRefT22_5x_0" localSheetId="91">'430'!$T$47</definedName>
    <definedName name="OSRRefT22_5x_0" localSheetId="92">'433'!$T$55</definedName>
    <definedName name="OSRRefT22_5x_0" localSheetId="93">'435'!$T$53</definedName>
    <definedName name="OSRRefT22_5x_0" localSheetId="94">'444'!$T$55</definedName>
    <definedName name="OSRRefT22_5x_0" localSheetId="95">'450'!$T$56</definedName>
    <definedName name="OSRRefT22_5x_0" localSheetId="76">'491'!$T$62:$T$65</definedName>
    <definedName name="OSRRefT22_5x_0" localSheetId="90">'492'!$T$58:$T$59</definedName>
    <definedName name="OSRRefT22_5x_0" localSheetId="97">'501'!$T$48</definedName>
    <definedName name="OSRRefT22_5x_0" localSheetId="39">'Div 2'!$T$50:$T$51</definedName>
    <definedName name="OSRRefT22_5x_0" localSheetId="47">'Div 3'!$T$197:$T$200</definedName>
    <definedName name="OSRRefT22_5x_0" localSheetId="74">'Div 4'!$T$64:$T$67</definedName>
    <definedName name="OSRRefT22_5x_0" localSheetId="96">'Div 5'!$T$48</definedName>
    <definedName name="OSRRefT22_5x_0" localSheetId="64">'Div 6'!$T$88</definedName>
    <definedName name="OSRRefT22_5x_0" localSheetId="2">Summary!$T$229:$T$232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'205'!$T$50</definedName>
    <definedName name="OSRRefT22_6x_0" localSheetId="46">'206'!$T$49</definedName>
    <definedName name="OSRRefT22_6x_0" localSheetId="48">'300'!$T$196:$T$197</definedName>
    <definedName name="OSRRefT22_6x_0" localSheetId="49">'300 &amp; 317'!$T$221:$T$222</definedName>
    <definedName name="OSRRefT22_6x_0" localSheetId="50">'301'!$T$53:$T$54</definedName>
    <definedName name="OSRRefT22_6x_0" localSheetId="51">'306'!$T$49</definedName>
    <definedName name="OSRRefT22_6x_0" localSheetId="53">'307'!$T$102</definedName>
    <definedName name="OSRRefT22_6x_0" localSheetId="55">'308'!$T$95:$T$96</definedName>
    <definedName name="OSRRefT22_6x_0" localSheetId="68">'309'!$T$56</definedName>
    <definedName name="OSRRefT22_6x_0" localSheetId="67">'310'!$T$64</definedName>
    <definedName name="OSRRefT22_6x_0" localSheetId="75">'310 &amp; 491'!$T$73</definedName>
    <definedName name="OSRRefT22_6x_0" localSheetId="56">'311'!$T$95:$T$96</definedName>
    <definedName name="OSRRefT22_6x_0" localSheetId="69">'313'!$T$58</definedName>
    <definedName name="OSRRefT22_6x_0" localSheetId="54">'314'!$T$87</definedName>
    <definedName name="OSRRefT22_6x_0" localSheetId="59">'315'!$T$88</definedName>
    <definedName name="OSRRefT22_6x_0" localSheetId="62">'316'!$T$62</definedName>
    <definedName name="OSRRefT22_6x_0" localSheetId="65">'317'!$T$90</definedName>
    <definedName name="OSRRefT22_6x_0" localSheetId="63">'320'!$T$60</definedName>
    <definedName name="OSRRefT22_6x_0" localSheetId="70">'321'!$T$54</definedName>
    <definedName name="OSRRefT22_6x_0" localSheetId="71">'322'!$T$56</definedName>
    <definedName name="OSRRefT22_6x_0" localSheetId="72">'325'!$T$57</definedName>
    <definedName name="OSRRefT22_6x_0" localSheetId="60">'326'!$T$85</definedName>
    <definedName name="OSRRefT22_6x_0" localSheetId="52">'330'!$T$110</definedName>
    <definedName name="OSRRefT22_6x_0" localSheetId="58">'331'!$T$101</definedName>
    <definedName name="OSRRefT22_6x_0" localSheetId="61">'332'!$T$71</definedName>
    <definedName name="OSRRefT22_6x_0" localSheetId="77">'405'!$T$57</definedName>
    <definedName name="OSRRefT22_6x_0" localSheetId="78">'406'!$T$57</definedName>
    <definedName name="OSRRefT22_6x_0" localSheetId="79">'411'!$T$53</definedName>
    <definedName name="OSRRefT22_6x_0" localSheetId="80">'412'!$T$57</definedName>
    <definedName name="OSRRefT22_6x_0" localSheetId="82">'413'!$T$56</definedName>
    <definedName name="OSRRefT22_6x_0" localSheetId="83">'414'!$T$57</definedName>
    <definedName name="OSRRefT22_6x_0" localSheetId="84">'415'!$T$57</definedName>
    <definedName name="OSRRefT22_6x_0" localSheetId="85">'418'!$T$58</definedName>
    <definedName name="OSRRefT22_6x_0" localSheetId="87">'424'!$T$54</definedName>
    <definedName name="OSRRefT22_6x_0" localSheetId="88">'425'!$T$57</definedName>
    <definedName name="OSRRefT22_6x_0" localSheetId="91">'430'!$T$49</definedName>
    <definedName name="OSRRefT22_6x_0" localSheetId="92">'433'!$T$57</definedName>
    <definedName name="OSRRefT22_6x_0" localSheetId="93">'435'!$T$55:$T$57</definedName>
    <definedName name="OSRRefT22_6x_0" localSheetId="94">'444'!$T$57</definedName>
    <definedName name="OSRRefT22_6x_0" localSheetId="95">'450'!$T$58</definedName>
    <definedName name="OSRRefT22_6x_0" localSheetId="76">'491'!$T$67</definedName>
    <definedName name="OSRRefT22_6x_0" localSheetId="90">'492'!$T$61</definedName>
    <definedName name="OSRRefT22_6x_0" localSheetId="97">'501'!$T$50</definedName>
    <definedName name="OSRRefT22_6x_0" localSheetId="39">'Div 2'!$T$53:$T$54</definedName>
    <definedName name="OSRRefT22_6x_0" localSheetId="47">'Div 3'!$T$202:$T$203</definedName>
    <definedName name="OSRRefT22_6x_0" localSheetId="74">'Div 4'!$T$69:$T$70</definedName>
    <definedName name="OSRRefT22_6x_0" localSheetId="96">'Div 5'!$T$50</definedName>
    <definedName name="OSRRefT22_6x_0" localSheetId="64">'Div 6'!$T$90</definedName>
    <definedName name="OSRRefT22_6x_0" localSheetId="2">Summary!$T$234:$T$235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'205'!$T$52:$T$53</definedName>
    <definedName name="OSRRefT22_7x_0" localSheetId="46">'206'!$T$51:$T$52</definedName>
    <definedName name="OSRRefT22_7x_0" localSheetId="48">'300'!$T$199:$T$200</definedName>
    <definedName name="OSRRefT22_7x_0" localSheetId="49">'300 &amp; 317'!$T$224:$T$225</definedName>
    <definedName name="OSRRefT22_7x_0" localSheetId="50">'301'!$T$56:$T$57</definedName>
    <definedName name="OSRRefT22_7x_0" localSheetId="51">'306'!$T$51:$T$52</definedName>
    <definedName name="OSRRefT22_7x_0" localSheetId="53">'307'!$T$104</definedName>
    <definedName name="OSRRefT22_7x_0" localSheetId="55">'308'!$T$98</definedName>
    <definedName name="OSRRefT22_7x_0" localSheetId="68">'309'!$T$58</definedName>
    <definedName name="OSRRefT22_7x_0" localSheetId="67">'310'!$T$66</definedName>
    <definedName name="OSRRefT22_7x_0" localSheetId="75">'310 &amp; 491'!$T$75</definedName>
    <definedName name="OSRRefT22_7x_0" localSheetId="56">'311'!$T$98</definedName>
    <definedName name="OSRRefT22_7x_0" localSheetId="69">'313'!$T$60</definedName>
    <definedName name="OSRRefT22_7x_0" localSheetId="54">'314'!$T$89</definedName>
    <definedName name="OSRRefT22_7x_0" localSheetId="59">'315'!$T$90</definedName>
    <definedName name="OSRRefT22_7x_0" localSheetId="62">'316'!$T$64</definedName>
    <definedName name="OSRRefT22_7x_0" localSheetId="65">'317'!$T$92</definedName>
    <definedName name="OSRRefT22_7x_0" localSheetId="63">'320'!$T$62:$T$63</definedName>
    <definedName name="OSRRefT22_7x_0" localSheetId="70">'321'!$T$56</definedName>
    <definedName name="OSRRefT22_7x_0" localSheetId="71">'322'!$T$58</definedName>
    <definedName name="OSRRefT22_7x_0" localSheetId="72">'325'!$T$59</definedName>
    <definedName name="OSRRefT22_7x_0" localSheetId="60">'326'!$T$87</definedName>
    <definedName name="OSRRefT22_7x_0" localSheetId="52">'330'!$T$112</definedName>
    <definedName name="OSRRefT22_7x_0" localSheetId="58">'331'!$T$103</definedName>
    <definedName name="OSRRefT22_7x_0" localSheetId="61">'332'!$T$73:$T$74</definedName>
    <definedName name="OSRRefT22_7x_0" localSheetId="77">'405'!$T$59</definedName>
    <definedName name="OSRRefT22_7x_0" localSheetId="78">'406'!$T$59</definedName>
    <definedName name="OSRRefT22_7x_0" localSheetId="79">'411'!$T$55</definedName>
    <definedName name="OSRRefT22_7x_0" localSheetId="80">'412'!$T$59</definedName>
    <definedName name="OSRRefT22_7x_0" localSheetId="82">'413'!$T$58</definedName>
    <definedName name="OSRRefT22_7x_0" localSheetId="83">'414'!$T$59</definedName>
    <definedName name="OSRRefT22_7x_0" localSheetId="84">'415'!$T$59</definedName>
    <definedName name="OSRRefT22_7x_0" localSheetId="85">'418'!$T$60</definedName>
    <definedName name="OSRRefT22_7x_0" localSheetId="87">'424'!$T$56:$T$57</definedName>
    <definedName name="OSRRefT22_7x_0" localSheetId="88">'425'!$T$59</definedName>
    <definedName name="OSRRefT22_7x_0" localSheetId="91">'430'!$T$51:$T$53</definedName>
    <definedName name="OSRRefT22_7x_0" localSheetId="92">'433'!$T$59</definedName>
    <definedName name="OSRRefT22_7x_0" localSheetId="93">'435'!$T$59</definedName>
    <definedName name="OSRRefT22_7x_0" localSheetId="94">'444'!$T$59</definedName>
    <definedName name="OSRRefT22_7x_0" localSheetId="95">'450'!$T$60</definedName>
    <definedName name="OSRRefT22_7x_0" localSheetId="76">'491'!$T$69</definedName>
    <definedName name="OSRRefT22_7x_0" localSheetId="90">'492'!$T$63</definedName>
    <definedName name="OSRRefT22_7x_0" localSheetId="97">'501'!$T$52</definedName>
    <definedName name="OSRRefT22_7x_0" localSheetId="39">'Div 2'!$T$56</definedName>
    <definedName name="OSRRefT22_7x_0" localSheetId="47">'Div 3'!$T$205:$T$206</definedName>
    <definedName name="OSRRefT22_7x_0" localSheetId="74">'Div 4'!$T$72</definedName>
    <definedName name="OSRRefT22_7x_0" localSheetId="96">'Div 5'!$T$52</definedName>
    <definedName name="OSRRefT22_7x_0" localSheetId="64">'Div 6'!$T$92</definedName>
    <definedName name="OSRRefT22_7x_0" localSheetId="2">Summary!$T$237:$T$239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'205'!$T$55</definedName>
    <definedName name="OSRRefT22_8x_0" localSheetId="46">'206'!$T$54</definedName>
    <definedName name="OSRRefT22_8x_0" localSheetId="48">'300'!$T$202</definedName>
    <definedName name="OSRRefT22_8x_0" localSheetId="49">'300 &amp; 317'!$T$227</definedName>
    <definedName name="OSRRefT22_8x_0" localSheetId="50">'301'!$T$59</definedName>
    <definedName name="OSRRefT22_8x_0" localSheetId="51">'306'!$T$54:$T$57</definedName>
    <definedName name="OSRRefT22_8x_0" localSheetId="53">'307'!$T$106:$T$107</definedName>
    <definedName name="OSRRefT22_8x_0" localSheetId="55">'308'!$T$100</definedName>
    <definedName name="OSRRefT22_8x_0" localSheetId="68">'309'!$T$60</definedName>
    <definedName name="OSRRefT22_8x_0" localSheetId="67">'310'!$T$68</definedName>
    <definedName name="OSRRefT22_8x_0" localSheetId="75">'310 &amp; 491'!$T$77</definedName>
    <definedName name="OSRRefT22_8x_0" localSheetId="56">'311'!$T$100</definedName>
    <definedName name="OSRRefT22_8x_0" localSheetId="69">'313'!$T$62</definedName>
    <definedName name="OSRRefT22_8x_0" localSheetId="54">'314'!$T$91</definedName>
    <definedName name="OSRRefT22_8x_0" localSheetId="59">'315'!$T$92</definedName>
    <definedName name="OSRRefT22_8x_0" localSheetId="62">'316'!$T$66</definedName>
    <definedName name="OSRRefT22_8x_0" localSheetId="65">'317'!$T$94</definedName>
    <definedName name="OSRRefT22_8x_0" localSheetId="63">'320'!$T$65</definedName>
    <definedName name="OSRRefT22_8x_0" localSheetId="70">'321'!$T$58</definedName>
    <definedName name="OSRRefT22_8x_0" localSheetId="71">'322'!$T$60</definedName>
    <definedName name="OSRRefT22_8x_0" localSheetId="72">'325'!$T$61</definedName>
    <definedName name="OSRRefT22_8x_0" localSheetId="60">'326'!$T$89</definedName>
    <definedName name="OSRRefT22_8x_0" localSheetId="52">'330'!$T$114</definedName>
    <definedName name="OSRRefT22_8x_0" localSheetId="58">'331'!$T$105:$T$106</definedName>
    <definedName name="OSRRefT22_8x_0" localSheetId="61">'332'!$T$76</definedName>
    <definedName name="OSRRefT22_8x_0" localSheetId="77">'405'!$T$61</definedName>
    <definedName name="OSRRefT22_8x_0" localSheetId="78">'406'!$T$61</definedName>
    <definedName name="OSRRefT22_8x_0" localSheetId="79">'411'!$T$57</definedName>
    <definedName name="OSRRefT22_8x_0" localSheetId="80">'412'!$T$61</definedName>
    <definedName name="OSRRefT22_8x_0" localSheetId="82">'413'!$T$60:$T$62</definedName>
    <definedName name="OSRRefT22_8x_0" localSheetId="83">'414'!$T$61</definedName>
    <definedName name="OSRRefT22_8x_0" localSheetId="84">'415'!$T$61</definedName>
    <definedName name="OSRRefT22_8x_0" localSheetId="85">'418'!$T$62</definedName>
    <definedName name="OSRRefT22_8x_0" localSheetId="87">'424'!$T$59:$T$60</definedName>
    <definedName name="OSRRefT22_8x_0" localSheetId="88">'425'!$T$61</definedName>
    <definedName name="OSRRefT22_8x_0" localSheetId="91">'430'!$T$55</definedName>
    <definedName name="OSRRefT22_8x_0" localSheetId="92">'433'!$T$61</definedName>
    <definedName name="OSRRefT22_8x_0" localSheetId="94">'444'!$T$61</definedName>
    <definedName name="OSRRefT22_8x_0" localSheetId="95">'450'!$T$62</definedName>
    <definedName name="OSRRefT22_8x_0" localSheetId="76">'491'!$T$71</definedName>
    <definedName name="OSRRefT22_8x_0" localSheetId="90">'492'!$T$65</definedName>
    <definedName name="OSRRefT22_8x_0" localSheetId="97">'501'!$T$54</definedName>
    <definedName name="OSRRefT22_8x_0" localSheetId="39">'Div 2'!$T$58</definedName>
    <definedName name="OSRRefT22_8x_0" localSheetId="47">'Div 3'!$T$208</definedName>
    <definedName name="OSRRefT22_8x_0" localSheetId="74">'Div 4'!$T$74</definedName>
    <definedName name="OSRRefT22_8x_0" localSheetId="96">'Div 5'!$T$54</definedName>
    <definedName name="OSRRefT22_8x_0" localSheetId="64">'Div 6'!$T$94</definedName>
    <definedName name="OSRRefT22_8x_0" localSheetId="2">Summary!$T$241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'204'!$T$61</definedName>
    <definedName name="OSRRefT22_9x_0" localSheetId="45">'205'!$T$57</definedName>
    <definedName name="OSRRefT22_9x_0" localSheetId="46">'206'!$T$56</definedName>
    <definedName name="OSRRefT22_9x_0" localSheetId="48">'300'!$T$204</definedName>
    <definedName name="OSRRefT22_9x_0" localSheetId="49">'300 &amp; 317'!$T$229</definedName>
    <definedName name="OSRRefT22_9x_0" localSheetId="50">'301'!$T$61</definedName>
    <definedName name="OSRRefT22_9x_0" localSheetId="51">'306'!$T$59</definedName>
    <definedName name="OSRRefT22_9x_0" localSheetId="53">'307'!$T$109:$T$110</definedName>
    <definedName name="OSRRefT22_9x_0" localSheetId="55">'308'!$T$102:$T$104</definedName>
    <definedName name="OSRRefT22_9x_0" localSheetId="68">'309'!$T$62:$T$63</definedName>
    <definedName name="OSRRefT22_9x_0" localSheetId="67">'310'!$T$70</definedName>
    <definedName name="OSRRefT22_9x_0" localSheetId="75">'310 &amp; 491'!$T$79</definedName>
    <definedName name="OSRRefT22_9x_0" localSheetId="56">'311'!$T$102:$T$104</definedName>
    <definedName name="OSRRefT22_9x_0" localSheetId="69">'313'!$T$64</definedName>
    <definedName name="OSRRefT22_9x_0" localSheetId="54">'314'!$T$93</definedName>
    <definedName name="OSRRefT22_9x_0" localSheetId="59">'315'!$T$94</definedName>
    <definedName name="OSRRefT22_9x_0" localSheetId="62">'316'!$T$68:$T$69</definedName>
    <definedName name="OSRRefT22_9x_0" localSheetId="65">'317'!$T$96:$T$97</definedName>
    <definedName name="OSRRefT22_9x_0" localSheetId="70">'321'!$T$60:$T$62</definedName>
    <definedName name="OSRRefT22_9x_0" localSheetId="71">'322'!$T$62:$T$64</definedName>
    <definedName name="OSRRefT22_9x_0" localSheetId="72">'325'!$T$63</definedName>
    <definedName name="OSRRefT22_9x_0" localSheetId="60">'326'!$T$91</definedName>
    <definedName name="OSRRefT22_9x_0" localSheetId="52">'330'!$T$116:$T$117</definedName>
    <definedName name="OSRRefT22_9x_0" localSheetId="58">'331'!$T$108</definedName>
    <definedName name="OSRRefT22_9x_0" localSheetId="61">'332'!$T$78</definedName>
    <definedName name="OSRRefT22_9x_0" localSheetId="77">'405'!$T$63</definedName>
    <definedName name="OSRRefT22_9x_0" localSheetId="78">'406'!$T$63:$T$65</definedName>
    <definedName name="OSRRefT22_9x_0" localSheetId="79">'411'!$T$59</definedName>
    <definedName name="OSRRefT22_9x_0" localSheetId="80">'412'!$T$63:$T$64</definedName>
    <definedName name="OSRRefT22_9x_0" localSheetId="82">'413'!$T$64</definedName>
    <definedName name="OSRRefT22_9x_0" localSheetId="83">'414'!$T$63:$T$64</definedName>
    <definedName name="OSRRefT22_9x_0" localSheetId="84">'415'!$T$63</definedName>
    <definedName name="OSRRefT22_9x_0" localSheetId="85">'418'!$T$64:$T$65</definedName>
    <definedName name="OSRRefT22_9x_0" localSheetId="87">'424'!$T$62</definedName>
    <definedName name="OSRRefT22_9x_0" localSheetId="88">'425'!$T$63:$T$65</definedName>
    <definedName name="OSRRefT22_9x_0" localSheetId="91">'430'!$T$57</definedName>
    <definedName name="OSRRefT22_9x_0" localSheetId="92">'433'!$T$63</definedName>
    <definedName name="OSRRefT22_9x_0" localSheetId="94">'444'!$T$63</definedName>
    <definedName name="OSRRefT22_9x_0" localSheetId="95">'450'!$T$64</definedName>
    <definedName name="OSRRefT22_9x_0" localSheetId="76">'491'!$T$73:$T$74</definedName>
    <definedName name="OSRRefT22_9x_0" localSheetId="90">'492'!$T$67</definedName>
    <definedName name="OSRRefT22_9x_0" localSheetId="97">'501'!$T$56</definedName>
    <definedName name="OSRRefT22_9x_0" localSheetId="39">'Div 2'!$T$60</definedName>
    <definedName name="OSRRefT22_9x_0" localSheetId="47">'Div 3'!$T$210</definedName>
    <definedName name="OSRRefT22_9x_0" localSheetId="74">'Div 4'!$T$76</definedName>
    <definedName name="OSRRefT22_9x_0" localSheetId="96">'Div 5'!$T$56</definedName>
    <definedName name="OSRRefT22_9x_0" localSheetId="64">'Div 6'!$T$96:$T$97</definedName>
    <definedName name="OSRRefT22_9x_0" localSheetId="2">Summary!$T$243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'204'!$T$21:$T$30,'204'!$T$32:$T$41,'204'!$T$43,'204'!$T$45:$T$46,'204'!$T$48,'204'!$T$50,'204'!$T$52,'204'!$T$54:$T$57,'204'!$T$59,'204'!$T$61,'204'!$T$63:$T$64,'204'!$T$66,'204'!$T$68:$T$69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$162:$T$171,'300'!$T$173:$T$182,'300'!$T$184,'300'!$T$186:$T$187,'300'!$T$189,'300'!$T$191:$T$194,'300'!$T$196:$T$197,'300'!$T$199:$T$200,'300'!$T$202,'300'!$T$204,'300'!$T$206:$T$207,'300'!$T$209,'300'!$T$211,'300'!$T$213,'300'!$T$215,'300'!$T$217,'300'!$T$219:$T$222,'300'!$T$224:$T$227,'300'!$T$229:$T$232,'300'!$T$234:$T$235,'300'!$T$237:$T$243,'300'!$T$245:$T$246,'300'!$T$248,'300'!$T$250:$T$252,'300'!$T$254</definedName>
    <definedName name="OSRRefT22x_0" localSheetId="49">'300 &amp; 317'!$T$187:$T$196,'300 &amp; 317'!$T$198:$T$207,'300 &amp; 317'!$T$209,'300 &amp; 317'!$T$211:$T$212,'300 &amp; 317'!$T$214,'300 &amp; 317'!$T$216:$T$219,'300 &amp; 317'!$T$221:$T$222,'300 &amp; 317'!$T$224:$T$225,'300 &amp; 317'!$T$227,'300 &amp; 317'!$T$229,'300 &amp; 317'!$T$231:$T$232,'300 &amp; 317'!$T$234,'300 &amp; 317'!$T$236,'300 &amp; 317'!$T$238,'300 &amp; 317'!$T$240,'300 &amp; 317'!$T$242,'300 &amp; 317'!$T$244:$T$247,'300 &amp; 317'!$T$249:$T$252,'300 &amp; 317'!$T$254:$T$257,'300 &amp; 317'!$T$259:$T$260,'300 &amp; 317'!$T$262:$T$268,'300 &amp; 317'!$T$270:$T$271,'300 &amp; 317'!$T$273,'300 &amp; 317'!$T$275:$T$277,'300 &amp; 317'!$T$279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$75,'301'!$T$77:$T$79,'301'!$T$81:$T$82,'301'!$T$84:$T$89,'301'!$T$91,'301'!$T$93,'301'!$T$95:$T$97,'301'!$T$99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'307'!$T$72:$T$80,'307'!$T$82:$T$91,'307'!$T$93,'307'!$T$95,'307'!$T$97:$T$98,'307'!$T$100,'307'!$T$102,'307'!$T$104,'307'!$T$106:$T$107,'307'!$T$109:$T$110,'307'!$T$112:$T$113,'307'!$T$115,'307'!$T$117</definedName>
    <definedName name="OSRRefT22x_0" localSheetId="55">'308'!$T$64:$T$73,'308'!$T$75:$T$84,'308'!$T$86,'308'!$T$88:$T$89,'308'!$T$91,'308'!$T$93,'308'!$T$95:$T$96,'308'!$T$98,'308'!$T$100,'308'!$T$102:$T$104,'308'!$T$106,'308'!$T$108:$T$110,'308'!$T$112:$T$113,'308'!$T$115,'308'!$T$117:$T$118</definedName>
    <definedName name="OSRRefT22x_0" localSheetId="68">'309'!$T$26:$T$34,'309'!$T$36:$T$45,'309'!$T$47,'309'!$T$49,'309'!$T$51,'309'!$T$53:$T$54,'309'!$T$56,'309'!$T$58,'309'!$T$60,'309'!$T$62:$T$63,'309'!$T$65:$T$67,'309'!$T$69:$T$71,'309'!$T$73,'309'!$T$75</definedName>
    <definedName name="OSRRefT22x_0" localSheetId="67">'310'!$T$33:$T$41,'310'!$T$43:$T$52,'310'!$T$54,'310'!$T$56,'310'!$T$58,'310'!$T$60:$T$62,'310'!$T$64,'310'!$T$66,'310'!$T$68,'310'!$T$70,'310'!$T$72,'310'!$T$74,'310'!$T$76,'310'!$T$78,'310'!$T$80,'310'!$T$82:$T$84,'310'!$T$86:$T$87,'310'!$T$89:$T$93,'310'!$T$95,'310'!$T$97:$T$104,'310'!$T$106,'310'!$T$108,'310'!$T$110,'310'!$T$112</definedName>
    <definedName name="OSRRefT22x_0" localSheetId="75">'310 &amp; 491'!$T$40:$T$49,'310 &amp; 491'!$T$51:$T$60,'310 &amp; 491'!$T$62,'310 &amp; 491'!$T$64,'310 &amp; 491'!$T$66,'310 &amp; 491'!$T$68:$T$71,'310 &amp; 491'!$T$73,'310 &amp; 491'!$T$75,'310 &amp; 491'!$T$77,'310 &amp; 491'!$T$79,'310 &amp; 491'!$T$81,'310 &amp; 491'!$T$83:$T$84,'310 &amp; 491'!$T$86,'310 &amp; 491'!$T$88,'310 &amp; 491'!$T$90,'310 &amp; 491'!$T$92,'310 &amp; 491'!$T$94,'310 &amp; 491'!$T$96:$T$99,'310 &amp; 491'!$T$101:$T$103,'310 &amp; 491'!$T$105:$T$110,'310 &amp; 491'!$T$112:$T$113,'310 &amp; 491'!$T$115:$T$124,'310 &amp; 491'!$T$126:$T$127,'310 &amp; 491'!$T$129,'310 &amp; 491'!$T$131:$T$133,'310 &amp; 491'!$T$135</definedName>
    <definedName name="OSRRefT22x_0" localSheetId="56">'311'!$T$64:$T$73,'311'!$T$75:$T$84,'311'!$T$86,'311'!$T$88:$T$89,'311'!$T$91,'311'!$T$93,'311'!$T$95:$T$96,'311'!$T$98,'311'!$T$100,'311'!$T$102:$T$104,'311'!$T$106,'311'!$T$108:$T$110,'311'!$T$112:$T$113,'311'!$T$115,'311'!$T$117:$T$118</definedName>
    <definedName name="OSRRefT22x_0" localSheetId="69">'313'!$T$29:$T$37,'313'!$T$39:$T$48,'313'!$T$50,'313'!$T$52,'313'!$T$54,'313'!$T$56,'313'!$T$58,'313'!$T$60,'313'!$T$62,'313'!$T$64,'313'!$T$66:$T$68,'313'!$T$70,'313'!$T$72:$T$76,'313'!$T$78,'313'!$T$80</definedName>
    <definedName name="OSRRefT22x_0" localSheetId="54">'314'!$T$58:$T$65,'314'!$T$67:$T$76,'314'!$T$78,'314'!$T$80:$T$81,'314'!$T$83,'314'!$T$85,'314'!$T$87,'314'!$T$89,'314'!$T$91,'314'!$T$93</definedName>
    <definedName name="OSRRefT22x_0" localSheetId="59">'315'!$T$57:$T$65,'315'!$T$67:$T$76,'315'!$T$78,'315'!$T$80:$T$81,'315'!$T$83,'315'!$T$85:$T$86,'315'!$T$88,'315'!$T$90,'315'!$T$92,'315'!$T$94,'315'!$T$96:$T$98,'315'!$T$100:$T$101,'315'!$T$103:$T$107,'315'!$T$109,'315'!$T$111,'315'!$T$113:$T$114</definedName>
    <definedName name="OSRRefT22x_0" localSheetId="62">'316'!$T$33:$T$41,'316'!$T$43:$T$52,'316'!$T$54,'316'!$T$56,'316'!$T$58,'316'!$T$60,'316'!$T$62,'316'!$T$64,'316'!$T$66,'316'!$T$68:$T$69,'316'!$T$71:$T$72,'316'!$T$74:$T$78,'316'!$T$80:$T$81,'316'!$T$83</definedName>
    <definedName name="OSRRefT22x_0" localSheetId="65">'317'!$T$60:$T$69,'317'!$T$71:$T$80,'317'!$T$82,'317'!$T$84,'317'!$T$86,'317'!$T$88,'317'!$T$90,'317'!$T$92,'317'!$T$94,'317'!$T$96:$T$97,'317'!$T$99:$T$100,'317'!$T$102,'317'!$T$104</definedName>
    <definedName name="OSRRefT22x_0" localSheetId="63">'320'!$T$31:$T$38,'320'!$T$40:$T$49,'320'!$T$51,'320'!$T$53,'320'!$T$55:$T$56,'320'!$T$58,'320'!$T$60,'320'!$T$62:$T$63,'320'!$T$65</definedName>
    <definedName name="OSRRefT22x_0" localSheetId="70">'321'!$T$26:$T$33,'321'!$T$35:$T$44,'321'!$T$46,'321'!$T$48,'321'!$T$50,'321'!$T$52,'321'!$T$54,'321'!$T$56,'321'!$T$58,'321'!$T$60:$T$62,'321'!$T$64:$T$65,'321'!$T$67:$T$69,'321'!$T$71:$T$73,'321'!$T$75,'321'!$T$77</definedName>
    <definedName name="OSRRefT22x_0" localSheetId="71">'322'!$T$26:$T$34,'322'!$T$36:$T$45,'322'!$T$47,'322'!$T$49,'322'!$T$51,'322'!$T$53:$T$54,'322'!$T$56,'322'!$T$58,'322'!$T$60,'322'!$T$62:$T$64,'322'!$T$66:$T$68,'322'!$T$70:$T$74,'322'!$T$76,'322'!$T$78</definedName>
    <definedName name="OSRRefT22x_0" localSheetId="72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0">'326'!$T$55:$T$63,'326'!$T$65:$T$74,'326'!$T$76,'326'!$T$78:$T$79,'326'!$T$81,'326'!$T$83,'326'!$T$85,'326'!$T$87,'326'!$T$89,'326'!$T$91,'326'!$T$93,'326'!$T$95,'326'!$T$97,'326'!$T$99:$T$100,'326'!$T$102:$T$104,'326'!$T$106:$T$107,'326'!$T$109:$T$113,'326'!$T$115:$T$116,'326'!$T$118,'326'!$T$120,'326'!$T$122</definedName>
    <definedName name="OSRRefT22x_0" localSheetId="73">'327'!$T$24,'327'!$T$26,'327'!$T$28</definedName>
    <definedName name="OSRRefT22x_0" localSheetId="52">'330'!$T$80:$T$88,'330'!$T$90:$T$99,'330'!$T$101,'330'!$T$103,'330'!$T$105:$T$106,'330'!$T$108,'330'!$T$110,'330'!$T$112,'330'!$T$114,'330'!$T$116:$T$117,'330'!$T$119:$T$120,'330'!$T$122,'330'!$T$124:$T$125,'330'!$T$127,'330'!$T$129,'330'!$T$131</definedName>
    <definedName name="OSRRefT22x_0" localSheetId="58">'331'!$T$70:$T$78,'331'!$T$80:$T$89,'331'!$T$91,'331'!$T$93:$T$94,'331'!$T$96,'331'!$T$98:$T$99,'331'!$T$101,'331'!$T$103,'331'!$T$105:$T$106,'331'!$T$108,'331'!$T$110,'331'!$T$112,'331'!$T$114,'331'!$T$116,'331'!$T$118:$T$119,'331'!$T$121:$T$123,'331'!$T$125:$T$127,'331'!$T$129:$T$130,'331'!$T$132:$T$137,'331'!$T$139:$T$140,'331'!$T$142,'331'!$T$144:$T$145,'331'!$T$147</definedName>
    <definedName name="OSRRefT22x_0" localSheetId="61">'332'!$T$42:$T$50,'332'!$T$52:$T$61,'332'!$T$63,'332'!$T$65,'332'!$T$67,'332'!$T$69,'332'!$T$71,'332'!$T$73:$T$74,'332'!$T$76,'332'!$T$78,'332'!$T$80:$T$81,'332'!$T$83:$T$84,'332'!$T$86:$T$90,'332'!$T$92:$T$93,'332'!$T$95</definedName>
    <definedName name="OSRRefT22x_0" localSheetId="77">'405'!$T$26:$T$34,'405'!$T$36:$T$45,'405'!$T$47,'405'!$T$49,'405'!$T$51,'405'!$T$53:$T$55,'405'!$T$57,'405'!$T$59,'405'!$T$61,'405'!$T$63,'405'!$T$65,'405'!$T$67:$T$69,'405'!$T$71,'405'!$T$73:$T$75,'405'!$T$77:$T$78,'405'!$T$80:$T$88,'405'!$T$90,'405'!$T$92,'405'!$T$94</definedName>
    <definedName name="OSRRefT22x_0" localSheetId="78">'406'!$T$27:$T$35,'406'!$T$37:$T$46,'406'!$T$48,'406'!$T$50,'406'!$T$52,'406'!$T$54:$T$55,'406'!$T$57,'406'!$T$59,'406'!$T$61,'406'!$T$63:$T$65,'406'!$T$67:$T$69,'406'!$T$71:$T$76,'406'!$T$78:$T$79,'406'!$T$81,'406'!$T$83</definedName>
    <definedName name="OSRRefT22x_0" localSheetId="79">'411'!$T$20:$T$29,'411'!$T$31:$T$40,'411'!$T$42,'411'!$T$44:$T$47,'411'!$T$49,'411'!$T$51,'411'!$T$53,'411'!$T$55,'411'!$T$57,'411'!$T$59,'411'!$T$61:$T$63,'411'!$T$65:$T$69,'411'!$T$71,'411'!$T$73:$T$79,'411'!$T$81,'411'!$T$83,'411'!$T$85:$T$87,'411'!$T$89</definedName>
    <definedName name="OSRRefT22x_0" localSheetId="80">'412'!$T$26:$T$34,'412'!$T$36:$T$45,'412'!$T$47,'412'!$T$49,'412'!$T$51,'412'!$T$53:$T$55,'412'!$T$57,'412'!$T$59,'412'!$T$61,'412'!$T$63:$T$64,'412'!$T$66,'412'!$T$68:$T$70,'412'!$T$72:$T$77,'412'!$T$79,'412'!$T$81</definedName>
    <definedName name="OSRRefT22x_0" localSheetId="82">'413'!$T$27:$T$35,'413'!$T$37:$T$46,'413'!$T$48,'413'!$T$50,'413'!$T$52,'413'!$T$54,'413'!$T$56,'413'!$T$58,'413'!$T$60:$T$62,'413'!$T$64,'413'!$T$66:$T$71,'413'!$T$73:$T$74,'413'!$T$76</definedName>
    <definedName name="OSRRefT22x_0" localSheetId="83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4">'415'!$T$26:$T$34,'415'!$T$36:$T$45,'415'!$T$47,'415'!$T$49,'415'!$T$51,'415'!$T$53:$T$55,'415'!$T$57,'415'!$T$59,'415'!$T$61,'415'!$T$63,'415'!$T$65,'415'!$T$67:$T$69,'415'!$T$71:$T$75,'415'!$T$77:$T$78,'415'!$T$80:$T$87,'415'!$T$89,'415'!$T$91,'415'!$T$93:$T$94,'415'!$T$96</definedName>
    <definedName name="OSRRefT22x_0" localSheetId="85">'418'!$T$27:$T$35,'418'!$T$37:$T$46,'418'!$T$48,'418'!$T$50,'418'!$T$52,'418'!$T$54:$T$56,'418'!$T$58,'418'!$T$60,'418'!$T$62,'418'!$T$64:$T$65,'418'!$T$67:$T$69,'418'!$T$71:$T$73,'418'!$T$75:$T$76,'418'!$T$78:$T$84,'418'!$T$86,'418'!$T$88,'418'!$T$90</definedName>
    <definedName name="OSRRefT22x_0" localSheetId="81">'420'!$T$23:$T$29,'420'!$T$31:$T$34,'420'!$T$36,'420'!$T$38,'420'!$T$40:$T$41,'420'!$T$43</definedName>
    <definedName name="OSRRefT22x_0" localSheetId="86">'423'!$T$21:$T$29,'423'!$T$31:$T$40,'423'!$T$42,'423'!$T$44,'423'!$T$46,'423'!$T$48</definedName>
    <definedName name="OSRRefT22x_0" localSheetId="87">'424'!$T$26:$T$33,'424'!$T$35:$T$44,'424'!$T$46,'424'!$T$48,'424'!$T$50,'424'!$T$52,'424'!$T$54,'424'!$T$56:$T$57,'424'!$T$59:$T$60,'424'!$T$62,'424'!$T$64:$T$67,'424'!$T$69:$T$70</definedName>
    <definedName name="OSRRefT22x_0" localSheetId="88">'425'!$T$27:$T$35,'425'!$T$37:$T$46,'425'!$T$48,'425'!$T$50,'425'!$T$52,'425'!$T$54:$T$55,'425'!$T$57,'425'!$T$59,'425'!$T$61,'425'!$T$63:$T$65,'425'!$T$67:$T$68,'425'!$T$70:$T$71,'425'!$T$73:$T$79,'425'!$T$81:$T$82,'425'!$T$84,'425'!$T$86</definedName>
    <definedName name="OSRRefT22x_0" localSheetId="91">'430'!$T$20:$T$28,'430'!$T$30:$T$39,'430'!$T$41,'430'!$T$43,'430'!$T$45,'430'!$T$47,'430'!$T$49,'430'!$T$51:$T$53,'430'!$T$55,'430'!$T$57,'430'!$T$59</definedName>
    <definedName name="OSRRefT22x_0" localSheetId="92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3">'435'!$T$27:$T$34,'435'!$T$36:$T$45,'435'!$T$47,'435'!$T$49,'435'!$T$51,'435'!$T$53,'435'!$T$55:$T$57,'435'!$T$59</definedName>
    <definedName name="OSRRefT22x_0" localSheetId="94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5">'450'!$T$27:$T$36,'450'!$T$38:$T$47,'450'!$T$49,'450'!$T$51:$T$52,'450'!$T$54,'450'!$T$56,'450'!$T$58,'450'!$T$60,'450'!$T$62,'450'!$T$64,'450'!$T$66,'450'!$T$68:$T$70,'450'!$T$72:$T$74,'450'!$T$76:$T$81,'450'!$T$83,'450'!$T$85,'450'!$T$87:$T$88</definedName>
    <definedName name="OSRRefT22x_0" localSheetId="89">'455'!$T$20:$T$27,'455'!$T$29:$T$38</definedName>
    <definedName name="OSRRefT22x_0" localSheetId="76">'491'!$T$34:$T$43,'491'!$T$45:$T$54,'491'!$T$56,'491'!$T$58,'491'!$T$60,'491'!$T$62:$T$65,'491'!$T$67,'491'!$T$69,'491'!$T$71,'491'!$T$73:$T$74,'491'!$T$76,'491'!$T$78,'491'!$T$80,'491'!$T$82,'491'!$T$84:$T$87,'491'!$T$89:$T$91,'491'!$T$93:$T$97,'491'!$T$99:$T$100,'491'!$T$102:$T$111,'491'!$T$113:$T$114,'491'!$T$116,'491'!$T$118:$T$120,'491'!$T$122</definedName>
    <definedName name="OSRRefT22x_0" localSheetId="90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7">'501'!$T$21:$T$29,'501'!$T$31:$T$40,'501'!$T$42,'501'!$T$44,'501'!$T$46,'501'!$T$48,'501'!$T$50,'501'!$T$52,'501'!$T$54,'501'!$T$56,'501'!$T$58:$T$60,'501'!$T$62:$T$64,'501'!$T$66,'501'!$T$68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2'!$T$86:$T$89,'Div 2'!$T$91:$T$92,'Div 2'!$T$94,'Div 2'!$T$96:$T$97</definedName>
    <definedName name="OSRRefT22x_0" localSheetId="47">'Div 3'!$T$168:$T$177,'Div 3'!$T$179:$T$188,'Div 3'!$T$190,'Div 3'!$T$192:$T$193,'Div 3'!$T$195,'Div 3'!$T$197:$T$200,'Div 3'!$T$202:$T$203,'Div 3'!$T$205:$T$206,'Div 3'!$T$208,'Div 3'!$T$210,'Div 3'!$T$212:$T$213,'Div 3'!$T$215,'Div 3'!$T$217,'Div 3'!$T$219,'Div 3'!$T$221,'Div 3'!$T$223,'Div 3'!$T$225,'Div 3'!$T$227,'Div 3'!$T$229:$T$232,'Div 3'!$T$234:$T$237,'Div 3'!$T$239:$T$244,'Div 3'!$T$246:$T$247,'Div 3'!$T$249:$T$256,'Div 3'!$T$258:$T$259,'Div 3'!$T$261,'Div 3'!$T$263:$T$265,'Div 3'!$T$267</definedName>
    <definedName name="OSRRefT22x_0" localSheetId="74">'Div 4'!$T$35:$T$44,'Div 4'!$T$46:$T$55,'Div 4'!$T$57,'Div 4'!$T$59:$T$60,'Div 4'!$T$62,'Div 4'!$T$64:$T$67,'Div 4'!$T$69:$T$70,'Div 4'!$T$72,'Div 4'!$T$74,'Div 4'!$T$76,'Div 4'!$T$78:$T$79,'Div 4'!$T$81,'Div 4'!$T$83,'Div 4'!$T$85,'Div 4'!$T$87,'Div 4'!$T$89,'Div 4'!$T$91:$T$94,'Div 4'!$T$96:$T$98,'Div 4'!$T$100:$T$104,'Div 4'!$T$106:$T$107,'Div 4'!$T$109:$T$118,'Div 4'!$T$120:$T$121,'Div 4'!$T$123,'Div 4'!$T$125:$T$127,'Div 4'!$T$129</definedName>
    <definedName name="OSRRefT22x_0" localSheetId="96">'Div 5'!$T$21:$T$29,'Div 5'!$T$31:$T$40,'Div 5'!$T$42,'Div 5'!$T$44,'Div 5'!$T$46,'Div 5'!$T$48,'Div 5'!$T$50,'Div 5'!$T$52,'Div 5'!$T$54,'Div 5'!$T$56,'Div 5'!$T$58:$T$60,'Div 5'!$T$62:$T$64,'Div 5'!$T$66,'Div 5'!$T$68</definedName>
    <definedName name="OSRRefT22x_0" localSheetId="64">'Div 6'!$T$60:$T$69,'Div 6'!$T$71:$T$80,'Div 6'!$T$82,'Div 6'!$T$84,'Div 6'!$T$86,'Div 6'!$T$88,'Div 6'!$T$90,'Div 6'!$T$92,'Div 6'!$T$94,'Div 6'!$T$96:$T$97,'Div 6'!$T$99:$T$100,'Div 6'!$T$102,'Div 6'!$T$104</definedName>
    <definedName name="OSRRefT22x_0" localSheetId="2">Summary!$T$200:$T$209,Summary!$T$211:$T$220,Summary!$T$222,Summary!$T$224:$T$225,Summary!$T$227,Summary!$T$229:$T$232,Summary!$T$234:$T$235,Summary!$T$237:$T$239,Summary!$T$241,Summary!$T$243,Summary!$T$245:$T$246,Summary!$T$248:$T$249,Summary!$T$251,Summary!$T$253,Summary!$T$255,Summary!$T$257,Summary!$T$259,Summary!$T$261,Summary!$T$263:$T$266,Summary!$T$268:$T$271,Summary!$T$273:$T$278,Summary!$T$280:$T$281,Summary!$T$283:$T$292,Summary!$T$294:$T$295,Summary!$T$297,Summary!$T$299:$T$301,Summary!$T$303</definedName>
    <definedName name="OSRRefT25x_0" localSheetId="48">'300'!$T$257:$T$265</definedName>
    <definedName name="OSRRefT25x_0" localSheetId="49">'300 &amp; 317'!$T$282:$T$293</definedName>
    <definedName name="OSRRefT25x_0" localSheetId="50">'301'!$T$102:$T$105</definedName>
    <definedName name="OSRRefT25x_0" localSheetId="53">'307'!$T$120</definedName>
    <definedName name="OSRRefT25x_0" localSheetId="55">'308'!$T$121:$T$124</definedName>
    <definedName name="OSRRefT25x_0" localSheetId="75">'310 &amp; 491'!$T$138:$T$141</definedName>
    <definedName name="OSRRefT25x_0" localSheetId="56">'311'!$T$121:$T$124</definedName>
    <definedName name="OSRRefT25x_0" localSheetId="59">'315'!$T$117:$T$119</definedName>
    <definedName name="OSRRefT25x_0" localSheetId="62">'316'!$T$86:$T$87</definedName>
    <definedName name="OSRRefT25x_0" localSheetId="65">'317'!$T$107:$T$110</definedName>
    <definedName name="OSRRefT25x_0" localSheetId="63">'320'!$T$68:$T$72</definedName>
    <definedName name="OSRRefT25x_0" localSheetId="52">'330'!$T$134</definedName>
    <definedName name="OSRRefT25x_0" localSheetId="58">'331'!$T$150:$T$152</definedName>
    <definedName name="OSRRefT25x_0" localSheetId="61">'332'!$T$98:$T$104</definedName>
    <definedName name="OSRRefT25x_0" localSheetId="79">'411'!$T$92:$T$93</definedName>
    <definedName name="OSRRefT25x_0" localSheetId="82">'413'!$T$79</definedName>
    <definedName name="OSRRefT25x_0" localSheetId="84">'415'!$T$99</definedName>
    <definedName name="OSRRefT25x_0" localSheetId="86">'423'!$T$51</definedName>
    <definedName name="OSRRefT25x_0" localSheetId="87">'424'!$T$73</definedName>
    <definedName name="OSRRefT25x_0" localSheetId="88">'425'!$T$89</definedName>
    <definedName name="OSRRefT25x_0" localSheetId="89">'455'!$T$41:$T$44</definedName>
    <definedName name="OSRRefT25x_0" localSheetId="76">'491'!$T$125:$T$128</definedName>
    <definedName name="OSRRefT25x_0" localSheetId="97">'501'!$T$71</definedName>
    <definedName name="OSRRefT25x_0" localSheetId="47">'Div 3'!$T$270:$T$278</definedName>
    <definedName name="OSRRefT25x_0" localSheetId="74">'Div 4'!$T$132:$T$135</definedName>
    <definedName name="OSRRefT25x_0" localSheetId="96">'Div 5'!$T$71</definedName>
    <definedName name="OSRRefT25x_0" localSheetId="64">'Div 6'!$T$107:$T$110</definedName>
    <definedName name="OSRRefT25x_0" localSheetId="2">Summary!$T$306:$T$318</definedName>
    <definedName name="_xlnm.Print_Area" localSheetId="38">'100'!$A$1:$Z$34</definedName>
    <definedName name="_xlnm.Print_Area" localSheetId="40">'200'!$A$1:$Z$43</definedName>
    <definedName name="_xlnm.Print_Area" localSheetId="41">'201'!$A$1:$Z$91</definedName>
    <definedName name="_xlnm.Print_Area" localSheetId="42">'202'!$A$1:$Z$88</definedName>
    <definedName name="_xlnm.Print_Area" localSheetId="43">'203'!$A$1:$Z$86</definedName>
    <definedName name="_xlnm.Print_Area" localSheetId="44">'204'!$A$1:$Z$83</definedName>
    <definedName name="_xlnm.Print_Area" localSheetId="45">'205'!$A$1:$Z$71</definedName>
    <definedName name="_xlnm.Print_Area" localSheetId="46">'206'!$A$1:$Z$72</definedName>
    <definedName name="_xlnm.Print_Area" localSheetId="48">'300'!$A$1:$Z$277</definedName>
    <definedName name="_xlnm.Print_Area" localSheetId="49">'300 &amp; 317'!$A$1:$Z$305</definedName>
    <definedName name="_xlnm.Print_Area" localSheetId="50">'301'!$A$1:$Z$117</definedName>
    <definedName name="_xlnm.Print_Area" localSheetId="51">'306'!$A$1:$Z$75</definedName>
    <definedName name="_xlnm.Print_Area" localSheetId="53">'307'!$A$1:$Z$132</definedName>
    <definedName name="_xlnm.Print_Area" localSheetId="55">'308'!$A$1:$Z$136</definedName>
    <definedName name="_xlnm.Print_Area" localSheetId="68">'309'!$A$1:$Z$89</definedName>
    <definedName name="_xlnm.Print_Area" localSheetId="67">'310'!$A$1:$Z$126</definedName>
    <definedName name="_xlnm.Print_Area" localSheetId="75">'310 &amp; 491'!$A$1:$Z$153</definedName>
    <definedName name="_xlnm.Print_Area" localSheetId="56">'311'!$A$1:$Z$136</definedName>
    <definedName name="_xlnm.Print_Area" localSheetId="69">'313'!$A$1:$Z$94</definedName>
    <definedName name="_xlnm.Print_Area" localSheetId="54">'314'!$A$1:$Z$107</definedName>
    <definedName name="_xlnm.Print_Area" localSheetId="59">'315'!$A$1:$Z$131</definedName>
    <definedName name="_xlnm.Print_Area" localSheetId="62">'316'!$A$1:$Z$99</definedName>
    <definedName name="_xlnm.Print_Area" localSheetId="65">'317'!$A$1:$Z$122</definedName>
    <definedName name="_xlnm.Print_Area" localSheetId="66">'318'!$A$1:$Z$32</definedName>
    <definedName name="_xlnm.Print_Area" localSheetId="63">'320'!$A$1:$Z$84</definedName>
    <definedName name="_xlnm.Print_Area" localSheetId="70">'321'!$A$1:$Z$91</definedName>
    <definedName name="_xlnm.Print_Area" localSheetId="71">'322'!$A$1:$Z$92</definedName>
    <definedName name="_xlnm.Print_Area" localSheetId="57">'324'!$A$1:$Z$38</definedName>
    <definedName name="_xlnm.Print_Area" localSheetId="72">'325'!$A$1:$Z$106</definedName>
    <definedName name="_xlnm.Print_Area" localSheetId="60">'326'!$A$1:$Z$136</definedName>
    <definedName name="_xlnm.Print_Area" localSheetId="73">'327'!$A$1:$Z$42</definedName>
    <definedName name="_xlnm.Print_Area" localSheetId="52">'330'!$A$1:$Z$146</definedName>
    <definedName name="_xlnm.Print_Area" localSheetId="58">'331'!$A$1:$Z$164</definedName>
    <definedName name="_xlnm.Print_Area" localSheetId="61">'332'!$A$1:$Z$116</definedName>
    <definedName name="_xlnm.Print_Area" localSheetId="77">'405'!$A$1:$Z$108</definedName>
    <definedName name="_xlnm.Print_Area" localSheetId="78">'406'!$A$1:$Z$97</definedName>
    <definedName name="_xlnm.Print_Area" localSheetId="79">'411'!$A$1:$Z$105</definedName>
    <definedName name="_xlnm.Print_Area" localSheetId="80">'412'!$A$1:$Z$95</definedName>
    <definedName name="_xlnm.Print_Area" localSheetId="82">'413'!$A$1:$Z$91</definedName>
    <definedName name="_xlnm.Print_Area" localSheetId="83">'414'!$A$1:$Z$96</definedName>
    <definedName name="_xlnm.Print_Area" localSheetId="84">'415'!$A$1:$Z$111</definedName>
    <definedName name="_xlnm.Print_Area" localSheetId="85">'418'!$A$1:$Z$104</definedName>
    <definedName name="_xlnm.Print_Area" localSheetId="81">'420'!$A$1:$Z$57</definedName>
    <definedName name="_xlnm.Print_Area" localSheetId="86">'423'!$A$1:$Z$63</definedName>
    <definedName name="_xlnm.Print_Area" localSheetId="87">'424'!$A$1:$Z$85</definedName>
    <definedName name="_xlnm.Print_Area" localSheetId="88">'425'!$A$1:$Z$101</definedName>
    <definedName name="_xlnm.Print_Area" localSheetId="91">'430'!$A$1:$Z$73</definedName>
    <definedName name="_xlnm.Print_Area" localSheetId="92">'433'!$A$1:$Z$102</definedName>
    <definedName name="_xlnm.Print_Area" localSheetId="93">'435'!$A$1:$Z$73</definedName>
    <definedName name="_xlnm.Print_Area" localSheetId="94">'444'!$A$1:$Z$103</definedName>
    <definedName name="_xlnm.Print_Area" localSheetId="95">'450'!$A$1:$Z$102</definedName>
    <definedName name="_xlnm.Print_Area" localSheetId="89">'455'!$A$1:$Z$56</definedName>
    <definedName name="_xlnm.Print_Area" localSheetId="76">'491'!$A$1:$Z$140</definedName>
    <definedName name="_xlnm.Print_Area" localSheetId="90">'492'!$A$1:$Z$112</definedName>
    <definedName name="_xlnm.Print_Area" localSheetId="97">'501'!$A$1:$Z$83</definedName>
    <definedName name="_xlnm.Print_Area" localSheetId="98">Dept!$A$1:$Z$39</definedName>
    <definedName name="_xlnm.Print_Area" localSheetId="37">'Div 1'!$A$1:$Z$34</definedName>
    <definedName name="_xlnm.Print_Area" localSheetId="39">'Div 2'!$A$1:$Z$111</definedName>
    <definedName name="_xlnm.Print_Area" localSheetId="47">'Div 3'!$A$1:$Z$290</definedName>
    <definedName name="_xlnm.Print_Area" localSheetId="74">'Div 4'!$A$1:$Z$147</definedName>
    <definedName name="_xlnm.Print_Area" localSheetId="96">'Div 5'!$A$1:$Z$83</definedName>
    <definedName name="_xlnm.Print_Area" localSheetId="64">'Div 6'!$A$1:$Z$122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Summary!$A$1:$Z$332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69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6">'318'!$A:$C,'318'!$1:$10</definedName>
    <definedName name="_xlnm.Print_Titles" localSheetId="63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0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5" i="110" l="1"/>
  <c r="Z75" i="110" s="1"/>
  <c r="L75" i="110"/>
  <c r="N75" i="110" s="1"/>
  <c r="F75" i="110"/>
  <c r="P71" i="110"/>
  <c r="X71" i="110" s="1"/>
  <c r="Z71" i="110" s="1"/>
  <c r="D71" i="110"/>
  <c r="D70" i="110" s="1"/>
  <c r="L70" i="110" s="1"/>
  <c r="B71" i="110"/>
  <c r="T70" i="110"/>
  <c r="P70" i="110"/>
  <c r="X70" i="110" s="1"/>
  <c r="Z70" i="110" s="1"/>
  <c r="H70" i="110"/>
  <c r="Z68" i="110"/>
  <c r="X68" i="110"/>
  <c r="L68" i="110"/>
  <c r="N68" i="110" s="1"/>
  <c r="B68" i="110"/>
  <c r="T67" i="110"/>
  <c r="P67" i="110"/>
  <c r="H67" i="110"/>
  <c r="N67" i="110" s="1"/>
  <c r="D67" i="110"/>
  <c r="L67" i="110" s="1"/>
  <c r="B67" i="110"/>
  <c r="Z66" i="110"/>
  <c r="X66" i="110"/>
  <c r="L66" i="110"/>
  <c r="N66" i="110" s="1"/>
  <c r="B66" i="110"/>
  <c r="T65" i="110"/>
  <c r="P65" i="110"/>
  <c r="H65" i="110"/>
  <c r="N65" i="110" s="1"/>
  <c r="D65" i="110"/>
  <c r="L65" i="110" s="1"/>
  <c r="B65" i="110"/>
  <c r="Z64" i="110"/>
  <c r="X64" i="110"/>
  <c r="N64" i="110"/>
  <c r="L64" i="110"/>
  <c r="B64" i="110"/>
  <c r="Z63" i="110"/>
  <c r="X63" i="110"/>
  <c r="N63" i="110"/>
  <c r="L63" i="110"/>
  <c r="B63" i="110"/>
  <c r="X62" i="110"/>
  <c r="Z62" i="110" s="1"/>
  <c r="L62" i="110"/>
  <c r="N62" i="110" s="1"/>
  <c r="B62" i="110"/>
  <c r="X61" i="110"/>
  <c r="T61" i="110"/>
  <c r="Z61" i="110" s="1"/>
  <c r="P61" i="110"/>
  <c r="J61" i="110"/>
  <c r="H61" i="110"/>
  <c r="D61" i="110"/>
  <c r="L61" i="110" s="1"/>
  <c r="B61" i="110"/>
  <c r="Z60" i="110"/>
  <c r="X60" i="110"/>
  <c r="N60" i="110"/>
  <c r="L60" i="110"/>
  <c r="B60" i="110"/>
  <c r="Z59" i="110"/>
  <c r="X59" i="110"/>
  <c r="L59" i="110"/>
  <c r="N59" i="110" s="1"/>
  <c r="B59" i="110"/>
  <c r="X58" i="110"/>
  <c r="Z58" i="110" s="1"/>
  <c r="N58" i="110"/>
  <c r="L58" i="110"/>
  <c r="J58" i="110"/>
  <c r="B58" i="110"/>
  <c r="T57" i="110"/>
  <c r="Z57" i="110" s="1"/>
  <c r="P57" i="110"/>
  <c r="X57" i="110" s="1"/>
  <c r="H57" i="110"/>
  <c r="D57" i="110"/>
  <c r="B57" i="110"/>
  <c r="X56" i="110"/>
  <c r="Z56" i="110" s="1"/>
  <c r="L56" i="110"/>
  <c r="N56" i="110" s="1"/>
  <c r="J56" i="110"/>
  <c r="B56" i="110"/>
  <c r="X55" i="110"/>
  <c r="T55" i="110"/>
  <c r="Z55" i="110" s="1"/>
  <c r="P55" i="110"/>
  <c r="J55" i="110"/>
  <c r="H55" i="110"/>
  <c r="N55" i="110" s="1"/>
  <c r="D55" i="110"/>
  <c r="L55" i="110" s="1"/>
  <c r="B55" i="110"/>
  <c r="X54" i="110"/>
  <c r="Z54" i="110" s="1"/>
  <c r="L54" i="110"/>
  <c r="N54" i="110" s="1"/>
  <c r="B54" i="110"/>
  <c r="X53" i="110"/>
  <c r="T53" i="110"/>
  <c r="P53" i="110"/>
  <c r="J53" i="110"/>
  <c r="H53" i="110"/>
  <c r="N53" i="110" s="1"/>
  <c r="D53" i="110"/>
  <c r="L53" i="110" s="1"/>
  <c r="B53" i="110"/>
  <c r="Z52" i="110"/>
  <c r="X52" i="110"/>
  <c r="L52" i="110"/>
  <c r="N52" i="110" s="1"/>
  <c r="B52" i="110"/>
  <c r="T51" i="110"/>
  <c r="P51" i="110"/>
  <c r="H51" i="110"/>
  <c r="D51" i="110"/>
  <c r="L51" i="110" s="1"/>
  <c r="N51" i="110" s="1"/>
  <c r="B51" i="110"/>
  <c r="Z50" i="110"/>
  <c r="X50" i="110"/>
  <c r="V50" i="110"/>
  <c r="L50" i="110"/>
  <c r="N50" i="110" s="1"/>
  <c r="B50" i="110"/>
  <c r="T49" i="110"/>
  <c r="P49" i="110"/>
  <c r="L49" i="110"/>
  <c r="J49" i="110"/>
  <c r="H49" i="110"/>
  <c r="N49" i="110" s="1"/>
  <c r="D49" i="110"/>
  <c r="B49" i="110"/>
  <c r="X48" i="110"/>
  <c r="Z48" i="110" s="1"/>
  <c r="V48" i="110"/>
  <c r="N48" i="110"/>
  <c r="L48" i="110"/>
  <c r="B48" i="110"/>
  <c r="T47" i="110"/>
  <c r="P47" i="110"/>
  <c r="X47" i="110" s="1"/>
  <c r="L47" i="110"/>
  <c r="H47" i="110"/>
  <c r="D47" i="110"/>
  <c r="B47" i="110"/>
  <c r="X46" i="110"/>
  <c r="Z46" i="110" s="1"/>
  <c r="N46" i="110"/>
  <c r="L46" i="110"/>
  <c r="J46" i="110"/>
  <c r="B46" i="110"/>
  <c r="T45" i="110"/>
  <c r="P45" i="110"/>
  <c r="X45" i="110" s="1"/>
  <c r="Z45" i="110" s="1"/>
  <c r="H45" i="110"/>
  <c r="D45" i="110"/>
  <c r="B45" i="110"/>
  <c r="X44" i="110"/>
  <c r="Z44" i="110" s="1"/>
  <c r="L44" i="110"/>
  <c r="N44" i="110" s="1"/>
  <c r="J44" i="110"/>
  <c r="B44" i="110"/>
  <c r="X43" i="110"/>
  <c r="T43" i="110"/>
  <c r="Z43" i="110" s="1"/>
  <c r="P43" i="110"/>
  <c r="N43" i="110"/>
  <c r="L43" i="110"/>
  <c r="J43" i="110"/>
  <c r="H43" i="110"/>
  <c r="D43" i="110"/>
  <c r="B43" i="110"/>
  <c r="X42" i="110"/>
  <c r="Z42" i="110" s="1"/>
  <c r="L42" i="110"/>
  <c r="N42" i="110" s="1"/>
  <c r="J42" i="110"/>
  <c r="B42" i="110"/>
  <c r="X41" i="110"/>
  <c r="T41" i="110"/>
  <c r="Z41" i="110" s="1"/>
  <c r="P41" i="110"/>
  <c r="H41" i="110"/>
  <c r="D41" i="110"/>
  <c r="L41" i="110" s="1"/>
  <c r="B41" i="110"/>
  <c r="Z40" i="110"/>
  <c r="X40" i="110"/>
  <c r="N40" i="110"/>
  <c r="L40" i="110"/>
  <c r="B40" i="110"/>
  <c r="Z39" i="110"/>
  <c r="X39" i="110"/>
  <c r="N39" i="110"/>
  <c r="L39" i="110"/>
  <c r="J39" i="110"/>
  <c r="B39" i="110"/>
  <c r="X38" i="110"/>
  <c r="Z38" i="110" s="1"/>
  <c r="N38" i="110"/>
  <c r="L38" i="110"/>
  <c r="J38" i="110"/>
  <c r="B38" i="110"/>
  <c r="Z37" i="110"/>
  <c r="X37" i="110"/>
  <c r="N37" i="110"/>
  <c r="L37" i="110"/>
  <c r="J37" i="110"/>
  <c r="B37" i="110"/>
  <c r="Z36" i="110"/>
  <c r="X36" i="110"/>
  <c r="N36" i="110"/>
  <c r="L36" i="110"/>
  <c r="B36" i="110"/>
  <c r="Z35" i="110"/>
  <c r="X35" i="110"/>
  <c r="N35" i="110"/>
  <c r="L35" i="110"/>
  <c r="J35" i="110"/>
  <c r="B35" i="110"/>
  <c r="X34" i="110"/>
  <c r="Z34" i="110" s="1"/>
  <c r="N34" i="110"/>
  <c r="L34" i="110"/>
  <c r="J34" i="110"/>
  <c r="B34" i="110"/>
  <c r="Z33" i="110"/>
  <c r="X33" i="110"/>
  <c r="N33" i="110"/>
  <c r="L33" i="110"/>
  <c r="J33" i="110"/>
  <c r="B33" i="110"/>
  <c r="Z32" i="110"/>
  <c r="X32" i="110"/>
  <c r="V32" i="110"/>
  <c r="L32" i="110"/>
  <c r="N32" i="110" s="1"/>
  <c r="B32" i="110"/>
  <c r="Z31" i="110"/>
  <c r="X31" i="110"/>
  <c r="N31" i="110"/>
  <c r="L31" i="110"/>
  <c r="J31" i="110"/>
  <c r="B31" i="110"/>
  <c r="X30" i="110"/>
  <c r="V30" i="110"/>
  <c r="T30" i="110"/>
  <c r="P30" i="110"/>
  <c r="H30" i="110"/>
  <c r="D30" i="110"/>
  <c r="B30" i="110"/>
  <c r="X29" i="110"/>
  <c r="Z29" i="110" s="1"/>
  <c r="V29" i="110"/>
  <c r="L29" i="110"/>
  <c r="N29" i="110" s="1"/>
  <c r="B29" i="110"/>
  <c r="X28" i="110"/>
  <c r="Z28" i="110" s="1"/>
  <c r="N28" i="110"/>
  <c r="L28" i="110"/>
  <c r="J28" i="110"/>
  <c r="B28" i="110"/>
  <c r="X27" i="110"/>
  <c r="Z27" i="110" s="1"/>
  <c r="V27" i="110"/>
  <c r="N27" i="110"/>
  <c r="L27" i="110"/>
  <c r="J27" i="110"/>
  <c r="B27" i="110"/>
  <c r="Z26" i="110"/>
  <c r="X26" i="110"/>
  <c r="N26" i="110"/>
  <c r="L26" i="110"/>
  <c r="B26" i="110"/>
  <c r="Z25" i="110"/>
  <c r="X25" i="110"/>
  <c r="L25" i="110"/>
  <c r="N25" i="110" s="1"/>
  <c r="B25" i="110"/>
  <c r="X24" i="110"/>
  <c r="Z24" i="110" s="1"/>
  <c r="L24" i="110"/>
  <c r="N24" i="110" s="1"/>
  <c r="J24" i="110"/>
  <c r="B24" i="110"/>
  <c r="X23" i="110"/>
  <c r="Z23" i="110" s="1"/>
  <c r="N23" i="110"/>
  <c r="L23" i="110"/>
  <c r="J23" i="110"/>
  <c r="B23" i="110"/>
  <c r="Z22" i="110"/>
  <c r="X22" i="110"/>
  <c r="L22" i="110"/>
  <c r="N22" i="110" s="1"/>
  <c r="B22" i="110"/>
  <c r="X21" i="110"/>
  <c r="Z21" i="110" s="1"/>
  <c r="L21" i="110"/>
  <c r="N21" i="110" s="1"/>
  <c r="B21" i="110"/>
  <c r="T20" i="110"/>
  <c r="P20" i="110"/>
  <c r="J20" i="110"/>
  <c r="H20" i="110"/>
  <c r="D20" i="110"/>
  <c r="L20" i="110" s="1"/>
  <c r="N20" i="110" s="1"/>
  <c r="B20" i="110"/>
  <c r="T19" i="110"/>
  <c r="P19" i="110"/>
  <c r="X19" i="110" s="1"/>
  <c r="H19" i="110"/>
  <c r="D19" i="110"/>
  <c r="H17" i="110"/>
  <c r="Z15" i="110"/>
  <c r="T15" i="110"/>
  <c r="P15" i="110"/>
  <c r="X15" i="110" s="1"/>
  <c r="H15" i="110"/>
  <c r="N15" i="110" s="1"/>
  <c r="D15" i="110"/>
  <c r="L15" i="110" s="1"/>
  <c r="P13" i="110"/>
  <c r="L13" i="110"/>
  <c r="N13" i="110" s="1"/>
  <c r="D13" i="110"/>
  <c r="B13" i="110"/>
  <c r="T12" i="110"/>
  <c r="V66" i="110" s="1"/>
  <c r="H12" i="110"/>
  <c r="J75" i="110" s="1"/>
  <c r="D12" i="110"/>
  <c r="D6" i="110"/>
  <c r="D4" i="110"/>
  <c r="V50" i="109"/>
  <c r="R50" i="109"/>
  <c r="Z48" i="109"/>
  <c r="X48" i="109"/>
  <c r="V48" i="109"/>
  <c r="N48" i="109"/>
  <c r="L48" i="109"/>
  <c r="J48" i="109"/>
  <c r="Z44" i="109"/>
  <c r="X44" i="109"/>
  <c r="V44" i="109"/>
  <c r="P44" i="109"/>
  <c r="N44" i="109"/>
  <c r="L44" i="109"/>
  <c r="D44" i="109"/>
  <c r="B44" i="109"/>
  <c r="Z43" i="109"/>
  <c r="X43" i="109"/>
  <c r="V43" i="109"/>
  <c r="R43" i="109"/>
  <c r="P43" i="109"/>
  <c r="N43" i="109"/>
  <c r="D43" i="109"/>
  <c r="L43" i="109" s="1"/>
  <c r="B43" i="109"/>
  <c r="V42" i="109"/>
  <c r="R42" i="109"/>
  <c r="P42" i="109"/>
  <c r="X42" i="109" s="1"/>
  <c r="Z42" i="109" s="1"/>
  <c r="N42" i="109"/>
  <c r="D42" i="109"/>
  <c r="L42" i="109" s="1"/>
  <c r="B42" i="109"/>
  <c r="V41" i="109"/>
  <c r="R41" i="109"/>
  <c r="P41" i="109"/>
  <c r="X41" i="109" s="1"/>
  <c r="Z41" i="109" s="1"/>
  <c r="N41" i="109"/>
  <c r="L41" i="109"/>
  <c r="D41" i="109"/>
  <c r="B41" i="109"/>
  <c r="T40" i="109"/>
  <c r="R40" i="109"/>
  <c r="N40" i="109"/>
  <c r="L40" i="109"/>
  <c r="H40" i="109"/>
  <c r="D40" i="109"/>
  <c r="Z38" i="109"/>
  <c r="X38" i="109"/>
  <c r="N38" i="109"/>
  <c r="L38" i="109"/>
  <c r="J38" i="109"/>
  <c r="B38" i="109"/>
  <c r="Z37" i="109"/>
  <c r="X37" i="109"/>
  <c r="N37" i="109"/>
  <c r="L37" i="109"/>
  <c r="J37" i="109"/>
  <c r="F37" i="109"/>
  <c r="B37" i="109"/>
  <c r="Z36" i="109"/>
  <c r="X36" i="109"/>
  <c r="N36" i="109"/>
  <c r="L36" i="109"/>
  <c r="B36" i="109"/>
  <c r="Z35" i="109"/>
  <c r="X35" i="109"/>
  <c r="V35" i="109"/>
  <c r="R35" i="109"/>
  <c r="N35" i="109"/>
  <c r="L35" i="109"/>
  <c r="B35" i="109"/>
  <c r="Z34" i="109"/>
  <c r="X34" i="109"/>
  <c r="N34" i="109"/>
  <c r="L34" i="109"/>
  <c r="J34" i="109"/>
  <c r="B34" i="109"/>
  <c r="Z33" i="109"/>
  <c r="X33" i="109"/>
  <c r="N33" i="109"/>
  <c r="L33" i="109"/>
  <c r="J33" i="109"/>
  <c r="F33" i="109"/>
  <c r="B33" i="109"/>
  <c r="Z32" i="109"/>
  <c r="X32" i="109"/>
  <c r="N32" i="109"/>
  <c r="L32" i="109"/>
  <c r="B32" i="109"/>
  <c r="Z31" i="109"/>
  <c r="X31" i="109"/>
  <c r="V31" i="109"/>
  <c r="R31" i="109"/>
  <c r="N31" i="109"/>
  <c r="L31" i="109"/>
  <c r="B31" i="109"/>
  <c r="Z30" i="109"/>
  <c r="X30" i="109"/>
  <c r="N30" i="109"/>
  <c r="L30" i="109"/>
  <c r="J30" i="109"/>
  <c r="B30" i="109"/>
  <c r="X29" i="109"/>
  <c r="Z29" i="109" s="1"/>
  <c r="L29" i="109"/>
  <c r="N29" i="109" s="1"/>
  <c r="J29" i="109"/>
  <c r="F29" i="109"/>
  <c r="B29" i="109"/>
  <c r="Z28" i="109"/>
  <c r="X28" i="109"/>
  <c r="T28" i="109"/>
  <c r="P28" i="109"/>
  <c r="H28" i="109"/>
  <c r="N28" i="109" s="1"/>
  <c r="F28" i="109"/>
  <c r="D28" i="109"/>
  <c r="L28" i="109" s="1"/>
  <c r="B28" i="109"/>
  <c r="Z27" i="109"/>
  <c r="X27" i="109"/>
  <c r="N27" i="109"/>
  <c r="L27" i="109"/>
  <c r="B27" i="109"/>
  <c r="X26" i="109"/>
  <c r="Z26" i="109" s="1"/>
  <c r="V26" i="109"/>
  <c r="N26" i="109"/>
  <c r="L26" i="109"/>
  <c r="B26" i="109"/>
  <c r="Z25" i="109"/>
  <c r="X25" i="109"/>
  <c r="V25" i="109"/>
  <c r="R25" i="109"/>
  <c r="N25" i="109"/>
  <c r="L25" i="109"/>
  <c r="J25" i="109"/>
  <c r="B25" i="109"/>
  <c r="X24" i="109"/>
  <c r="Z24" i="109" s="1"/>
  <c r="L24" i="109"/>
  <c r="N24" i="109" s="1"/>
  <c r="J24" i="109"/>
  <c r="F24" i="109"/>
  <c r="B24" i="109"/>
  <c r="Z23" i="109"/>
  <c r="X23" i="109"/>
  <c r="N23" i="109"/>
  <c r="L23" i="109"/>
  <c r="B23" i="109"/>
  <c r="Z22" i="109"/>
  <c r="X22" i="109"/>
  <c r="V22" i="109"/>
  <c r="N22" i="109"/>
  <c r="L22" i="109"/>
  <c r="B22" i="109"/>
  <c r="Z21" i="109"/>
  <c r="X21" i="109"/>
  <c r="V21" i="109"/>
  <c r="R21" i="109"/>
  <c r="N21" i="109"/>
  <c r="L21" i="109"/>
  <c r="J21" i="109"/>
  <c r="B21" i="109"/>
  <c r="X20" i="109"/>
  <c r="Z20" i="109" s="1"/>
  <c r="L20" i="109"/>
  <c r="N20" i="109" s="1"/>
  <c r="J20" i="109"/>
  <c r="F20" i="109"/>
  <c r="B20" i="109"/>
  <c r="Z19" i="109"/>
  <c r="X19" i="109"/>
  <c r="V19" i="109"/>
  <c r="T19" i="109"/>
  <c r="P19" i="109"/>
  <c r="J19" i="109"/>
  <c r="H19" i="109"/>
  <c r="N19" i="109" s="1"/>
  <c r="F19" i="109"/>
  <c r="D19" i="109"/>
  <c r="L19" i="109" s="1"/>
  <c r="B19" i="109"/>
  <c r="T18" i="109"/>
  <c r="P18" i="109"/>
  <c r="X18" i="109" s="1"/>
  <c r="J18" i="109"/>
  <c r="H18" i="109"/>
  <c r="F18" i="109"/>
  <c r="D18" i="109"/>
  <c r="J16" i="109"/>
  <c r="F16" i="109"/>
  <c r="T14" i="109"/>
  <c r="Z14" i="109" s="1"/>
  <c r="P14" i="109"/>
  <c r="X14" i="109" s="1"/>
  <c r="J14" i="109"/>
  <c r="H14" i="109"/>
  <c r="H16" i="109" s="1"/>
  <c r="F14" i="109"/>
  <c r="D14" i="109"/>
  <c r="Z12" i="109"/>
  <c r="T12" i="109"/>
  <c r="V53" i="109" s="1"/>
  <c r="P12" i="109"/>
  <c r="R48" i="109" s="1"/>
  <c r="H12" i="109"/>
  <c r="D12" i="109"/>
  <c r="F48" i="109" s="1"/>
  <c r="D6" i="109"/>
  <c r="D4" i="109"/>
  <c r="Z94" i="108"/>
  <c r="X94" i="108"/>
  <c r="L94" i="108"/>
  <c r="N94" i="108" s="1"/>
  <c r="T90" i="108"/>
  <c r="P90" i="108"/>
  <c r="H90" i="108"/>
  <c r="N90" i="108" s="1"/>
  <c r="D90" i="108"/>
  <c r="L90" i="108" s="1"/>
  <c r="X88" i="108"/>
  <c r="Z88" i="108" s="1"/>
  <c r="R88" i="108"/>
  <c r="N88" i="108"/>
  <c r="L88" i="108"/>
  <c r="B88" i="108"/>
  <c r="Z87" i="108"/>
  <c r="X87" i="108"/>
  <c r="N87" i="108"/>
  <c r="L87" i="108"/>
  <c r="B87" i="108"/>
  <c r="T86" i="108"/>
  <c r="P86" i="108"/>
  <c r="X86" i="108" s="1"/>
  <c r="H86" i="108"/>
  <c r="D86" i="108"/>
  <c r="B86" i="108"/>
  <c r="X85" i="108"/>
  <c r="Z85" i="108" s="1"/>
  <c r="N85" i="108"/>
  <c r="L85" i="108"/>
  <c r="B85" i="108"/>
  <c r="Z84" i="108"/>
  <c r="X84" i="108"/>
  <c r="T84" i="108"/>
  <c r="P84" i="108"/>
  <c r="H84" i="108"/>
  <c r="N84" i="108" s="1"/>
  <c r="D84" i="108"/>
  <c r="L84" i="108" s="1"/>
  <c r="B84" i="108"/>
  <c r="Z83" i="108"/>
  <c r="X83" i="108"/>
  <c r="N83" i="108"/>
  <c r="L83" i="108"/>
  <c r="B83" i="108"/>
  <c r="X82" i="108"/>
  <c r="Z82" i="108" s="1"/>
  <c r="T82" i="108"/>
  <c r="P82" i="108"/>
  <c r="H82" i="108"/>
  <c r="D82" i="108"/>
  <c r="L82" i="108" s="1"/>
  <c r="B82" i="108"/>
  <c r="Z81" i="108"/>
  <c r="X81" i="108"/>
  <c r="N81" i="108"/>
  <c r="L81" i="108"/>
  <c r="B81" i="108"/>
  <c r="Z80" i="108"/>
  <c r="X80" i="108"/>
  <c r="N80" i="108"/>
  <c r="L80" i="108"/>
  <c r="B80" i="108"/>
  <c r="Z79" i="108"/>
  <c r="X79" i="108"/>
  <c r="L79" i="108"/>
  <c r="N79" i="108" s="1"/>
  <c r="B79" i="108"/>
  <c r="X78" i="108"/>
  <c r="Z78" i="108" s="1"/>
  <c r="L78" i="108"/>
  <c r="N78" i="108" s="1"/>
  <c r="B78" i="108"/>
  <c r="Z77" i="108"/>
  <c r="X77" i="108"/>
  <c r="L77" i="108"/>
  <c r="N77" i="108" s="1"/>
  <c r="B77" i="108"/>
  <c r="X76" i="108"/>
  <c r="Z76" i="108" s="1"/>
  <c r="N76" i="108"/>
  <c r="L76" i="108"/>
  <c r="B76" i="108"/>
  <c r="T75" i="108"/>
  <c r="P75" i="108"/>
  <c r="X75" i="108" s="1"/>
  <c r="Z75" i="108" s="1"/>
  <c r="N75" i="108"/>
  <c r="L75" i="108"/>
  <c r="H75" i="108"/>
  <c r="D75" i="108"/>
  <c r="B75" i="108"/>
  <c r="X74" i="108"/>
  <c r="Z74" i="108" s="1"/>
  <c r="L74" i="108"/>
  <c r="N74" i="108" s="1"/>
  <c r="B74" i="108"/>
  <c r="X73" i="108"/>
  <c r="Z73" i="108" s="1"/>
  <c r="N73" i="108"/>
  <c r="L73" i="108"/>
  <c r="B73" i="108"/>
  <c r="Z72" i="108"/>
  <c r="X72" i="108"/>
  <c r="N72" i="108"/>
  <c r="L72" i="108"/>
  <c r="B72" i="108"/>
  <c r="X71" i="108"/>
  <c r="T71" i="108"/>
  <c r="Z71" i="108" s="1"/>
  <c r="P71" i="108"/>
  <c r="L71" i="108"/>
  <c r="H71" i="108"/>
  <c r="N71" i="108" s="1"/>
  <c r="D71" i="108"/>
  <c r="B71" i="108"/>
  <c r="Z70" i="108"/>
  <c r="X70" i="108"/>
  <c r="N70" i="108"/>
  <c r="L70" i="108"/>
  <c r="B70" i="108"/>
  <c r="Z69" i="108"/>
  <c r="X69" i="108"/>
  <c r="N69" i="108"/>
  <c r="L69" i="108"/>
  <c r="B69" i="108"/>
  <c r="Z68" i="108"/>
  <c r="X68" i="108"/>
  <c r="L68" i="108"/>
  <c r="N68" i="108" s="1"/>
  <c r="B68" i="108"/>
  <c r="T67" i="108"/>
  <c r="Z67" i="108" s="1"/>
  <c r="P67" i="108"/>
  <c r="X67" i="108" s="1"/>
  <c r="H67" i="108"/>
  <c r="D67" i="108"/>
  <c r="L67" i="108" s="1"/>
  <c r="B67" i="108"/>
  <c r="X66" i="108"/>
  <c r="Z66" i="108" s="1"/>
  <c r="L66" i="108"/>
  <c r="N66" i="108" s="1"/>
  <c r="B66" i="108"/>
  <c r="Z65" i="108"/>
  <c r="X65" i="108"/>
  <c r="T65" i="108"/>
  <c r="P65" i="108"/>
  <c r="H65" i="108"/>
  <c r="N65" i="108" s="1"/>
  <c r="D65" i="108"/>
  <c r="L65" i="108" s="1"/>
  <c r="B65" i="108"/>
  <c r="Z64" i="108"/>
  <c r="X64" i="108"/>
  <c r="N64" i="108"/>
  <c r="L64" i="108"/>
  <c r="B64" i="108"/>
  <c r="X63" i="108"/>
  <c r="T63" i="108"/>
  <c r="Z63" i="108" s="1"/>
  <c r="P63" i="108"/>
  <c r="L63" i="108"/>
  <c r="N63" i="108" s="1"/>
  <c r="H63" i="108"/>
  <c r="D63" i="108"/>
  <c r="B63" i="108"/>
  <c r="X62" i="108"/>
  <c r="Z62" i="108" s="1"/>
  <c r="L62" i="108"/>
  <c r="N62" i="108" s="1"/>
  <c r="B62" i="108"/>
  <c r="T61" i="108"/>
  <c r="P61" i="108"/>
  <c r="H61" i="108"/>
  <c r="D61" i="108"/>
  <c r="L61" i="108" s="1"/>
  <c r="B61" i="108"/>
  <c r="Z60" i="108"/>
  <c r="X60" i="108"/>
  <c r="N60" i="108"/>
  <c r="L60" i="108"/>
  <c r="B60" i="108"/>
  <c r="T59" i="108"/>
  <c r="Z59" i="108" s="1"/>
  <c r="P59" i="108"/>
  <c r="X59" i="108" s="1"/>
  <c r="N59" i="108"/>
  <c r="L59" i="108"/>
  <c r="H59" i="108"/>
  <c r="D59" i="108"/>
  <c r="B59" i="108"/>
  <c r="X58" i="108"/>
  <c r="Z58" i="108" s="1"/>
  <c r="L58" i="108"/>
  <c r="N58" i="108" s="1"/>
  <c r="B58" i="108"/>
  <c r="X57" i="108"/>
  <c r="T57" i="108"/>
  <c r="Z57" i="108" s="1"/>
  <c r="P57" i="108"/>
  <c r="L57" i="108"/>
  <c r="J57" i="108"/>
  <c r="H57" i="108"/>
  <c r="D57" i="108"/>
  <c r="B57" i="108"/>
  <c r="Z56" i="108"/>
  <c r="X56" i="108"/>
  <c r="N56" i="108"/>
  <c r="L56" i="108"/>
  <c r="B56" i="108"/>
  <c r="T55" i="108"/>
  <c r="P55" i="108"/>
  <c r="H55" i="108"/>
  <c r="N55" i="108" s="1"/>
  <c r="D55" i="108"/>
  <c r="L55" i="108" s="1"/>
  <c r="B55" i="108"/>
  <c r="Z54" i="108"/>
  <c r="X54" i="108"/>
  <c r="L54" i="108"/>
  <c r="N54" i="108" s="1"/>
  <c r="B54" i="108"/>
  <c r="Z53" i="108"/>
  <c r="X53" i="108"/>
  <c r="T53" i="108"/>
  <c r="P53" i="108"/>
  <c r="H53" i="108"/>
  <c r="D53" i="108"/>
  <c r="L53" i="108" s="1"/>
  <c r="B53" i="108"/>
  <c r="Z52" i="108"/>
  <c r="X52" i="108"/>
  <c r="N52" i="108"/>
  <c r="L52" i="108"/>
  <c r="B52" i="108"/>
  <c r="X51" i="108"/>
  <c r="Z51" i="108" s="1"/>
  <c r="L51" i="108"/>
  <c r="N51" i="108" s="1"/>
  <c r="B51" i="108"/>
  <c r="T50" i="108"/>
  <c r="P50" i="108"/>
  <c r="X50" i="108" s="1"/>
  <c r="Z50" i="108" s="1"/>
  <c r="N50" i="108"/>
  <c r="H50" i="108"/>
  <c r="D50" i="108"/>
  <c r="L50" i="108" s="1"/>
  <c r="B50" i="108"/>
  <c r="Z49" i="108"/>
  <c r="X49" i="108"/>
  <c r="R49" i="108"/>
  <c r="N49" i="108"/>
  <c r="L49" i="108"/>
  <c r="B49" i="108"/>
  <c r="T48" i="108"/>
  <c r="X48" i="108" s="1"/>
  <c r="Z48" i="108" s="1"/>
  <c r="P48" i="108"/>
  <c r="L48" i="108"/>
  <c r="N48" i="108" s="1"/>
  <c r="H48" i="108"/>
  <c r="D48" i="108"/>
  <c r="B48" i="108"/>
  <c r="Z47" i="108"/>
  <c r="X47" i="108"/>
  <c r="N47" i="108"/>
  <c r="L47" i="108"/>
  <c r="J47" i="108"/>
  <c r="B47" i="108"/>
  <c r="Z46" i="108"/>
  <c r="X46" i="108"/>
  <c r="N46" i="108"/>
  <c r="L46" i="108"/>
  <c r="B46" i="108"/>
  <c r="Z45" i="108"/>
  <c r="X45" i="108"/>
  <c r="N45" i="108"/>
  <c r="L45" i="108"/>
  <c r="B45" i="108"/>
  <c r="X44" i="108"/>
  <c r="Z44" i="108" s="1"/>
  <c r="N44" i="108"/>
  <c r="L44" i="108"/>
  <c r="B44" i="108"/>
  <c r="Z43" i="108"/>
  <c r="X43" i="108"/>
  <c r="V43" i="108"/>
  <c r="N43" i="108"/>
  <c r="L43" i="108"/>
  <c r="J43" i="108"/>
  <c r="B43" i="108"/>
  <c r="X42" i="108"/>
  <c r="Z42" i="108" s="1"/>
  <c r="L42" i="108"/>
  <c r="N42" i="108" s="1"/>
  <c r="B42" i="108"/>
  <c r="X41" i="108"/>
  <c r="Z41" i="108" s="1"/>
  <c r="L41" i="108"/>
  <c r="N41" i="108" s="1"/>
  <c r="B41" i="108"/>
  <c r="Z40" i="108"/>
  <c r="X40" i="108"/>
  <c r="N40" i="108"/>
  <c r="L40" i="108"/>
  <c r="B40" i="108"/>
  <c r="Z39" i="108"/>
  <c r="X39" i="108"/>
  <c r="V39" i="108"/>
  <c r="L39" i="108"/>
  <c r="N39" i="108" s="1"/>
  <c r="B39" i="108"/>
  <c r="Z38" i="108"/>
  <c r="X38" i="108"/>
  <c r="N38" i="108"/>
  <c r="L38" i="108"/>
  <c r="B38" i="108"/>
  <c r="X37" i="108"/>
  <c r="Z37" i="108" s="1"/>
  <c r="T37" i="108"/>
  <c r="P37" i="108"/>
  <c r="H37" i="108"/>
  <c r="D37" i="108"/>
  <c r="L37" i="108" s="1"/>
  <c r="N37" i="108" s="1"/>
  <c r="B37" i="108"/>
  <c r="Z36" i="108"/>
  <c r="X36" i="108"/>
  <c r="N36" i="108"/>
  <c r="L36" i="108"/>
  <c r="B36" i="108"/>
  <c r="X35" i="108"/>
  <c r="Z35" i="108" s="1"/>
  <c r="N35" i="108"/>
  <c r="L35" i="108"/>
  <c r="B35" i="108"/>
  <c r="X34" i="108"/>
  <c r="Z34" i="108" s="1"/>
  <c r="L34" i="108"/>
  <c r="N34" i="108" s="1"/>
  <c r="B34" i="108"/>
  <c r="Z33" i="108"/>
  <c r="X33" i="108"/>
  <c r="N33" i="108"/>
  <c r="L33" i="108"/>
  <c r="B33" i="108"/>
  <c r="Z32" i="108"/>
  <c r="X32" i="108"/>
  <c r="N32" i="108"/>
  <c r="L32" i="108"/>
  <c r="B32" i="108"/>
  <c r="X31" i="108"/>
  <c r="Z31" i="108" s="1"/>
  <c r="L31" i="108"/>
  <c r="N31" i="108" s="1"/>
  <c r="B31" i="108"/>
  <c r="X30" i="108"/>
  <c r="Z30" i="108" s="1"/>
  <c r="N30" i="108"/>
  <c r="L30" i="108"/>
  <c r="B30" i="108"/>
  <c r="X29" i="108"/>
  <c r="Z29" i="108" s="1"/>
  <c r="N29" i="108"/>
  <c r="L29" i="108"/>
  <c r="B29" i="108"/>
  <c r="X28" i="108"/>
  <c r="Z28" i="108" s="1"/>
  <c r="V28" i="108"/>
  <c r="L28" i="108"/>
  <c r="N28" i="108" s="1"/>
  <c r="B28" i="108"/>
  <c r="X27" i="108"/>
  <c r="Z27" i="108" s="1"/>
  <c r="V27" i="108"/>
  <c r="L27" i="108"/>
  <c r="N27" i="108" s="1"/>
  <c r="B27" i="108"/>
  <c r="T26" i="108"/>
  <c r="P26" i="108"/>
  <c r="X26" i="108" s="1"/>
  <c r="Z26" i="108" s="1"/>
  <c r="H26" i="108"/>
  <c r="D26" i="108"/>
  <c r="L26" i="108" s="1"/>
  <c r="N26" i="108" s="1"/>
  <c r="B26" i="108"/>
  <c r="T25" i="108"/>
  <c r="P25" i="108"/>
  <c r="X25" i="108" s="1"/>
  <c r="J25" i="108"/>
  <c r="H25" i="108"/>
  <c r="D25" i="108"/>
  <c r="L25" i="108" s="1"/>
  <c r="J23" i="108"/>
  <c r="H23" i="108"/>
  <c r="H92" i="108" s="1"/>
  <c r="Z21" i="108"/>
  <c r="X21" i="108"/>
  <c r="N21" i="108"/>
  <c r="L21" i="108"/>
  <c r="B21" i="108"/>
  <c r="Z20" i="108"/>
  <c r="X20" i="108"/>
  <c r="V20" i="108"/>
  <c r="N20" i="108"/>
  <c r="L20" i="108"/>
  <c r="B20" i="108"/>
  <c r="X19" i="108"/>
  <c r="Z19" i="108" s="1"/>
  <c r="V19" i="108"/>
  <c r="N19" i="108"/>
  <c r="L19" i="108"/>
  <c r="B19" i="108"/>
  <c r="V18" i="108"/>
  <c r="T18" i="108"/>
  <c r="P18" i="108"/>
  <c r="X18" i="108" s="1"/>
  <c r="Z18" i="108" s="1"/>
  <c r="L18" i="108"/>
  <c r="N18" i="108" s="1"/>
  <c r="J18" i="108"/>
  <c r="H18" i="108"/>
  <c r="D18" i="108"/>
  <c r="Z16" i="108"/>
  <c r="P16" i="108"/>
  <c r="X16" i="108" s="1"/>
  <c r="N16" i="108"/>
  <c r="D16" i="108"/>
  <c r="L16" i="108" s="1"/>
  <c r="B16" i="108"/>
  <c r="Z15" i="108"/>
  <c r="X15" i="108"/>
  <c r="P15" i="108"/>
  <c r="N15" i="108"/>
  <c r="L15" i="108"/>
  <c r="D15" i="108"/>
  <c r="B15" i="108"/>
  <c r="P14" i="108"/>
  <c r="X14" i="108" s="1"/>
  <c r="Z14" i="108" s="1"/>
  <c r="D14" i="108"/>
  <c r="L14" i="108" s="1"/>
  <c r="N14" i="108" s="1"/>
  <c r="B14" i="108"/>
  <c r="Z13" i="108"/>
  <c r="P13" i="108"/>
  <c r="X13" i="108" s="1"/>
  <c r="N13" i="108"/>
  <c r="D13" i="108"/>
  <c r="B13" i="108"/>
  <c r="T12" i="108"/>
  <c r="P12" i="108"/>
  <c r="R51" i="108" s="1"/>
  <c r="H12" i="108"/>
  <c r="J79" i="108" s="1"/>
  <c r="D6" i="108"/>
  <c r="D4" i="108"/>
  <c r="Z95" i="106"/>
  <c r="X95" i="106"/>
  <c r="L95" i="106"/>
  <c r="N95" i="106" s="1"/>
  <c r="T91" i="106"/>
  <c r="P91" i="106"/>
  <c r="L91" i="106"/>
  <c r="H91" i="106"/>
  <c r="N91" i="106" s="1"/>
  <c r="D91" i="106"/>
  <c r="Z89" i="106"/>
  <c r="X89" i="106"/>
  <c r="N89" i="106"/>
  <c r="L89" i="106"/>
  <c r="B89" i="106"/>
  <c r="Z88" i="106"/>
  <c r="X88" i="106"/>
  <c r="T88" i="106"/>
  <c r="P88" i="106"/>
  <c r="N88" i="106"/>
  <c r="L88" i="106"/>
  <c r="H88" i="106"/>
  <c r="D88" i="106"/>
  <c r="B88" i="106"/>
  <c r="Z87" i="106"/>
  <c r="X87" i="106"/>
  <c r="L87" i="106"/>
  <c r="N87" i="106" s="1"/>
  <c r="J87" i="106"/>
  <c r="B87" i="106"/>
  <c r="T86" i="106"/>
  <c r="P86" i="106"/>
  <c r="J86" i="106"/>
  <c r="H86" i="106"/>
  <c r="D86" i="106"/>
  <c r="B86" i="106"/>
  <c r="X85" i="106"/>
  <c r="Z85" i="106" s="1"/>
  <c r="L85" i="106"/>
  <c r="N85" i="106" s="1"/>
  <c r="B85" i="106"/>
  <c r="T84" i="106"/>
  <c r="Z84" i="106" s="1"/>
  <c r="P84" i="106"/>
  <c r="X84" i="106" s="1"/>
  <c r="H84" i="106"/>
  <c r="F84" i="106"/>
  <c r="D84" i="106"/>
  <c r="L84" i="106" s="1"/>
  <c r="B84" i="106"/>
  <c r="X83" i="106"/>
  <c r="Z83" i="106" s="1"/>
  <c r="N83" i="106"/>
  <c r="L83" i="106"/>
  <c r="B83" i="106"/>
  <c r="Z82" i="106"/>
  <c r="X82" i="106"/>
  <c r="N82" i="106"/>
  <c r="L82" i="106"/>
  <c r="B82" i="106"/>
  <c r="Z81" i="106"/>
  <c r="X81" i="106"/>
  <c r="N81" i="106"/>
  <c r="L81" i="106"/>
  <c r="B81" i="106"/>
  <c r="X80" i="106"/>
  <c r="Z80" i="106" s="1"/>
  <c r="N80" i="106"/>
  <c r="L80" i="106"/>
  <c r="J80" i="106"/>
  <c r="B80" i="106"/>
  <c r="X79" i="106"/>
  <c r="Z79" i="106" s="1"/>
  <c r="N79" i="106"/>
  <c r="L79" i="106"/>
  <c r="B79" i="106"/>
  <c r="Z78" i="106"/>
  <c r="X78" i="106"/>
  <c r="N78" i="106"/>
  <c r="L78" i="106"/>
  <c r="B78" i="106"/>
  <c r="X77" i="106"/>
  <c r="Z77" i="106" s="1"/>
  <c r="N77" i="106"/>
  <c r="L77" i="106"/>
  <c r="B77" i="106"/>
  <c r="Z76" i="106"/>
  <c r="X76" i="106"/>
  <c r="N76" i="106"/>
  <c r="L76" i="106"/>
  <c r="J76" i="106"/>
  <c r="B76" i="106"/>
  <c r="T75" i="106"/>
  <c r="Z75" i="106" s="1"/>
  <c r="P75" i="106"/>
  <c r="X75" i="106" s="1"/>
  <c r="H75" i="106"/>
  <c r="D75" i="106"/>
  <c r="L75" i="106" s="1"/>
  <c r="B75" i="106"/>
  <c r="X74" i="106"/>
  <c r="Z74" i="106" s="1"/>
  <c r="N74" i="106"/>
  <c r="L74" i="106"/>
  <c r="B74" i="106"/>
  <c r="Z73" i="106"/>
  <c r="X73" i="106"/>
  <c r="N73" i="106"/>
  <c r="L73" i="106"/>
  <c r="B73" i="106"/>
  <c r="Z72" i="106"/>
  <c r="X72" i="106"/>
  <c r="V72" i="106"/>
  <c r="N72" i="106"/>
  <c r="L72" i="106"/>
  <c r="B72" i="106"/>
  <c r="Z71" i="106"/>
  <c r="X71" i="106"/>
  <c r="L71" i="106"/>
  <c r="N71" i="106" s="1"/>
  <c r="J71" i="106"/>
  <c r="B71" i="106"/>
  <c r="T70" i="106"/>
  <c r="Z70" i="106" s="1"/>
  <c r="P70" i="106"/>
  <c r="X70" i="106" s="1"/>
  <c r="J70" i="106"/>
  <c r="H70" i="106"/>
  <c r="D70" i="106"/>
  <c r="L70" i="106" s="1"/>
  <c r="B70" i="106"/>
  <c r="Z69" i="106"/>
  <c r="X69" i="106"/>
  <c r="L69" i="106"/>
  <c r="N69" i="106" s="1"/>
  <c r="B69" i="106"/>
  <c r="X68" i="106"/>
  <c r="Z68" i="106" s="1"/>
  <c r="L68" i="106"/>
  <c r="N68" i="106" s="1"/>
  <c r="B68" i="106"/>
  <c r="X67" i="106"/>
  <c r="Z67" i="106" s="1"/>
  <c r="V67" i="106"/>
  <c r="N67" i="106"/>
  <c r="L67" i="106"/>
  <c r="B67" i="106"/>
  <c r="T66" i="106"/>
  <c r="P66" i="106"/>
  <c r="X66" i="106" s="1"/>
  <c r="H66" i="106"/>
  <c r="N66" i="106" s="1"/>
  <c r="D66" i="106"/>
  <c r="L66" i="106" s="1"/>
  <c r="B66" i="106"/>
  <c r="X65" i="106"/>
  <c r="Z65" i="106" s="1"/>
  <c r="N65" i="106"/>
  <c r="L65" i="106"/>
  <c r="B65" i="106"/>
  <c r="X64" i="106"/>
  <c r="T64" i="106"/>
  <c r="Z64" i="106" s="1"/>
  <c r="P64" i="106"/>
  <c r="N64" i="106"/>
  <c r="L64" i="106"/>
  <c r="H64" i="106"/>
  <c r="D64" i="106"/>
  <c r="B64" i="106"/>
  <c r="Z63" i="106"/>
  <c r="X63" i="106"/>
  <c r="L63" i="106"/>
  <c r="N63" i="106" s="1"/>
  <c r="J63" i="106"/>
  <c r="B63" i="106"/>
  <c r="T62" i="106"/>
  <c r="P62" i="106"/>
  <c r="J62" i="106"/>
  <c r="H62" i="106"/>
  <c r="D62" i="106"/>
  <c r="B62" i="106"/>
  <c r="Z61" i="106"/>
  <c r="X61" i="106"/>
  <c r="N61" i="106"/>
  <c r="L61" i="106"/>
  <c r="B61" i="106"/>
  <c r="T60" i="106"/>
  <c r="Z60" i="106" s="1"/>
  <c r="P60" i="106"/>
  <c r="X60" i="106" s="1"/>
  <c r="H60" i="106"/>
  <c r="N60" i="106" s="1"/>
  <c r="D60" i="106"/>
  <c r="L60" i="106" s="1"/>
  <c r="B60" i="106"/>
  <c r="Z59" i="106"/>
  <c r="X59" i="106"/>
  <c r="N59" i="106"/>
  <c r="L59" i="106"/>
  <c r="B59" i="106"/>
  <c r="X58" i="106"/>
  <c r="Z58" i="106" s="1"/>
  <c r="T58" i="106"/>
  <c r="P58" i="106"/>
  <c r="L58" i="106"/>
  <c r="H58" i="106"/>
  <c r="N58" i="106" s="1"/>
  <c r="D58" i="106"/>
  <c r="B58" i="106"/>
  <c r="Z57" i="106"/>
  <c r="X57" i="106"/>
  <c r="N57" i="106"/>
  <c r="L57" i="106"/>
  <c r="B57" i="106"/>
  <c r="V56" i="106"/>
  <c r="T56" i="106"/>
  <c r="P56" i="106"/>
  <c r="H56" i="106"/>
  <c r="N56" i="106" s="1"/>
  <c r="D56" i="106"/>
  <c r="L56" i="106" s="1"/>
  <c r="B56" i="106"/>
  <c r="X55" i="106"/>
  <c r="Z55" i="106" s="1"/>
  <c r="V55" i="106"/>
  <c r="N55" i="106"/>
  <c r="L55" i="106"/>
  <c r="B55" i="106"/>
  <c r="T54" i="106"/>
  <c r="Z54" i="106" s="1"/>
  <c r="P54" i="106"/>
  <c r="X54" i="106" s="1"/>
  <c r="H54" i="106"/>
  <c r="N54" i="106" s="1"/>
  <c r="D54" i="106"/>
  <c r="L54" i="106" s="1"/>
  <c r="B54" i="106"/>
  <c r="Z53" i="106"/>
  <c r="X53" i="106"/>
  <c r="N53" i="106"/>
  <c r="L53" i="106"/>
  <c r="B53" i="106"/>
  <c r="X52" i="106"/>
  <c r="T52" i="106"/>
  <c r="Z52" i="106" s="1"/>
  <c r="P52" i="106"/>
  <c r="N52" i="106"/>
  <c r="L52" i="106"/>
  <c r="H52" i="106"/>
  <c r="D52" i="106"/>
  <c r="B52" i="106"/>
  <c r="Z51" i="106"/>
  <c r="X51" i="106"/>
  <c r="L51" i="106"/>
  <c r="N51" i="106" s="1"/>
  <c r="J51" i="106"/>
  <c r="B51" i="106"/>
  <c r="T50" i="106"/>
  <c r="P50" i="106"/>
  <c r="J50" i="106"/>
  <c r="H50" i="106"/>
  <c r="D50" i="106"/>
  <c r="B50" i="106"/>
  <c r="Z49" i="106"/>
  <c r="X49" i="106"/>
  <c r="N49" i="106"/>
  <c r="L49" i="106"/>
  <c r="B49" i="106"/>
  <c r="T48" i="106"/>
  <c r="Z48" i="106" s="1"/>
  <c r="P48" i="106"/>
  <c r="X48" i="106" s="1"/>
  <c r="H48" i="106"/>
  <c r="N48" i="106" s="1"/>
  <c r="D48" i="106"/>
  <c r="L48" i="106" s="1"/>
  <c r="B48" i="106"/>
  <c r="Z47" i="106"/>
  <c r="X47" i="106"/>
  <c r="N47" i="106"/>
  <c r="L47" i="106"/>
  <c r="B47" i="106"/>
  <c r="Z46" i="106"/>
  <c r="X46" i="106"/>
  <c r="N46" i="106"/>
  <c r="L46" i="106"/>
  <c r="B46" i="106"/>
  <c r="X45" i="106"/>
  <c r="Z45" i="106" s="1"/>
  <c r="N45" i="106"/>
  <c r="L45" i="106"/>
  <c r="B45" i="106"/>
  <c r="X44" i="106"/>
  <c r="Z44" i="106" s="1"/>
  <c r="N44" i="106"/>
  <c r="L44" i="106"/>
  <c r="J44" i="106"/>
  <c r="B44" i="106"/>
  <c r="Z43" i="106"/>
  <c r="X43" i="106"/>
  <c r="N43" i="106"/>
  <c r="L43" i="106"/>
  <c r="B43" i="106"/>
  <c r="X42" i="106"/>
  <c r="Z42" i="106" s="1"/>
  <c r="L42" i="106"/>
  <c r="N42" i="106" s="1"/>
  <c r="B42" i="106"/>
  <c r="X41" i="106"/>
  <c r="Z41" i="106" s="1"/>
  <c r="N41" i="106"/>
  <c r="L41" i="106"/>
  <c r="B41" i="106"/>
  <c r="Z40" i="106"/>
  <c r="X40" i="106"/>
  <c r="N40" i="106"/>
  <c r="L40" i="106"/>
  <c r="J40" i="106"/>
  <c r="B40" i="106"/>
  <c r="Z39" i="106"/>
  <c r="X39" i="106"/>
  <c r="N39" i="106"/>
  <c r="L39" i="106"/>
  <c r="B39" i="106"/>
  <c r="Z38" i="106"/>
  <c r="X38" i="106"/>
  <c r="N38" i="106"/>
  <c r="L38" i="106"/>
  <c r="B38" i="106"/>
  <c r="T37" i="106"/>
  <c r="P37" i="106"/>
  <c r="X37" i="106" s="1"/>
  <c r="H37" i="106"/>
  <c r="D37" i="106"/>
  <c r="L37" i="106" s="1"/>
  <c r="B37" i="106"/>
  <c r="X36" i="106"/>
  <c r="Z36" i="106" s="1"/>
  <c r="V36" i="106"/>
  <c r="N36" i="106"/>
  <c r="L36" i="106"/>
  <c r="B36" i="106"/>
  <c r="Z35" i="106"/>
  <c r="X35" i="106"/>
  <c r="L35" i="106"/>
  <c r="N35" i="106" s="1"/>
  <c r="J35" i="106"/>
  <c r="B35" i="106"/>
  <c r="X34" i="106"/>
  <c r="Z34" i="106" s="1"/>
  <c r="N34" i="106"/>
  <c r="L34" i="106"/>
  <c r="B34" i="106"/>
  <c r="Z33" i="106"/>
  <c r="X33" i="106"/>
  <c r="N33" i="106"/>
  <c r="L33" i="106"/>
  <c r="B33" i="106"/>
  <c r="Z32" i="106"/>
  <c r="X32" i="106"/>
  <c r="V32" i="106"/>
  <c r="N32" i="106"/>
  <c r="L32" i="106"/>
  <c r="B32" i="106"/>
  <c r="Z31" i="106"/>
  <c r="X31" i="106"/>
  <c r="L31" i="106"/>
  <c r="N31" i="106" s="1"/>
  <c r="J31" i="106"/>
  <c r="B31" i="106"/>
  <c r="X30" i="106"/>
  <c r="Z30" i="106" s="1"/>
  <c r="N30" i="106"/>
  <c r="L30" i="106"/>
  <c r="B30" i="106"/>
  <c r="Z29" i="106"/>
  <c r="X29" i="106"/>
  <c r="N29" i="106"/>
  <c r="L29" i="106"/>
  <c r="B29" i="106"/>
  <c r="X28" i="106"/>
  <c r="Z28" i="106" s="1"/>
  <c r="V28" i="106"/>
  <c r="L28" i="106"/>
  <c r="N28" i="106" s="1"/>
  <c r="B28" i="106"/>
  <c r="Z27" i="106"/>
  <c r="X27" i="106"/>
  <c r="L27" i="106"/>
  <c r="N27" i="106" s="1"/>
  <c r="J27" i="106"/>
  <c r="B27" i="106"/>
  <c r="T26" i="106"/>
  <c r="P26" i="106"/>
  <c r="J26" i="106"/>
  <c r="H26" i="106"/>
  <c r="D26" i="106"/>
  <c r="L26" i="106" s="1"/>
  <c r="B26" i="106"/>
  <c r="T25" i="106"/>
  <c r="P25" i="106"/>
  <c r="X25" i="106" s="1"/>
  <c r="L25" i="106"/>
  <c r="J25" i="106"/>
  <c r="H25" i="106"/>
  <c r="D25" i="106"/>
  <c r="J23" i="106"/>
  <c r="H23" i="106"/>
  <c r="H93" i="106" s="1"/>
  <c r="Z21" i="106"/>
  <c r="X21" i="106"/>
  <c r="N21" i="106"/>
  <c r="L21" i="106"/>
  <c r="B21" i="106"/>
  <c r="Z20" i="106"/>
  <c r="X20" i="106"/>
  <c r="N20" i="106"/>
  <c r="L20" i="106"/>
  <c r="J20" i="106"/>
  <c r="B20" i="106"/>
  <c r="X19" i="106"/>
  <c r="Z19" i="106" s="1"/>
  <c r="V19" i="106"/>
  <c r="L19" i="106"/>
  <c r="N19" i="106" s="1"/>
  <c r="B19" i="106"/>
  <c r="V18" i="106"/>
  <c r="T18" i="106"/>
  <c r="P18" i="106"/>
  <c r="X18" i="106" s="1"/>
  <c r="Z18" i="106" s="1"/>
  <c r="J18" i="106"/>
  <c r="H18" i="106"/>
  <c r="D18" i="106"/>
  <c r="L18" i="106" s="1"/>
  <c r="N18" i="106" s="1"/>
  <c r="Z16" i="106"/>
  <c r="P16" i="106"/>
  <c r="X16" i="106" s="1"/>
  <c r="N16" i="106"/>
  <c r="L16" i="106"/>
  <c r="D16" i="106"/>
  <c r="B16" i="106"/>
  <c r="Z15" i="106"/>
  <c r="X15" i="106"/>
  <c r="P15" i="106"/>
  <c r="N15" i="106"/>
  <c r="D15" i="106"/>
  <c r="L15" i="106" s="1"/>
  <c r="B15" i="106"/>
  <c r="P14" i="106"/>
  <c r="X14" i="106" s="1"/>
  <c r="Z14" i="106" s="1"/>
  <c r="N14" i="106"/>
  <c r="L14" i="106"/>
  <c r="D14" i="106"/>
  <c r="B14" i="106"/>
  <c r="Z13" i="106"/>
  <c r="P13" i="106"/>
  <c r="N13" i="106"/>
  <c r="D13" i="106"/>
  <c r="D12" i="106" s="1"/>
  <c r="F75" i="106" s="1"/>
  <c r="B13" i="106"/>
  <c r="T12" i="106"/>
  <c r="V82" i="106" s="1"/>
  <c r="H12" i="106"/>
  <c r="J88" i="106" s="1"/>
  <c r="D6" i="106"/>
  <c r="D4" i="106"/>
  <c r="Z65" i="105"/>
  <c r="X65" i="105"/>
  <c r="N65" i="105"/>
  <c r="L65" i="105"/>
  <c r="X61" i="105"/>
  <c r="T61" i="105"/>
  <c r="Z61" i="105" s="1"/>
  <c r="P61" i="105"/>
  <c r="N61" i="105"/>
  <c r="L61" i="105"/>
  <c r="H61" i="105"/>
  <c r="D61" i="105"/>
  <c r="Z59" i="105"/>
  <c r="X59" i="105"/>
  <c r="N59" i="105"/>
  <c r="L59" i="105"/>
  <c r="B59" i="105"/>
  <c r="Z58" i="105"/>
  <c r="T58" i="105"/>
  <c r="P58" i="105"/>
  <c r="X58" i="105" s="1"/>
  <c r="H58" i="105"/>
  <c r="D58" i="105"/>
  <c r="B58" i="105"/>
  <c r="Z57" i="105"/>
  <c r="X57" i="105"/>
  <c r="N57" i="105"/>
  <c r="L57" i="105"/>
  <c r="B57" i="105"/>
  <c r="Z56" i="105"/>
  <c r="X56" i="105"/>
  <c r="N56" i="105"/>
  <c r="L56" i="105"/>
  <c r="B56" i="105"/>
  <c r="Z55" i="105"/>
  <c r="X55" i="105"/>
  <c r="N55" i="105"/>
  <c r="L55" i="105"/>
  <c r="B55" i="105"/>
  <c r="T54" i="105"/>
  <c r="Z54" i="105" s="1"/>
  <c r="P54" i="105"/>
  <c r="X54" i="105" s="1"/>
  <c r="N54" i="105"/>
  <c r="L54" i="105"/>
  <c r="H54" i="105"/>
  <c r="D54" i="105"/>
  <c r="B54" i="105"/>
  <c r="Z53" i="105"/>
  <c r="X53" i="105"/>
  <c r="N53" i="105"/>
  <c r="L53" i="105"/>
  <c r="B53" i="105"/>
  <c r="T52" i="105"/>
  <c r="Z52" i="105" s="1"/>
  <c r="P52" i="105"/>
  <c r="X52" i="105" s="1"/>
  <c r="L52" i="105"/>
  <c r="J52" i="105"/>
  <c r="H52" i="105"/>
  <c r="D52" i="105"/>
  <c r="B52" i="105"/>
  <c r="Z51" i="105"/>
  <c r="X51" i="105"/>
  <c r="N51" i="105"/>
  <c r="L51" i="105"/>
  <c r="B51" i="105"/>
  <c r="T50" i="105"/>
  <c r="Z50" i="105" s="1"/>
  <c r="P50" i="105"/>
  <c r="X50" i="105" s="1"/>
  <c r="H50" i="105"/>
  <c r="D50" i="105"/>
  <c r="L50" i="105" s="1"/>
  <c r="B50" i="105"/>
  <c r="Z49" i="105"/>
  <c r="X49" i="105"/>
  <c r="N49" i="105"/>
  <c r="L49" i="105"/>
  <c r="B49" i="105"/>
  <c r="Z48" i="105"/>
  <c r="X48" i="105"/>
  <c r="T48" i="105"/>
  <c r="P48" i="105"/>
  <c r="H48" i="105"/>
  <c r="D48" i="105"/>
  <c r="L48" i="105" s="1"/>
  <c r="B48" i="105"/>
  <c r="Z47" i="105"/>
  <c r="X47" i="105"/>
  <c r="N47" i="105"/>
  <c r="L47" i="105"/>
  <c r="B47" i="105"/>
  <c r="X46" i="105"/>
  <c r="V46" i="105"/>
  <c r="T46" i="105"/>
  <c r="Z46" i="105" s="1"/>
  <c r="P46" i="105"/>
  <c r="H46" i="105"/>
  <c r="D46" i="105"/>
  <c r="L46" i="105" s="1"/>
  <c r="B46" i="105"/>
  <c r="Z45" i="105"/>
  <c r="X45" i="105"/>
  <c r="N45" i="105"/>
  <c r="L45" i="105"/>
  <c r="B45" i="105"/>
  <c r="Z44" i="105"/>
  <c r="X44" i="105"/>
  <c r="N44" i="105"/>
  <c r="L44" i="105"/>
  <c r="B44" i="105"/>
  <c r="Z43" i="105"/>
  <c r="X43" i="105"/>
  <c r="N43" i="105"/>
  <c r="L43" i="105"/>
  <c r="B43" i="105"/>
  <c r="Z42" i="105"/>
  <c r="X42" i="105"/>
  <c r="N42" i="105"/>
  <c r="L42" i="105"/>
  <c r="B42" i="105"/>
  <c r="Z41" i="105"/>
  <c r="X41" i="105"/>
  <c r="V41" i="105"/>
  <c r="N41" i="105"/>
  <c r="L41" i="105"/>
  <c r="B41" i="105"/>
  <c r="Z40" i="105"/>
  <c r="X40" i="105"/>
  <c r="N40" i="105"/>
  <c r="L40" i="105"/>
  <c r="B40" i="105"/>
  <c r="Z39" i="105"/>
  <c r="X39" i="105"/>
  <c r="V39" i="105"/>
  <c r="N39" i="105"/>
  <c r="L39" i="105"/>
  <c r="J39" i="105"/>
  <c r="F39" i="105"/>
  <c r="B39" i="105"/>
  <c r="Z38" i="105"/>
  <c r="X38" i="105"/>
  <c r="N38" i="105"/>
  <c r="L38" i="105"/>
  <c r="B38" i="105"/>
  <c r="Z37" i="105"/>
  <c r="X37" i="105"/>
  <c r="N37" i="105"/>
  <c r="L37" i="105"/>
  <c r="B37" i="105"/>
  <c r="Z36" i="105"/>
  <c r="X36" i="105"/>
  <c r="N36" i="105"/>
  <c r="L36" i="105"/>
  <c r="B36" i="105"/>
  <c r="V35" i="105"/>
  <c r="T35" i="105"/>
  <c r="P35" i="105"/>
  <c r="X35" i="105" s="1"/>
  <c r="N35" i="105"/>
  <c r="L35" i="105"/>
  <c r="H35" i="105"/>
  <c r="D35" i="105"/>
  <c r="B35" i="105"/>
  <c r="X34" i="105"/>
  <c r="Z34" i="105" s="1"/>
  <c r="L34" i="105"/>
  <c r="N34" i="105" s="1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B31" i="105"/>
  <c r="X30" i="105"/>
  <c r="Z30" i="105" s="1"/>
  <c r="L30" i="105"/>
  <c r="N30" i="105" s="1"/>
  <c r="F30" i="105"/>
  <c r="B30" i="105"/>
  <c r="Z29" i="105"/>
  <c r="X29" i="105"/>
  <c r="N29" i="105"/>
  <c r="L29" i="105"/>
  <c r="B29" i="105"/>
  <c r="X28" i="105"/>
  <c r="Z28" i="105" s="1"/>
  <c r="N28" i="105"/>
  <c r="L28" i="105"/>
  <c r="B28" i="105"/>
  <c r="Z27" i="105"/>
  <c r="X27" i="105"/>
  <c r="V27" i="105"/>
  <c r="N27" i="105"/>
  <c r="L27" i="105"/>
  <c r="B27" i="105"/>
  <c r="T26" i="105"/>
  <c r="P26" i="105"/>
  <c r="N26" i="105"/>
  <c r="L26" i="105"/>
  <c r="H26" i="105"/>
  <c r="D26" i="105"/>
  <c r="B26" i="105"/>
  <c r="T25" i="105"/>
  <c r="P25" i="105"/>
  <c r="X25" i="105" s="1"/>
  <c r="Z25" i="105" s="1"/>
  <c r="H25" i="105"/>
  <c r="D25" i="105"/>
  <c r="L25" i="105" s="1"/>
  <c r="N25" i="105" s="1"/>
  <c r="T23" i="105"/>
  <c r="T63" i="105" s="1"/>
  <c r="T67" i="105" s="1"/>
  <c r="Z21" i="105"/>
  <c r="X21" i="105"/>
  <c r="V21" i="105"/>
  <c r="N21" i="105"/>
  <c r="L21" i="105"/>
  <c r="B21" i="105"/>
  <c r="Z20" i="105"/>
  <c r="X20" i="105"/>
  <c r="V20" i="105"/>
  <c r="N20" i="105"/>
  <c r="L20" i="105"/>
  <c r="B20" i="105"/>
  <c r="X19" i="105"/>
  <c r="Z19" i="105" s="1"/>
  <c r="V19" i="105"/>
  <c r="N19" i="105"/>
  <c r="L19" i="105"/>
  <c r="F19" i="105"/>
  <c r="B19" i="105"/>
  <c r="V18" i="105"/>
  <c r="T18" i="105"/>
  <c r="P18" i="105"/>
  <c r="X18" i="105" s="1"/>
  <c r="Z18" i="105" s="1"/>
  <c r="H18" i="105"/>
  <c r="D18" i="105"/>
  <c r="L18" i="105" s="1"/>
  <c r="N18" i="105" s="1"/>
  <c r="Z16" i="105"/>
  <c r="P16" i="105"/>
  <c r="X16" i="105" s="1"/>
  <c r="N16" i="105"/>
  <c r="D16" i="105"/>
  <c r="L16" i="105" s="1"/>
  <c r="B16" i="105"/>
  <c r="Z15" i="105"/>
  <c r="X15" i="105"/>
  <c r="P15" i="105"/>
  <c r="N15" i="105"/>
  <c r="L15" i="105"/>
  <c r="D15" i="105"/>
  <c r="B15" i="105"/>
  <c r="P14" i="105"/>
  <c r="X14" i="105" s="1"/>
  <c r="Z14" i="105" s="1"/>
  <c r="D14" i="105"/>
  <c r="L14" i="105" s="1"/>
  <c r="N14" i="105" s="1"/>
  <c r="B14" i="105"/>
  <c r="Z13" i="105"/>
  <c r="X13" i="105"/>
  <c r="P13" i="105"/>
  <c r="P12" i="105" s="1"/>
  <c r="N13" i="105"/>
  <c r="D13" i="105"/>
  <c r="L13" i="105" s="1"/>
  <c r="B13" i="105"/>
  <c r="T12" i="105"/>
  <c r="V37" i="105" s="1"/>
  <c r="H12" i="105"/>
  <c r="D12" i="105"/>
  <c r="F28" i="105" s="1"/>
  <c r="D6" i="105"/>
  <c r="D4" i="105"/>
  <c r="Z94" i="104"/>
  <c r="X94" i="104"/>
  <c r="L94" i="104"/>
  <c r="N94" i="104" s="1"/>
  <c r="Z90" i="104"/>
  <c r="X90" i="104"/>
  <c r="T90" i="104"/>
  <c r="P90" i="104"/>
  <c r="H90" i="104"/>
  <c r="N90" i="104" s="1"/>
  <c r="D90" i="104"/>
  <c r="Z88" i="104"/>
  <c r="X88" i="104"/>
  <c r="N88" i="104"/>
  <c r="L88" i="104"/>
  <c r="B88" i="104"/>
  <c r="Z87" i="104"/>
  <c r="X87" i="104"/>
  <c r="N87" i="104"/>
  <c r="L87" i="104"/>
  <c r="B87" i="104"/>
  <c r="T86" i="104"/>
  <c r="P86" i="104"/>
  <c r="L86" i="104"/>
  <c r="N86" i="104" s="1"/>
  <c r="H86" i="104"/>
  <c r="D86" i="104"/>
  <c r="B86" i="104"/>
  <c r="Z85" i="104"/>
  <c r="X85" i="104"/>
  <c r="N85" i="104"/>
  <c r="L85" i="104"/>
  <c r="J85" i="104"/>
  <c r="B85" i="104"/>
  <c r="Z84" i="104"/>
  <c r="T84" i="104"/>
  <c r="P84" i="104"/>
  <c r="X84" i="104" s="1"/>
  <c r="J84" i="104"/>
  <c r="H84" i="104"/>
  <c r="N84" i="104" s="1"/>
  <c r="D84" i="104"/>
  <c r="L84" i="104" s="1"/>
  <c r="B84" i="104"/>
  <c r="X83" i="104"/>
  <c r="Z83" i="104" s="1"/>
  <c r="N83" i="104"/>
  <c r="L83" i="104"/>
  <c r="B83" i="104"/>
  <c r="T82" i="104"/>
  <c r="P82" i="104"/>
  <c r="X82" i="104" s="1"/>
  <c r="Z82" i="104" s="1"/>
  <c r="H82" i="104"/>
  <c r="D82" i="104"/>
  <c r="L82" i="104" s="1"/>
  <c r="N82" i="104" s="1"/>
  <c r="B82" i="104"/>
  <c r="X81" i="104"/>
  <c r="Z81" i="104" s="1"/>
  <c r="N81" i="104"/>
  <c r="L81" i="104"/>
  <c r="B81" i="104"/>
  <c r="Z80" i="104"/>
  <c r="X80" i="104"/>
  <c r="N80" i="104"/>
  <c r="L80" i="104"/>
  <c r="B80" i="104"/>
  <c r="Z79" i="104"/>
  <c r="X79" i="104"/>
  <c r="N79" i="104"/>
  <c r="L79" i="104"/>
  <c r="B79" i="104"/>
  <c r="X78" i="104"/>
  <c r="Z78" i="104" s="1"/>
  <c r="N78" i="104"/>
  <c r="L78" i="104"/>
  <c r="J78" i="104"/>
  <c r="B78" i="104"/>
  <c r="X77" i="104"/>
  <c r="Z77" i="104" s="1"/>
  <c r="N77" i="104"/>
  <c r="L77" i="104"/>
  <c r="B77" i="104"/>
  <c r="X76" i="104"/>
  <c r="Z76" i="104" s="1"/>
  <c r="N76" i="104"/>
  <c r="L76" i="104"/>
  <c r="B76" i="104"/>
  <c r="Z75" i="104"/>
  <c r="X75" i="104"/>
  <c r="N75" i="104"/>
  <c r="L75" i="104"/>
  <c r="B75" i="104"/>
  <c r="X74" i="104"/>
  <c r="Z74" i="104" s="1"/>
  <c r="N74" i="104"/>
  <c r="L74" i="104"/>
  <c r="J74" i="104"/>
  <c r="B74" i="104"/>
  <c r="X73" i="104"/>
  <c r="T73" i="104"/>
  <c r="Z73" i="104" s="1"/>
  <c r="P73" i="104"/>
  <c r="H73" i="104"/>
  <c r="D73" i="104"/>
  <c r="B73" i="104"/>
  <c r="Z72" i="104"/>
  <c r="X72" i="104"/>
  <c r="L72" i="104"/>
  <c r="N72" i="104" s="1"/>
  <c r="B72" i="104"/>
  <c r="Z71" i="104"/>
  <c r="X71" i="104"/>
  <c r="N71" i="104"/>
  <c r="L71" i="104"/>
  <c r="B71" i="104"/>
  <c r="Z70" i="104"/>
  <c r="X70" i="104"/>
  <c r="V70" i="104"/>
  <c r="N70" i="104"/>
  <c r="L70" i="104"/>
  <c r="B70" i="104"/>
  <c r="Z69" i="104"/>
  <c r="X69" i="104"/>
  <c r="L69" i="104"/>
  <c r="N69" i="104" s="1"/>
  <c r="J69" i="104"/>
  <c r="B69" i="104"/>
  <c r="T68" i="104"/>
  <c r="P68" i="104"/>
  <c r="X68" i="104" s="1"/>
  <c r="Z68" i="104" s="1"/>
  <c r="J68" i="104"/>
  <c r="H68" i="104"/>
  <c r="D68" i="104"/>
  <c r="L68" i="104" s="1"/>
  <c r="B68" i="104"/>
  <c r="X67" i="104"/>
  <c r="Z67" i="104" s="1"/>
  <c r="N67" i="104"/>
  <c r="L67" i="104"/>
  <c r="B67" i="104"/>
  <c r="Z66" i="104"/>
  <c r="X66" i="104"/>
  <c r="N66" i="104"/>
  <c r="L66" i="104"/>
  <c r="B66" i="104"/>
  <c r="Z65" i="104"/>
  <c r="X65" i="104"/>
  <c r="V65" i="104"/>
  <c r="N65" i="104"/>
  <c r="L65" i="104"/>
  <c r="B65" i="104"/>
  <c r="T64" i="104"/>
  <c r="Z64" i="104" s="1"/>
  <c r="P64" i="104"/>
  <c r="X64" i="104" s="1"/>
  <c r="H64" i="104"/>
  <c r="D64" i="104"/>
  <c r="L64" i="104" s="1"/>
  <c r="N64" i="104" s="1"/>
  <c r="B64" i="104"/>
  <c r="Z63" i="104"/>
  <c r="X63" i="104"/>
  <c r="N63" i="104"/>
  <c r="L63" i="104"/>
  <c r="B63" i="104"/>
  <c r="T62" i="104"/>
  <c r="P62" i="104"/>
  <c r="L62" i="104"/>
  <c r="N62" i="104" s="1"/>
  <c r="H62" i="104"/>
  <c r="D62" i="104"/>
  <c r="B62" i="104"/>
  <c r="Z61" i="104"/>
  <c r="X61" i="104"/>
  <c r="L61" i="104"/>
  <c r="N61" i="104" s="1"/>
  <c r="J61" i="104"/>
  <c r="B61" i="104"/>
  <c r="T60" i="104"/>
  <c r="Z60" i="104" s="1"/>
  <c r="P60" i="104"/>
  <c r="X60" i="104" s="1"/>
  <c r="H60" i="104"/>
  <c r="D60" i="104"/>
  <c r="L60" i="104" s="1"/>
  <c r="B60" i="104"/>
  <c r="Z59" i="104"/>
  <c r="X59" i="104"/>
  <c r="N59" i="104"/>
  <c r="L59" i="104"/>
  <c r="B59" i="104"/>
  <c r="T58" i="104"/>
  <c r="Z58" i="104" s="1"/>
  <c r="P58" i="104"/>
  <c r="X58" i="104" s="1"/>
  <c r="H58" i="104"/>
  <c r="D58" i="104"/>
  <c r="L58" i="104" s="1"/>
  <c r="B58" i="104"/>
  <c r="X57" i="104"/>
  <c r="Z57" i="104" s="1"/>
  <c r="N57" i="104"/>
  <c r="L57" i="104"/>
  <c r="B57" i="104"/>
  <c r="Z56" i="104"/>
  <c r="X56" i="104"/>
  <c r="T56" i="104"/>
  <c r="P56" i="104"/>
  <c r="H56" i="104"/>
  <c r="D56" i="104"/>
  <c r="B56" i="104"/>
  <c r="Z55" i="104"/>
  <c r="X55" i="104"/>
  <c r="N55" i="104"/>
  <c r="L55" i="104"/>
  <c r="B55" i="104"/>
  <c r="V54" i="104"/>
  <c r="T54" i="104"/>
  <c r="P54" i="104"/>
  <c r="X54" i="104" s="1"/>
  <c r="H54" i="104"/>
  <c r="N54" i="104" s="1"/>
  <c r="D54" i="104"/>
  <c r="L54" i="104" s="1"/>
  <c r="B54" i="104"/>
  <c r="X53" i="104"/>
  <c r="Z53" i="104" s="1"/>
  <c r="V53" i="104"/>
  <c r="N53" i="104"/>
  <c r="L53" i="104"/>
  <c r="B53" i="104"/>
  <c r="T52" i="104"/>
  <c r="Z52" i="104" s="1"/>
  <c r="P52" i="104"/>
  <c r="X52" i="104" s="1"/>
  <c r="H52" i="104"/>
  <c r="N52" i="104" s="1"/>
  <c r="D52" i="104"/>
  <c r="L52" i="104" s="1"/>
  <c r="B52" i="104"/>
  <c r="Z51" i="104"/>
  <c r="X51" i="104"/>
  <c r="N51" i="104"/>
  <c r="L51" i="104"/>
  <c r="B51" i="104"/>
  <c r="T50" i="104"/>
  <c r="P50" i="104"/>
  <c r="L50" i="104"/>
  <c r="N50" i="104" s="1"/>
  <c r="H50" i="104"/>
  <c r="D50" i="104"/>
  <c r="B50" i="104"/>
  <c r="X49" i="104"/>
  <c r="Z49" i="104" s="1"/>
  <c r="L49" i="104"/>
  <c r="N49" i="104" s="1"/>
  <c r="J49" i="104"/>
  <c r="B49" i="104"/>
  <c r="T48" i="104"/>
  <c r="P48" i="104"/>
  <c r="X48" i="104" s="1"/>
  <c r="J48" i="104"/>
  <c r="H48" i="104"/>
  <c r="D48" i="104"/>
  <c r="L48" i="104" s="1"/>
  <c r="B48" i="104"/>
  <c r="Z47" i="104"/>
  <c r="X47" i="104"/>
  <c r="N47" i="104"/>
  <c r="L47" i="104"/>
  <c r="B47" i="104"/>
  <c r="Z46" i="104"/>
  <c r="X46" i="104"/>
  <c r="N46" i="104"/>
  <c r="L46" i="104"/>
  <c r="B46" i="104"/>
  <c r="X45" i="104"/>
  <c r="Z45" i="104" s="1"/>
  <c r="V45" i="104"/>
  <c r="N45" i="104"/>
  <c r="L45" i="104"/>
  <c r="B45" i="104"/>
  <c r="X44" i="104"/>
  <c r="Z44" i="104" s="1"/>
  <c r="N44" i="104"/>
  <c r="L44" i="104"/>
  <c r="B44" i="104"/>
  <c r="Z43" i="104"/>
  <c r="X43" i="104"/>
  <c r="N43" i="104"/>
  <c r="L43" i="104"/>
  <c r="B43" i="104"/>
  <c r="Z42" i="104"/>
  <c r="X42" i="104"/>
  <c r="N42" i="104"/>
  <c r="L42" i="104"/>
  <c r="B42" i="104"/>
  <c r="X41" i="104"/>
  <c r="Z41" i="104" s="1"/>
  <c r="V41" i="104"/>
  <c r="L41" i="104"/>
  <c r="N41" i="104" s="1"/>
  <c r="B41" i="104"/>
  <c r="Z40" i="104"/>
  <c r="X40" i="104"/>
  <c r="N40" i="104"/>
  <c r="L40" i="104"/>
  <c r="B40" i="104"/>
  <c r="X39" i="104"/>
  <c r="Z39" i="104" s="1"/>
  <c r="N39" i="104"/>
  <c r="L39" i="104"/>
  <c r="B39" i="104"/>
  <c r="Z38" i="104"/>
  <c r="X38" i="104"/>
  <c r="N38" i="104"/>
  <c r="L38" i="104"/>
  <c r="B38" i="104"/>
  <c r="X37" i="104"/>
  <c r="V37" i="104"/>
  <c r="T37" i="104"/>
  <c r="Z37" i="104" s="1"/>
  <c r="P37" i="104"/>
  <c r="H37" i="104"/>
  <c r="D37" i="104"/>
  <c r="L37" i="104" s="1"/>
  <c r="B37" i="104"/>
  <c r="Z36" i="104"/>
  <c r="X36" i="104"/>
  <c r="N36" i="104"/>
  <c r="L36" i="104"/>
  <c r="B36" i="104"/>
  <c r="Z35" i="104"/>
  <c r="X35" i="104"/>
  <c r="N35" i="104"/>
  <c r="L35" i="104"/>
  <c r="B35" i="104"/>
  <c r="X34" i="104"/>
  <c r="Z34" i="104" s="1"/>
  <c r="N34" i="104"/>
  <c r="L34" i="104"/>
  <c r="J34" i="104"/>
  <c r="B34" i="104"/>
  <c r="Z33" i="104"/>
  <c r="X33" i="104"/>
  <c r="N33" i="104"/>
  <c r="L33" i="104"/>
  <c r="B33" i="104"/>
  <c r="Z32" i="104"/>
  <c r="X32" i="104"/>
  <c r="N32" i="104"/>
  <c r="L32" i="104"/>
  <c r="B32" i="104"/>
  <c r="Z31" i="104"/>
  <c r="X31" i="104"/>
  <c r="N31" i="104"/>
  <c r="L31" i="104"/>
  <c r="B31" i="104"/>
  <c r="X30" i="104"/>
  <c r="Z30" i="104" s="1"/>
  <c r="N30" i="104"/>
  <c r="L30" i="104"/>
  <c r="J30" i="104"/>
  <c r="B30" i="104"/>
  <c r="X29" i="104"/>
  <c r="Z29" i="104" s="1"/>
  <c r="L29" i="104"/>
  <c r="N29" i="104" s="1"/>
  <c r="B29" i="104"/>
  <c r="X28" i="104"/>
  <c r="Z28" i="104" s="1"/>
  <c r="N28" i="104"/>
  <c r="L28" i="104"/>
  <c r="B28" i="104"/>
  <c r="Z27" i="104"/>
  <c r="X27" i="104"/>
  <c r="N27" i="104"/>
  <c r="L27" i="104"/>
  <c r="B27" i="104"/>
  <c r="T26" i="104"/>
  <c r="Z26" i="104" s="1"/>
  <c r="P26" i="104"/>
  <c r="X26" i="104" s="1"/>
  <c r="N26" i="104"/>
  <c r="L26" i="104"/>
  <c r="H26" i="104"/>
  <c r="D26" i="104"/>
  <c r="B26" i="104"/>
  <c r="T25" i="104"/>
  <c r="P25" i="104"/>
  <c r="H25" i="104"/>
  <c r="D25" i="104"/>
  <c r="L25" i="104" s="1"/>
  <c r="Z21" i="104"/>
  <c r="X21" i="104"/>
  <c r="N21" i="104"/>
  <c r="L21" i="104"/>
  <c r="J21" i="104"/>
  <c r="B21" i="104"/>
  <c r="Z20" i="104"/>
  <c r="X20" i="104"/>
  <c r="V20" i="104"/>
  <c r="N20" i="104"/>
  <c r="L20" i="104"/>
  <c r="J20" i="104"/>
  <c r="B20" i="104"/>
  <c r="Z19" i="104"/>
  <c r="X19" i="104"/>
  <c r="L19" i="104"/>
  <c r="N19" i="104" s="1"/>
  <c r="B19" i="104"/>
  <c r="V18" i="104"/>
  <c r="T18" i="104"/>
  <c r="P18" i="104"/>
  <c r="J18" i="104"/>
  <c r="H18" i="104"/>
  <c r="D18" i="104"/>
  <c r="L18" i="104" s="1"/>
  <c r="N18" i="104" s="1"/>
  <c r="Z16" i="104"/>
  <c r="P16" i="104"/>
  <c r="X16" i="104" s="1"/>
  <c r="N16" i="104"/>
  <c r="L16" i="104"/>
  <c r="D16" i="104"/>
  <c r="B16" i="104"/>
  <c r="Z15" i="104"/>
  <c r="X15" i="104"/>
  <c r="P15" i="104"/>
  <c r="N15" i="104"/>
  <c r="D15" i="104"/>
  <c r="L15" i="104" s="1"/>
  <c r="B15" i="104"/>
  <c r="Z14" i="104"/>
  <c r="X14" i="104"/>
  <c r="P14" i="104"/>
  <c r="L14" i="104"/>
  <c r="N14" i="104" s="1"/>
  <c r="D14" i="104"/>
  <c r="B14" i="104"/>
  <c r="Z13" i="104"/>
  <c r="X13" i="104"/>
  <c r="P13" i="104"/>
  <c r="N13" i="104"/>
  <c r="D13" i="104"/>
  <c r="B13" i="104"/>
  <c r="T12" i="104"/>
  <c r="H12" i="104"/>
  <c r="J86" i="104" s="1"/>
  <c r="D6" i="104"/>
  <c r="D4" i="104"/>
  <c r="Z65" i="103"/>
  <c r="X65" i="103"/>
  <c r="N65" i="103"/>
  <c r="L65" i="103"/>
  <c r="V63" i="103"/>
  <c r="T61" i="103"/>
  <c r="Z61" i="103" s="1"/>
  <c r="P61" i="103"/>
  <c r="X61" i="103" s="1"/>
  <c r="H61" i="103"/>
  <c r="N61" i="103" s="1"/>
  <c r="F61" i="103"/>
  <c r="D61" i="103"/>
  <c r="L61" i="103" s="1"/>
  <c r="Z59" i="103"/>
  <c r="X59" i="103"/>
  <c r="L59" i="103"/>
  <c r="N59" i="103" s="1"/>
  <c r="B59" i="103"/>
  <c r="T58" i="103"/>
  <c r="P58" i="103"/>
  <c r="X58" i="103" s="1"/>
  <c r="L58" i="103"/>
  <c r="N58" i="103" s="1"/>
  <c r="J58" i="103"/>
  <c r="H58" i="103"/>
  <c r="D58" i="103"/>
  <c r="B58" i="103"/>
  <c r="Z57" i="103"/>
  <c r="X57" i="103"/>
  <c r="N57" i="103"/>
  <c r="L57" i="103"/>
  <c r="B57" i="103"/>
  <c r="T56" i="103"/>
  <c r="P56" i="103"/>
  <c r="L56" i="103"/>
  <c r="H56" i="103"/>
  <c r="F56" i="103"/>
  <c r="D56" i="103"/>
  <c r="B56" i="103"/>
  <c r="Z55" i="103"/>
  <c r="X55" i="103"/>
  <c r="N55" i="103"/>
  <c r="L55" i="103"/>
  <c r="B55" i="103"/>
  <c r="Z54" i="103"/>
  <c r="T54" i="103"/>
  <c r="P54" i="103"/>
  <c r="X54" i="103" s="1"/>
  <c r="H54" i="103"/>
  <c r="D54" i="103"/>
  <c r="B54" i="103"/>
  <c r="X53" i="103"/>
  <c r="Z53" i="103" s="1"/>
  <c r="N53" i="103"/>
  <c r="L53" i="103"/>
  <c r="B53" i="103"/>
  <c r="X52" i="103"/>
  <c r="Z52" i="103" s="1"/>
  <c r="V52" i="103"/>
  <c r="L52" i="103"/>
  <c r="N52" i="103" s="1"/>
  <c r="B52" i="103"/>
  <c r="Z51" i="103"/>
  <c r="X51" i="103"/>
  <c r="N51" i="103"/>
  <c r="L51" i="103"/>
  <c r="B51" i="103"/>
  <c r="T50" i="103"/>
  <c r="P50" i="103"/>
  <c r="X50" i="103" s="1"/>
  <c r="L50" i="103"/>
  <c r="H50" i="103"/>
  <c r="N50" i="103" s="1"/>
  <c r="D50" i="103"/>
  <c r="B50" i="103"/>
  <c r="Z49" i="103"/>
  <c r="X49" i="103"/>
  <c r="N49" i="103"/>
  <c r="L49" i="103"/>
  <c r="B49" i="103"/>
  <c r="T48" i="103"/>
  <c r="P48" i="103"/>
  <c r="L48" i="103"/>
  <c r="H48" i="103"/>
  <c r="N48" i="103" s="1"/>
  <c r="D48" i="103"/>
  <c r="B48" i="103"/>
  <c r="Z47" i="103"/>
  <c r="X47" i="103"/>
  <c r="N47" i="103"/>
  <c r="L47" i="103"/>
  <c r="J47" i="103"/>
  <c r="B47" i="103"/>
  <c r="Z46" i="103"/>
  <c r="T46" i="103"/>
  <c r="P46" i="103"/>
  <c r="X46" i="103" s="1"/>
  <c r="H46" i="103"/>
  <c r="D46" i="103"/>
  <c r="L46" i="103" s="1"/>
  <c r="B46" i="103"/>
  <c r="Z45" i="103"/>
  <c r="X45" i="103"/>
  <c r="N45" i="103"/>
  <c r="L45" i="103"/>
  <c r="B45" i="103"/>
  <c r="X44" i="103"/>
  <c r="V44" i="103"/>
  <c r="T44" i="103"/>
  <c r="P44" i="103"/>
  <c r="L44" i="103"/>
  <c r="H44" i="103"/>
  <c r="D44" i="103"/>
  <c r="B44" i="103"/>
  <c r="Z43" i="103"/>
  <c r="X43" i="103"/>
  <c r="N43" i="103"/>
  <c r="L43" i="103"/>
  <c r="J43" i="103"/>
  <c r="B43" i="103"/>
  <c r="X42" i="103"/>
  <c r="T42" i="103"/>
  <c r="P42" i="103"/>
  <c r="H42" i="103"/>
  <c r="D42" i="103"/>
  <c r="L42" i="103" s="1"/>
  <c r="B42" i="103"/>
  <c r="Z41" i="103"/>
  <c r="X41" i="103"/>
  <c r="V41" i="103"/>
  <c r="N41" i="103"/>
  <c r="L41" i="103"/>
  <c r="B41" i="103"/>
  <c r="T40" i="103"/>
  <c r="P40" i="103"/>
  <c r="N40" i="103"/>
  <c r="H40" i="103"/>
  <c r="D40" i="103"/>
  <c r="L40" i="103" s="1"/>
  <c r="B40" i="103"/>
  <c r="Z39" i="103"/>
  <c r="X39" i="103"/>
  <c r="N39" i="103"/>
  <c r="L39" i="103"/>
  <c r="B39" i="103"/>
  <c r="Z38" i="103"/>
  <c r="X38" i="103"/>
  <c r="N38" i="103"/>
  <c r="L38" i="103"/>
  <c r="B38" i="103"/>
  <c r="Z37" i="103"/>
  <c r="X37" i="103"/>
  <c r="N37" i="103"/>
  <c r="L37" i="103"/>
  <c r="B37" i="103"/>
  <c r="Z36" i="103"/>
  <c r="X36" i="103"/>
  <c r="N36" i="103"/>
  <c r="L36" i="103"/>
  <c r="B36" i="103"/>
  <c r="Z35" i="103"/>
  <c r="X35" i="103"/>
  <c r="N35" i="103"/>
  <c r="L35" i="103"/>
  <c r="B35" i="103"/>
  <c r="Z34" i="103"/>
  <c r="X34" i="103"/>
  <c r="N34" i="103"/>
  <c r="L34" i="103"/>
  <c r="B34" i="103"/>
  <c r="Z33" i="103"/>
  <c r="X33" i="103"/>
  <c r="N33" i="103"/>
  <c r="L33" i="103"/>
  <c r="B33" i="103"/>
  <c r="Z32" i="103"/>
  <c r="X32" i="103"/>
  <c r="N32" i="103"/>
  <c r="L32" i="103"/>
  <c r="B32" i="103"/>
  <c r="Z31" i="103"/>
  <c r="X31" i="103"/>
  <c r="N31" i="103"/>
  <c r="L31" i="103"/>
  <c r="B31" i="103"/>
  <c r="Z30" i="103"/>
  <c r="X30" i="103"/>
  <c r="N30" i="103"/>
  <c r="L30" i="103"/>
  <c r="B30" i="103"/>
  <c r="V29" i="103"/>
  <c r="T29" i="103"/>
  <c r="P29" i="103"/>
  <c r="X29" i="103" s="1"/>
  <c r="H29" i="103"/>
  <c r="D29" i="103"/>
  <c r="L29" i="103" s="1"/>
  <c r="N29" i="103" s="1"/>
  <c r="B29" i="103"/>
  <c r="Z28" i="103"/>
  <c r="X28" i="103"/>
  <c r="N28" i="103"/>
  <c r="L28" i="103"/>
  <c r="F28" i="103"/>
  <c r="B28" i="103"/>
  <c r="Z27" i="103"/>
  <c r="X27" i="103"/>
  <c r="N27" i="103"/>
  <c r="L27" i="103"/>
  <c r="B27" i="103"/>
  <c r="X26" i="103"/>
  <c r="Z26" i="103" s="1"/>
  <c r="N26" i="103"/>
  <c r="L26" i="103"/>
  <c r="F26" i="103"/>
  <c r="B26" i="103"/>
  <c r="Z25" i="103"/>
  <c r="X25" i="103"/>
  <c r="N25" i="103"/>
  <c r="L25" i="103"/>
  <c r="B25" i="103"/>
  <c r="X24" i="103"/>
  <c r="Z24" i="103" s="1"/>
  <c r="L24" i="103"/>
  <c r="N24" i="103" s="1"/>
  <c r="B24" i="103"/>
  <c r="X23" i="103"/>
  <c r="Z23" i="103" s="1"/>
  <c r="N23" i="103"/>
  <c r="L23" i="103"/>
  <c r="B23" i="103"/>
  <c r="X22" i="103"/>
  <c r="Z22" i="103" s="1"/>
  <c r="R22" i="103"/>
  <c r="N22" i="103"/>
  <c r="L22" i="103"/>
  <c r="B22" i="103"/>
  <c r="X21" i="103"/>
  <c r="Z21" i="103" s="1"/>
  <c r="L21" i="103"/>
  <c r="N21" i="103" s="1"/>
  <c r="J21" i="103"/>
  <c r="F21" i="103"/>
  <c r="B21" i="103"/>
  <c r="X20" i="103"/>
  <c r="Z20" i="103" s="1"/>
  <c r="N20" i="103"/>
  <c r="L20" i="103"/>
  <c r="B20" i="103"/>
  <c r="X19" i="103"/>
  <c r="V19" i="103"/>
  <c r="T19" i="103"/>
  <c r="Z19" i="103" s="1"/>
  <c r="P19" i="103"/>
  <c r="L19" i="103"/>
  <c r="N19" i="103" s="1"/>
  <c r="J19" i="103"/>
  <c r="H19" i="103"/>
  <c r="D19" i="103"/>
  <c r="B19" i="103"/>
  <c r="T18" i="103"/>
  <c r="P18" i="103"/>
  <c r="X18" i="103" s="1"/>
  <c r="H18" i="103"/>
  <c r="D18" i="103"/>
  <c r="T14" i="103"/>
  <c r="P14" i="103"/>
  <c r="H14" i="103"/>
  <c r="N14" i="103" s="1"/>
  <c r="D14" i="103"/>
  <c r="Z12" i="103"/>
  <c r="X12" i="103"/>
  <c r="T12" i="103"/>
  <c r="V59" i="103" s="1"/>
  <c r="P12" i="103"/>
  <c r="N12" i="103"/>
  <c r="H12" i="103"/>
  <c r="J57" i="103" s="1"/>
  <c r="D12" i="103"/>
  <c r="F67" i="103" s="1"/>
  <c r="D6" i="103"/>
  <c r="D4" i="103"/>
  <c r="Z93" i="102"/>
  <c r="X93" i="102"/>
  <c r="L93" i="102"/>
  <c r="N93" i="102" s="1"/>
  <c r="X89" i="102"/>
  <c r="Z89" i="102" s="1"/>
  <c r="P89" i="102"/>
  <c r="N89" i="102"/>
  <c r="J89" i="102"/>
  <c r="D89" i="102"/>
  <c r="D88" i="102" s="1"/>
  <c r="L88" i="102" s="1"/>
  <c r="B89" i="102"/>
  <c r="X88" i="102"/>
  <c r="T88" i="102"/>
  <c r="Z88" i="102" s="1"/>
  <c r="P88" i="102"/>
  <c r="J88" i="102"/>
  <c r="H88" i="102"/>
  <c r="N88" i="102" s="1"/>
  <c r="X86" i="102"/>
  <c r="Z86" i="102" s="1"/>
  <c r="N86" i="102"/>
  <c r="L86" i="102"/>
  <c r="B86" i="102"/>
  <c r="X85" i="102"/>
  <c r="Z85" i="102" s="1"/>
  <c r="T85" i="102"/>
  <c r="P85" i="102"/>
  <c r="N85" i="102"/>
  <c r="H85" i="102"/>
  <c r="D85" i="102"/>
  <c r="L85" i="102" s="1"/>
  <c r="B85" i="102"/>
  <c r="Z84" i="102"/>
  <c r="X84" i="102"/>
  <c r="N84" i="102"/>
  <c r="L84" i="102"/>
  <c r="B84" i="102"/>
  <c r="X83" i="102"/>
  <c r="Z83" i="102" s="1"/>
  <c r="T83" i="102"/>
  <c r="P83" i="102"/>
  <c r="H83" i="102"/>
  <c r="N83" i="102" s="1"/>
  <c r="D83" i="102"/>
  <c r="B83" i="102"/>
  <c r="Z82" i="102"/>
  <c r="X82" i="102"/>
  <c r="L82" i="102"/>
  <c r="N82" i="102" s="1"/>
  <c r="B82" i="102"/>
  <c r="Z81" i="102"/>
  <c r="X81" i="102"/>
  <c r="R81" i="102"/>
  <c r="L81" i="102"/>
  <c r="N81" i="102" s="1"/>
  <c r="B81" i="102"/>
  <c r="T80" i="102"/>
  <c r="P80" i="102"/>
  <c r="X80" i="102" s="1"/>
  <c r="Z80" i="102" s="1"/>
  <c r="N80" i="102"/>
  <c r="L80" i="102"/>
  <c r="J80" i="102"/>
  <c r="H80" i="102"/>
  <c r="D80" i="102"/>
  <c r="B80" i="102"/>
  <c r="X79" i="102"/>
  <c r="Z79" i="102" s="1"/>
  <c r="N79" i="102"/>
  <c r="L79" i="102"/>
  <c r="B79" i="102"/>
  <c r="Z78" i="102"/>
  <c r="X78" i="102"/>
  <c r="N78" i="102"/>
  <c r="L78" i="102"/>
  <c r="B78" i="102"/>
  <c r="X77" i="102"/>
  <c r="Z77" i="102" s="1"/>
  <c r="L77" i="102"/>
  <c r="N77" i="102" s="1"/>
  <c r="B77" i="102"/>
  <c r="Z76" i="102"/>
  <c r="X76" i="102"/>
  <c r="V76" i="102"/>
  <c r="N76" i="102"/>
  <c r="L76" i="102"/>
  <c r="B76" i="102"/>
  <c r="X75" i="102"/>
  <c r="Z75" i="102" s="1"/>
  <c r="N75" i="102"/>
  <c r="L75" i="102"/>
  <c r="F75" i="102"/>
  <c r="B75" i="102"/>
  <c r="X74" i="102"/>
  <c r="Z74" i="102" s="1"/>
  <c r="N74" i="102"/>
  <c r="L74" i="102"/>
  <c r="F74" i="102"/>
  <c r="B74" i="102"/>
  <c r="Z73" i="102"/>
  <c r="X73" i="102"/>
  <c r="N73" i="102"/>
  <c r="L73" i="102"/>
  <c r="B73" i="102"/>
  <c r="X72" i="102"/>
  <c r="T72" i="102"/>
  <c r="P72" i="102"/>
  <c r="L72" i="102"/>
  <c r="H72" i="102"/>
  <c r="N72" i="102" s="1"/>
  <c r="D72" i="102"/>
  <c r="B72" i="102"/>
  <c r="Z71" i="102"/>
  <c r="X71" i="102"/>
  <c r="N71" i="102"/>
  <c r="L71" i="102"/>
  <c r="B71" i="102"/>
  <c r="Z70" i="102"/>
  <c r="X70" i="102"/>
  <c r="R70" i="102"/>
  <c r="N70" i="102"/>
  <c r="L70" i="102"/>
  <c r="J70" i="102"/>
  <c r="B70" i="102"/>
  <c r="T69" i="102"/>
  <c r="P69" i="102"/>
  <c r="H69" i="102"/>
  <c r="D69" i="102"/>
  <c r="B69" i="102"/>
  <c r="Z68" i="102"/>
  <c r="X68" i="102"/>
  <c r="N68" i="102"/>
  <c r="L68" i="102"/>
  <c r="J68" i="102"/>
  <c r="B68" i="102"/>
  <c r="Z67" i="102"/>
  <c r="X67" i="102"/>
  <c r="L67" i="102"/>
  <c r="N67" i="102" s="1"/>
  <c r="B67" i="102"/>
  <c r="Z66" i="102"/>
  <c r="X66" i="102"/>
  <c r="V66" i="102"/>
  <c r="T66" i="102"/>
  <c r="P66" i="102"/>
  <c r="H66" i="102"/>
  <c r="D66" i="102"/>
  <c r="L66" i="102" s="1"/>
  <c r="N66" i="102" s="1"/>
  <c r="B66" i="102"/>
  <c r="X65" i="102"/>
  <c r="Z65" i="102" s="1"/>
  <c r="N65" i="102"/>
  <c r="L65" i="102"/>
  <c r="B65" i="102"/>
  <c r="X64" i="102"/>
  <c r="Z64" i="102" s="1"/>
  <c r="N64" i="102"/>
  <c r="L64" i="102"/>
  <c r="B64" i="102"/>
  <c r="Z63" i="102"/>
  <c r="X63" i="102"/>
  <c r="N63" i="102"/>
  <c r="L63" i="102"/>
  <c r="F63" i="102"/>
  <c r="B63" i="102"/>
  <c r="X62" i="102"/>
  <c r="T62" i="102"/>
  <c r="Z62" i="102" s="1"/>
  <c r="P62" i="102"/>
  <c r="L62" i="102"/>
  <c r="J62" i="102"/>
  <c r="H62" i="102"/>
  <c r="D62" i="102"/>
  <c r="B62" i="102"/>
  <c r="Z61" i="102"/>
  <c r="X61" i="102"/>
  <c r="N61" i="102"/>
  <c r="L61" i="102"/>
  <c r="J61" i="102"/>
  <c r="B61" i="102"/>
  <c r="Z60" i="102"/>
  <c r="X60" i="102"/>
  <c r="T60" i="102"/>
  <c r="P60" i="102"/>
  <c r="H60" i="102"/>
  <c r="N60" i="102" s="1"/>
  <c r="D60" i="102"/>
  <c r="L60" i="102" s="1"/>
  <c r="B60" i="102"/>
  <c r="Z59" i="102"/>
  <c r="X59" i="102"/>
  <c r="N59" i="102"/>
  <c r="L59" i="102"/>
  <c r="B59" i="102"/>
  <c r="Z58" i="102"/>
  <c r="X58" i="102"/>
  <c r="T58" i="102"/>
  <c r="P58" i="102"/>
  <c r="N58" i="102"/>
  <c r="H58" i="102"/>
  <c r="D58" i="102"/>
  <c r="L58" i="102" s="1"/>
  <c r="B58" i="102"/>
  <c r="X57" i="102"/>
  <c r="Z57" i="102" s="1"/>
  <c r="N57" i="102"/>
  <c r="L57" i="102"/>
  <c r="B57" i="102"/>
  <c r="X56" i="102"/>
  <c r="T56" i="102"/>
  <c r="Z56" i="102" s="1"/>
  <c r="P56" i="102"/>
  <c r="L56" i="102"/>
  <c r="H56" i="102"/>
  <c r="N56" i="102" s="1"/>
  <c r="D56" i="102"/>
  <c r="B56" i="102"/>
  <c r="Z55" i="102"/>
  <c r="X55" i="102"/>
  <c r="R55" i="102"/>
  <c r="N55" i="102"/>
  <c r="L55" i="102"/>
  <c r="B55" i="102"/>
  <c r="Z54" i="102"/>
  <c r="X54" i="102"/>
  <c r="N54" i="102"/>
  <c r="L54" i="102"/>
  <c r="J54" i="102"/>
  <c r="B54" i="102"/>
  <c r="T53" i="102"/>
  <c r="P53" i="102"/>
  <c r="L53" i="102"/>
  <c r="H53" i="102"/>
  <c r="N53" i="102" s="1"/>
  <c r="D53" i="102"/>
  <c r="B53" i="102"/>
  <c r="Z52" i="102"/>
  <c r="X52" i="102"/>
  <c r="L52" i="102"/>
  <c r="N52" i="102" s="1"/>
  <c r="J52" i="102"/>
  <c r="B52" i="102"/>
  <c r="T51" i="102"/>
  <c r="P51" i="102"/>
  <c r="X51" i="102" s="1"/>
  <c r="Z51" i="102" s="1"/>
  <c r="H51" i="102"/>
  <c r="D51" i="102"/>
  <c r="B51" i="102"/>
  <c r="X50" i="102"/>
  <c r="Z50" i="102" s="1"/>
  <c r="N50" i="102"/>
  <c r="L50" i="102"/>
  <c r="B50" i="102"/>
  <c r="X49" i="102"/>
  <c r="Z49" i="102" s="1"/>
  <c r="T49" i="102"/>
  <c r="P49" i="102"/>
  <c r="H49" i="102"/>
  <c r="D49" i="102"/>
  <c r="L49" i="102" s="1"/>
  <c r="N49" i="102" s="1"/>
  <c r="B49" i="102"/>
  <c r="Z48" i="102"/>
  <c r="X48" i="102"/>
  <c r="N48" i="102"/>
  <c r="L48" i="102"/>
  <c r="B48" i="102"/>
  <c r="T47" i="102"/>
  <c r="X47" i="102" s="1"/>
  <c r="Z47" i="102" s="1"/>
  <c r="P47" i="102"/>
  <c r="H47" i="102"/>
  <c r="D47" i="102"/>
  <c r="B47" i="102"/>
  <c r="Z46" i="102"/>
  <c r="X46" i="102"/>
  <c r="V46" i="102"/>
  <c r="N46" i="102"/>
  <c r="L46" i="102"/>
  <c r="B46" i="102"/>
  <c r="Z45" i="102"/>
  <c r="X45" i="102"/>
  <c r="R45" i="102"/>
  <c r="N45" i="102"/>
  <c r="L45" i="102"/>
  <c r="B45" i="102"/>
  <c r="Z44" i="102"/>
  <c r="X44" i="102"/>
  <c r="L44" i="102"/>
  <c r="N44" i="102" s="1"/>
  <c r="J44" i="102"/>
  <c r="B44" i="102"/>
  <c r="Z43" i="102"/>
  <c r="X43" i="102"/>
  <c r="L43" i="102"/>
  <c r="N43" i="102" s="1"/>
  <c r="B43" i="102"/>
  <c r="Z42" i="102"/>
  <c r="X42" i="102"/>
  <c r="V42" i="102"/>
  <c r="N42" i="102"/>
  <c r="L42" i="102"/>
  <c r="B42" i="102"/>
  <c r="Z41" i="102"/>
  <c r="X41" i="102"/>
  <c r="R41" i="102"/>
  <c r="N41" i="102"/>
  <c r="L41" i="102"/>
  <c r="B41" i="102"/>
  <c r="Z40" i="102"/>
  <c r="X40" i="102"/>
  <c r="L40" i="102"/>
  <c r="N40" i="102" s="1"/>
  <c r="J40" i="102"/>
  <c r="B40" i="102"/>
  <c r="Z39" i="102"/>
  <c r="X39" i="102"/>
  <c r="N39" i="102"/>
  <c r="L39" i="102"/>
  <c r="B39" i="102"/>
  <c r="Z38" i="102"/>
  <c r="X38" i="102"/>
  <c r="L38" i="102"/>
  <c r="N38" i="102" s="1"/>
  <c r="B38" i="102"/>
  <c r="Z37" i="102"/>
  <c r="X37" i="102"/>
  <c r="R37" i="102"/>
  <c r="N37" i="102"/>
  <c r="L37" i="102"/>
  <c r="B37" i="102"/>
  <c r="T36" i="102"/>
  <c r="P36" i="102"/>
  <c r="X36" i="102" s="1"/>
  <c r="Z36" i="102" s="1"/>
  <c r="J36" i="102"/>
  <c r="H36" i="102"/>
  <c r="D36" i="102"/>
  <c r="L36" i="102" s="1"/>
  <c r="N36" i="102" s="1"/>
  <c r="B36" i="102"/>
  <c r="X35" i="102"/>
  <c r="Z35" i="102" s="1"/>
  <c r="N35" i="102"/>
  <c r="L35" i="102"/>
  <c r="F35" i="102"/>
  <c r="B35" i="102"/>
  <c r="X34" i="102"/>
  <c r="Z34" i="102" s="1"/>
  <c r="N34" i="102"/>
  <c r="L34" i="102"/>
  <c r="F34" i="102"/>
  <c r="B34" i="102"/>
  <c r="X33" i="102"/>
  <c r="Z33" i="102" s="1"/>
  <c r="N33" i="102"/>
  <c r="L33" i="102"/>
  <c r="B33" i="102"/>
  <c r="Z32" i="102"/>
  <c r="X32" i="102"/>
  <c r="N32" i="102"/>
  <c r="L32" i="102"/>
  <c r="B32" i="102"/>
  <c r="X31" i="102"/>
  <c r="Z31" i="102" s="1"/>
  <c r="L31" i="102"/>
  <c r="N31" i="102" s="1"/>
  <c r="B31" i="102"/>
  <c r="X30" i="102"/>
  <c r="Z30" i="102" s="1"/>
  <c r="N30" i="102"/>
  <c r="L30" i="102"/>
  <c r="B30" i="102"/>
  <c r="X29" i="102"/>
  <c r="Z29" i="102" s="1"/>
  <c r="N29" i="102"/>
  <c r="L29" i="102"/>
  <c r="B29" i="102"/>
  <c r="X28" i="102"/>
  <c r="Z28" i="102" s="1"/>
  <c r="N28" i="102"/>
  <c r="L28" i="102"/>
  <c r="B28" i="102"/>
  <c r="X27" i="102"/>
  <c r="Z27" i="102" s="1"/>
  <c r="L27" i="102"/>
  <c r="N27" i="102" s="1"/>
  <c r="B27" i="102"/>
  <c r="X26" i="102"/>
  <c r="T26" i="102"/>
  <c r="Z26" i="102" s="1"/>
  <c r="P26" i="102"/>
  <c r="L26" i="102"/>
  <c r="J26" i="102"/>
  <c r="H26" i="102"/>
  <c r="N26" i="102" s="1"/>
  <c r="D26" i="102"/>
  <c r="B26" i="102"/>
  <c r="T25" i="102"/>
  <c r="P25" i="102"/>
  <c r="H25" i="102"/>
  <c r="H91" i="102" s="1"/>
  <c r="H95" i="102" s="1"/>
  <c r="D25" i="102"/>
  <c r="L25" i="102" s="1"/>
  <c r="N25" i="102" s="1"/>
  <c r="H23" i="102"/>
  <c r="Z21" i="102"/>
  <c r="X21" i="102"/>
  <c r="N21" i="102"/>
  <c r="L21" i="102"/>
  <c r="J21" i="102"/>
  <c r="B21" i="102"/>
  <c r="Z20" i="102"/>
  <c r="X20" i="102"/>
  <c r="N20" i="102"/>
  <c r="L20" i="102"/>
  <c r="J20" i="102"/>
  <c r="B20" i="102"/>
  <c r="Z19" i="102"/>
  <c r="X19" i="102"/>
  <c r="R19" i="102"/>
  <c r="N19" i="102"/>
  <c r="L19" i="102"/>
  <c r="J19" i="102"/>
  <c r="B19" i="102"/>
  <c r="T18" i="102"/>
  <c r="P18" i="102"/>
  <c r="N18" i="102"/>
  <c r="H18" i="102"/>
  <c r="L18" i="102" s="1"/>
  <c r="D18" i="102"/>
  <c r="P16" i="102"/>
  <c r="X16" i="102" s="1"/>
  <c r="Z16" i="102" s="1"/>
  <c r="N16" i="102"/>
  <c r="L16" i="102"/>
  <c r="D16" i="102"/>
  <c r="B16" i="102"/>
  <c r="Z15" i="102"/>
  <c r="P15" i="102"/>
  <c r="X15" i="102" s="1"/>
  <c r="N15" i="102"/>
  <c r="D15" i="102"/>
  <c r="L15" i="102" s="1"/>
  <c r="B15" i="102"/>
  <c r="Z14" i="102"/>
  <c r="X14" i="102"/>
  <c r="P14" i="102"/>
  <c r="P12" i="102" s="1"/>
  <c r="R93" i="102" s="1"/>
  <c r="N14" i="102"/>
  <c r="L14" i="102"/>
  <c r="D14" i="102"/>
  <c r="D12" i="102" s="1"/>
  <c r="B14" i="102"/>
  <c r="Z13" i="102"/>
  <c r="X13" i="102"/>
  <c r="P13" i="102"/>
  <c r="D13" i="102"/>
  <c r="L13" i="102" s="1"/>
  <c r="N13" i="102" s="1"/>
  <c r="B13" i="102"/>
  <c r="T12" i="102"/>
  <c r="V82" i="102" s="1"/>
  <c r="H12" i="102"/>
  <c r="D6" i="102"/>
  <c r="D4" i="102"/>
  <c r="X77" i="101"/>
  <c r="Z77" i="101" s="1"/>
  <c r="N77" i="101"/>
  <c r="L77" i="101"/>
  <c r="Z73" i="101"/>
  <c r="X73" i="101"/>
  <c r="P73" i="101"/>
  <c r="N73" i="101"/>
  <c r="L73" i="101"/>
  <c r="D73" i="101"/>
  <c r="D72" i="101" s="1"/>
  <c r="B73" i="101"/>
  <c r="T72" i="101"/>
  <c r="Z72" i="101" s="1"/>
  <c r="P72" i="101"/>
  <c r="H72" i="101"/>
  <c r="Z70" i="101"/>
  <c r="X70" i="101"/>
  <c r="N70" i="101"/>
  <c r="L70" i="101"/>
  <c r="B70" i="101"/>
  <c r="Z69" i="101"/>
  <c r="X69" i="101"/>
  <c r="N69" i="101"/>
  <c r="L69" i="101"/>
  <c r="B69" i="101"/>
  <c r="T68" i="101"/>
  <c r="P68" i="101"/>
  <c r="H68" i="101"/>
  <c r="D68" i="101"/>
  <c r="B68" i="101"/>
  <c r="Z67" i="101"/>
  <c r="X67" i="101"/>
  <c r="V67" i="101"/>
  <c r="N67" i="101"/>
  <c r="L67" i="101"/>
  <c r="B67" i="101"/>
  <c r="Z66" i="101"/>
  <c r="X66" i="101"/>
  <c r="N66" i="101"/>
  <c r="L66" i="101"/>
  <c r="B66" i="101"/>
  <c r="Z65" i="101"/>
  <c r="X65" i="101"/>
  <c r="N65" i="101"/>
  <c r="L65" i="101"/>
  <c r="B65" i="101"/>
  <c r="Z64" i="101"/>
  <c r="X64" i="101"/>
  <c r="N64" i="101"/>
  <c r="L64" i="101"/>
  <c r="B64" i="101"/>
  <c r="V63" i="101"/>
  <c r="T63" i="101"/>
  <c r="P63" i="101"/>
  <c r="X63" i="101" s="1"/>
  <c r="Z63" i="101" s="1"/>
  <c r="N63" i="101"/>
  <c r="H63" i="101"/>
  <c r="D63" i="101"/>
  <c r="L63" i="101" s="1"/>
  <c r="B63" i="101"/>
  <c r="X62" i="101"/>
  <c r="Z62" i="101" s="1"/>
  <c r="N62" i="101"/>
  <c r="L62" i="101"/>
  <c r="B62" i="101"/>
  <c r="X61" i="101"/>
  <c r="V61" i="101"/>
  <c r="T61" i="101"/>
  <c r="Z61" i="101" s="1"/>
  <c r="P61" i="101"/>
  <c r="L61" i="101"/>
  <c r="H61" i="101"/>
  <c r="N61" i="101" s="1"/>
  <c r="D61" i="101"/>
  <c r="B61" i="101"/>
  <c r="Z60" i="101"/>
  <c r="X60" i="101"/>
  <c r="N60" i="101"/>
  <c r="L60" i="101"/>
  <c r="B60" i="101"/>
  <c r="Z59" i="101"/>
  <c r="X59" i="101"/>
  <c r="N59" i="101"/>
  <c r="L59" i="101"/>
  <c r="B59" i="101"/>
  <c r="T58" i="101"/>
  <c r="P58" i="101"/>
  <c r="N58" i="101"/>
  <c r="H58" i="101"/>
  <c r="L58" i="101" s="1"/>
  <c r="D58" i="101"/>
  <c r="B58" i="101"/>
  <c r="X57" i="101"/>
  <c r="Z57" i="101" s="1"/>
  <c r="N57" i="101"/>
  <c r="L57" i="101"/>
  <c r="B57" i="101"/>
  <c r="Z56" i="101"/>
  <c r="X56" i="101"/>
  <c r="N56" i="101"/>
  <c r="L56" i="101"/>
  <c r="B56" i="101"/>
  <c r="V55" i="101"/>
  <c r="T55" i="101"/>
  <c r="P55" i="101"/>
  <c r="X55" i="101" s="1"/>
  <c r="Z55" i="101" s="1"/>
  <c r="H55" i="101"/>
  <c r="N55" i="101" s="1"/>
  <c r="D55" i="101"/>
  <c r="L55" i="101" s="1"/>
  <c r="B55" i="101"/>
  <c r="Z54" i="101"/>
  <c r="X54" i="101"/>
  <c r="N54" i="101"/>
  <c r="L54" i="101"/>
  <c r="B54" i="101"/>
  <c r="X53" i="101"/>
  <c r="V53" i="101"/>
  <c r="T53" i="101"/>
  <c r="Z53" i="101" s="1"/>
  <c r="P53" i="101"/>
  <c r="L53" i="101"/>
  <c r="H53" i="101"/>
  <c r="N53" i="101" s="1"/>
  <c r="D53" i="101"/>
  <c r="B53" i="101"/>
  <c r="X52" i="101"/>
  <c r="Z52" i="101" s="1"/>
  <c r="N52" i="101"/>
  <c r="L52" i="101"/>
  <c r="B52" i="101"/>
  <c r="T51" i="101"/>
  <c r="P51" i="101"/>
  <c r="N51" i="101"/>
  <c r="H51" i="101"/>
  <c r="D51" i="101"/>
  <c r="L51" i="101" s="1"/>
  <c r="B51" i="101"/>
  <c r="Z50" i="101"/>
  <c r="X50" i="101"/>
  <c r="N50" i="101"/>
  <c r="L50" i="101"/>
  <c r="B50" i="101"/>
  <c r="T49" i="101"/>
  <c r="Z49" i="101" s="1"/>
  <c r="P49" i="101"/>
  <c r="X49" i="101" s="1"/>
  <c r="N49" i="101"/>
  <c r="H49" i="101"/>
  <c r="D49" i="101"/>
  <c r="L49" i="101" s="1"/>
  <c r="B49" i="101"/>
  <c r="X48" i="101"/>
  <c r="Z48" i="101" s="1"/>
  <c r="N48" i="101"/>
  <c r="L48" i="101"/>
  <c r="B48" i="101"/>
  <c r="X47" i="101"/>
  <c r="T47" i="101"/>
  <c r="P47" i="101"/>
  <c r="L47" i="101"/>
  <c r="H47" i="101"/>
  <c r="N47" i="101" s="1"/>
  <c r="D47" i="101"/>
  <c r="B47" i="101"/>
  <c r="Z46" i="101"/>
  <c r="X46" i="101"/>
  <c r="N46" i="101"/>
  <c r="L46" i="101"/>
  <c r="B46" i="101"/>
  <c r="T45" i="101"/>
  <c r="P45" i="101"/>
  <c r="N45" i="101"/>
  <c r="H45" i="101"/>
  <c r="D45" i="101"/>
  <c r="L45" i="101" s="1"/>
  <c r="B45" i="101"/>
  <c r="Z44" i="101"/>
  <c r="X44" i="101"/>
  <c r="V44" i="101"/>
  <c r="N44" i="101"/>
  <c r="L44" i="101"/>
  <c r="B44" i="101"/>
  <c r="Z43" i="101"/>
  <c r="X43" i="101"/>
  <c r="N43" i="101"/>
  <c r="L43" i="101"/>
  <c r="B43" i="101"/>
  <c r="Z42" i="101"/>
  <c r="X42" i="101"/>
  <c r="V42" i="101"/>
  <c r="N42" i="101"/>
  <c r="L42" i="101"/>
  <c r="B42" i="101"/>
  <c r="Z41" i="101"/>
  <c r="X41" i="101"/>
  <c r="N41" i="101"/>
  <c r="L41" i="101"/>
  <c r="B41" i="101"/>
  <c r="Z40" i="101"/>
  <c r="X40" i="101"/>
  <c r="V40" i="101"/>
  <c r="N40" i="101"/>
  <c r="L40" i="101"/>
  <c r="B40" i="101"/>
  <c r="X39" i="101"/>
  <c r="Z39" i="101" s="1"/>
  <c r="V39" i="101"/>
  <c r="L39" i="101"/>
  <c r="N39" i="101" s="1"/>
  <c r="B39" i="101"/>
  <c r="Z38" i="101"/>
  <c r="X38" i="101"/>
  <c r="V38" i="101"/>
  <c r="N38" i="101"/>
  <c r="L38" i="101"/>
  <c r="B38" i="101"/>
  <c r="Z37" i="101"/>
  <c r="X37" i="101"/>
  <c r="N37" i="101"/>
  <c r="L37" i="101"/>
  <c r="B37" i="101"/>
  <c r="Z36" i="101"/>
  <c r="X36" i="101"/>
  <c r="V36" i="101"/>
  <c r="N36" i="101"/>
  <c r="L36" i="101"/>
  <c r="B36" i="101"/>
  <c r="Z35" i="101"/>
  <c r="X35" i="101"/>
  <c r="V35" i="101"/>
  <c r="N35" i="101"/>
  <c r="L35" i="101"/>
  <c r="B35" i="101"/>
  <c r="V34" i="101"/>
  <c r="T34" i="101"/>
  <c r="P34" i="101"/>
  <c r="X34" i="101" s="1"/>
  <c r="H34" i="101"/>
  <c r="D34" i="101"/>
  <c r="L34" i="101" s="1"/>
  <c r="N34" i="101" s="1"/>
  <c r="B34" i="101"/>
  <c r="X33" i="101"/>
  <c r="Z33" i="101" s="1"/>
  <c r="L33" i="101"/>
  <c r="N33" i="101" s="1"/>
  <c r="J33" i="101"/>
  <c r="B33" i="101"/>
  <c r="Z32" i="101"/>
  <c r="X32" i="101"/>
  <c r="N32" i="101"/>
  <c r="L32" i="101"/>
  <c r="B32" i="101"/>
  <c r="Z31" i="101"/>
  <c r="X31" i="101"/>
  <c r="N31" i="101"/>
  <c r="L31" i="101"/>
  <c r="B31" i="101"/>
  <c r="Z30" i="101"/>
  <c r="X30" i="101"/>
  <c r="V30" i="101"/>
  <c r="N30" i="101"/>
  <c r="L30" i="101"/>
  <c r="B30" i="101"/>
  <c r="X29" i="101"/>
  <c r="Z29" i="101" s="1"/>
  <c r="V29" i="101"/>
  <c r="N29" i="101"/>
  <c r="L29" i="101"/>
  <c r="F29" i="101"/>
  <c r="B29" i="101"/>
  <c r="Z28" i="101"/>
  <c r="X28" i="101"/>
  <c r="V28" i="101"/>
  <c r="N28" i="101"/>
  <c r="L28" i="101"/>
  <c r="B28" i="101"/>
  <c r="Z27" i="101"/>
  <c r="X27" i="101"/>
  <c r="N27" i="101"/>
  <c r="L27" i="101"/>
  <c r="B27" i="101"/>
  <c r="Z26" i="101"/>
  <c r="X26" i="101"/>
  <c r="V26" i="101"/>
  <c r="N26" i="101"/>
  <c r="L26" i="101"/>
  <c r="B26" i="101"/>
  <c r="V25" i="101"/>
  <c r="T25" i="101"/>
  <c r="P25" i="101"/>
  <c r="X25" i="101" s="1"/>
  <c r="Z25" i="101" s="1"/>
  <c r="L25" i="101"/>
  <c r="H25" i="101"/>
  <c r="N25" i="101" s="1"/>
  <c r="D25" i="101"/>
  <c r="B25" i="101"/>
  <c r="X24" i="101"/>
  <c r="T24" i="101"/>
  <c r="P24" i="101"/>
  <c r="H24" i="101"/>
  <c r="N24" i="101" s="1"/>
  <c r="D24" i="101"/>
  <c r="L24" i="101" s="1"/>
  <c r="Z20" i="101"/>
  <c r="X20" i="101"/>
  <c r="N20" i="101"/>
  <c r="L20" i="101"/>
  <c r="J20" i="101"/>
  <c r="B20" i="101"/>
  <c r="Z19" i="101"/>
  <c r="X19" i="101"/>
  <c r="V19" i="101"/>
  <c r="N19" i="101"/>
  <c r="L19" i="101"/>
  <c r="J19" i="101"/>
  <c r="B19" i="101"/>
  <c r="Z18" i="101"/>
  <c r="X18" i="101"/>
  <c r="V18" i="101"/>
  <c r="N18" i="101"/>
  <c r="L18" i="101"/>
  <c r="F18" i="101"/>
  <c r="B18" i="101"/>
  <c r="T17" i="101"/>
  <c r="V17" i="101" s="1"/>
  <c r="P17" i="101"/>
  <c r="X17" i="101" s="1"/>
  <c r="N17" i="101"/>
  <c r="L17" i="101"/>
  <c r="H17" i="101"/>
  <c r="F17" i="101"/>
  <c r="D17" i="101"/>
  <c r="Z15" i="101"/>
  <c r="P15" i="101"/>
  <c r="X15" i="101" s="1"/>
  <c r="N15" i="101"/>
  <c r="D15" i="101"/>
  <c r="L15" i="101" s="1"/>
  <c r="B15" i="101"/>
  <c r="Z14" i="101"/>
  <c r="X14" i="101"/>
  <c r="P14" i="101"/>
  <c r="N14" i="101"/>
  <c r="D14" i="101"/>
  <c r="L14" i="101" s="1"/>
  <c r="B14" i="101"/>
  <c r="X13" i="101"/>
  <c r="Z13" i="101" s="1"/>
  <c r="P13" i="101"/>
  <c r="N13" i="101"/>
  <c r="L13" i="101"/>
  <c r="D13" i="101"/>
  <c r="D12" i="101" s="1"/>
  <c r="F73" i="101" s="1"/>
  <c r="B13" i="101"/>
  <c r="T12" i="101"/>
  <c r="P12" i="101"/>
  <c r="H12" i="101"/>
  <c r="J41" i="101" s="1"/>
  <c r="D6" i="101"/>
  <c r="D4" i="101"/>
  <c r="J60" i="100"/>
  <c r="J57" i="100"/>
  <c r="Z55" i="100"/>
  <c r="X55" i="100"/>
  <c r="R55" i="100"/>
  <c r="N55" i="100"/>
  <c r="L55" i="100"/>
  <c r="Z51" i="100"/>
  <c r="R51" i="100"/>
  <c r="P51" i="100"/>
  <c r="X51" i="100" s="1"/>
  <c r="J51" i="100"/>
  <c r="D51" i="100"/>
  <c r="B51" i="100"/>
  <c r="X50" i="100"/>
  <c r="T50" i="100"/>
  <c r="R50" i="100"/>
  <c r="P50" i="100"/>
  <c r="J50" i="100"/>
  <c r="H50" i="100"/>
  <c r="X48" i="100"/>
  <c r="Z48" i="100" s="1"/>
  <c r="R48" i="100"/>
  <c r="N48" i="100"/>
  <c r="L48" i="100"/>
  <c r="B48" i="100"/>
  <c r="X47" i="100"/>
  <c r="T47" i="100"/>
  <c r="R47" i="100"/>
  <c r="P47" i="100"/>
  <c r="H47" i="100"/>
  <c r="D47" i="100"/>
  <c r="L47" i="100" s="1"/>
  <c r="N47" i="100" s="1"/>
  <c r="B47" i="100"/>
  <c r="Z46" i="100"/>
  <c r="X46" i="100"/>
  <c r="R46" i="100"/>
  <c r="N46" i="100"/>
  <c r="L46" i="100"/>
  <c r="B46" i="100"/>
  <c r="X45" i="100"/>
  <c r="T45" i="100"/>
  <c r="Z45" i="100" s="1"/>
  <c r="P45" i="100"/>
  <c r="N45" i="100"/>
  <c r="H45" i="100"/>
  <c r="D45" i="100"/>
  <c r="L45" i="100" s="1"/>
  <c r="B45" i="100"/>
  <c r="Z44" i="100"/>
  <c r="X44" i="100"/>
  <c r="N44" i="100"/>
  <c r="L44" i="100"/>
  <c r="B44" i="100"/>
  <c r="T43" i="100"/>
  <c r="P43" i="100"/>
  <c r="X43" i="100" s="1"/>
  <c r="N43" i="100"/>
  <c r="J43" i="100"/>
  <c r="H43" i="100"/>
  <c r="D43" i="100"/>
  <c r="L43" i="100" s="1"/>
  <c r="B43" i="100"/>
  <c r="Z42" i="100"/>
  <c r="X42" i="100"/>
  <c r="V42" i="100"/>
  <c r="N42" i="100"/>
  <c r="L42" i="100"/>
  <c r="B42" i="100"/>
  <c r="T41" i="100"/>
  <c r="P41" i="100"/>
  <c r="X41" i="100" s="1"/>
  <c r="Z41" i="100" s="1"/>
  <c r="L41" i="100"/>
  <c r="H41" i="100"/>
  <c r="N41" i="100" s="1"/>
  <c r="D41" i="100"/>
  <c r="B41" i="100"/>
  <c r="Z40" i="100"/>
  <c r="X40" i="100"/>
  <c r="N40" i="100"/>
  <c r="L40" i="100"/>
  <c r="J40" i="100"/>
  <c r="B40" i="100"/>
  <c r="Z39" i="100"/>
  <c r="X39" i="100"/>
  <c r="R39" i="100"/>
  <c r="N39" i="100"/>
  <c r="L39" i="100"/>
  <c r="B39" i="100"/>
  <c r="Z38" i="100"/>
  <c r="X38" i="100"/>
  <c r="R38" i="100"/>
  <c r="N38" i="100"/>
  <c r="L38" i="100"/>
  <c r="B38" i="100"/>
  <c r="Z37" i="100"/>
  <c r="X37" i="100"/>
  <c r="R37" i="100"/>
  <c r="N37" i="100"/>
  <c r="L37" i="100"/>
  <c r="J37" i="100"/>
  <c r="B37" i="100"/>
  <c r="Z36" i="100"/>
  <c r="X36" i="100"/>
  <c r="N36" i="100"/>
  <c r="L36" i="100"/>
  <c r="J36" i="100"/>
  <c r="B36" i="100"/>
  <c r="Z35" i="100"/>
  <c r="X35" i="100"/>
  <c r="R35" i="100"/>
  <c r="N35" i="100"/>
  <c r="L35" i="100"/>
  <c r="F35" i="100"/>
  <c r="B35" i="100"/>
  <c r="Z34" i="100"/>
  <c r="X34" i="100"/>
  <c r="R34" i="100"/>
  <c r="N34" i="100"/>
  <c r="L34" i="100"/>
  <c r="B34" i="100"/>
  <c r="Z33" i="100"/>
  <c r="X33" i="100"/>
  <c r="R33" i="100"/>
  <c r="N33" i="100"/>
  <c r="L33" i="100"/>
  <c r="J33" i="100"/>
  <c r="B33" i="100"/>
  <c r="Z32" i="100"/>
  <c r="X32" i="100"/>
  <c r="R32" i="100"/>
  <c r="N32" i="100"/>
  <c r="L32" i="100"/>
  <c r="J32" i="100"/>
  <c r="B32" i="100"/>
  <c r="Z31" i="100"/>
  <c r="X31" i="100"/>
  <c r="R31" i="100"/>
  <c r="N31" i="100"/>
  <c r="L31" i="100"/>
  <c r="B31" i="100"/>
  <c r="Z30" i="100"/>
  <c r="T30" i="100"/>
  <c r="P30" i="100"/>
  <c r="X30" i="100" s="1"/>
  <c r="N30" i="100"/>
  <c r="L30" i="100"/>
  <c r="H30" i="100"/>
  <c r="F30" i="100"/>
  <c r="D30" i="100"/>
  <c r="B30" i="100"/>
  <c r="X29" i="100"/>
  <c r="Z29" i="100" s="1"/>
  <c r="V29" i="100"/>
  <c r="N29" i="100"/>
  <c r="L29" i="100"/>
  <c r="B29" i="100"/>
  <c r="Z28" i="100"/>
  <c r="X28" i="100"/>
  <c r="R28" i="100"/>
  <c r="N28" i="100"/>
  <c r="L28" i="100"/>
  <c r="B28" i="100"/>
  <c r="Z27" i="100"/>
  <c r="X27" i="100"/>
  <c r="R27" i="100"/>
  <c r="L27" i="100"/>
  <c r="N27" i="100" s="1"/>
  <c r="B27" i="100"/>
  <c r="Z26" i="100"/>
  <c r="X26" i="100"/>
  <c r="R26" i="100"/>
  <c r="N26" i="100"/>
  <c r="L26" i="100"/>
  <c r="J26" i="100"/>
  <c r="B26" i="100"/>
  <c r="X25" i="100"/>
  <c r="Z25" i="100" s="1"/>
  <c r="V25" i="100"/>
  <c r="L25" i="100"/>
  <c r="N25" i="100" s="1"/>
  <c r="B25" i="100"/>
  <c r="Z24" i="100"/>
  <c r="X24" i="100"/>
  <c r="R24" i="100"/>
  <c r="L24" i="100"/>
  <c r="N24" i="100" s="1"/>
  <c r="B24" i="100"/>
  <c r="Z23" i="100"/>
  <c r="X23" i="100"/>
  <c r="R23" i="100"/>
  <c r="L23" i="100"/>
  <c r="N23" i="100" s="1"/>
  <c r="B23" i="100"/>
  <c r="X22" i="100"/>
  <c r="Z22" i="100" s="1"/>
  <c r="R22" i="100"/>
  <c r="L22" i="100"/>
  <c r="N22" i="100" s="1"/>
  <c r="J22" i="100"/>
  <c r="B22" i="100"/>
  <c r="X21" i="100"/>
  <c r="Z21" i="100" s="1"/>
  <c r="V21" i="100"/>
  <c r="L21" i="100"/>
  <c r="N21" i="100" s="1"/>
  <c r="B21" i="100"/>
  <c r="V20" i="100"/>
  <c r="T20" i="100"/>
  <c r="R20" i="100"/>
  <c r="P20" i="100"/>
  <c r="X20" i="100" s="1"/>
  <c r="Z20" i="100" s="1"/>
  <c r="L20" i="100"/>
  <c r="J20" i="100"/>
  <c r="H20" i="100"/>
  <c r="N20" i="100" s="1"/>
  <c r="D20" i="100"/>
  <c r="B20" i="100"/>
  <c r="T19" i="100"/>
  <c r="X19" i="100" s="1"/>
  <c r="R19" i="100"/>
  <c r="P19" i="100"/>
  <c r="H19" i="100"/>
  <c r="D19" i="100"/>
  <c r="L19" i="100" s="1"/>
  <c r="N19" i="100" s="1"/>
  <c r="R17" i="100"/>
  <c r="Z15" i="100"/>
  <c r="X15" i="100"/>
  <c r="R15" i="100"/>
  <c r="N15" i="100"/>
  <c r="L15" i="100"/>
  <c r="J15" i="100"/>
  <c r="B15" i="100"/>
  <c r="Z14" i="100"/>
  <c r="X14" i="100"/>
  <c r="V14" i="100"/>
  <c r="T14" i="100"/>
  <c r="R14" i="100"/>
  <c r="P14" i="100"/>
  <c r="L14" i="100"/>
  <c r="H14" i="100"/>
  <c r="N14" i="100" s="1"/>
  <c r="D14" i="100"/>
  <c r="T12" i="100"/>
  <c r="V24" i="100" s="1"/>
  <c r="P12" i="100"/>
  <c r="R45" i="100" s="1"/>
  <c r="N12" i="100"/>
  <c r="H12" i="100"/>
  <c r="J55" i="100" s="1"/>
  <c r="D12" i="100"/>
  <c r="F50" i="100" s="1"/>
  <c r="D6" i="100"/>
  <c r="D4" i="100"/>
  <c r="Z49" i="99"/>
  <c r="X49" i="99"/>
  <c r="N49" i="99"/>
  <c r="L49" i="99"/>
  <c r="J49" i="99"/>
  <c r="J47" i="99"/>
  <c r="X45" i="99"/>
  <c r="T45" i="99"/>
  <c r="Z45" i="99" s="1"/>
  <c r="P45" i="99"/>
  <c r="N45" i="99"/>
  <c r="L45" i="99"/>
  <c r="J45" i="99"/>
  <c r="H45" i="99"/>
  <c r="D45" i="99"/>
  <c r="Z43" i="99"/>
  <c r="X43" i="99"/>
  <c r="N43" i="99"/>
  <c r="L43" i="99"/>
  <c r="B43" i="99"/>
  <c r="X42" i="99"/>
  <c r="T42" i="99"/>
  <c r="Z42" i="99" s="1"/>
  <c r="P42" i="99"/>
  <c r="N42" i="99"/>
  <c r="H42" i="99"/>
  <c r="D42" i="99"/>
  <c r="L42" i="99" s="1"/>
  <c r="B42" i="99"/>
  <c r="Z41" i="99"/>
  <c r="X41" i="99"/>
  <c r="N41" i="99"/>
  <c r="L41" i="99"/>
  <c r="J41" i="99"/>
  <c r="B41" i="99"/>
  <c r="Z40" i="99"/>
  <c r="X40" i="99"/>
  <c r="R40" i="99"/>
  <c r="N40" i="99"/>
  <c r="L40" i="99"/>
  <c r="J40" i="99"/>
  <c r="B40" i="99"/>
  <c r="Z39" i="99"/>
  <c r="X39" i="99"/>
  <c r="T39" i="99"/>
  <c r="P39" i="99"/>
  <c r="N39" i="99"/>
  <c r="H39" i="99"/>
  <c r="D39" i="99"/>
  <c r="L39" i="99" s="1"/>
  <c r="B39" i="99"/>
  <c r="Z38" i="99"/>
  <c r="X38" i="99"/>
  <c r="N38" i="99"/>
  <c r="L38" i="99"/>
  <c r="B38" i="99"/>
  <c r="X37" i="99"/>
  <c r="V37" i="99"/>
  <c r="T37" i="99"/>
  <c r="Z37" i="99" s="1"/>
  <c r="P37" i="99"/>
  <c r="N37" i="99"/>
  <c r="J37" i="99"/>
  <c r="H37" i="99"/>
  <c r="D37" i="99"/>
  <c r="L37" i="99" s="1"/>
  <c r="B37" i="99"/>
  <c r="Z36" i="99"/>
  <c r="X36" i="99"/>
  <c r="N36" i="99"/>
  <c r="L36" i="99"/>
  <c r="B36" i="99"/>
  <c r="T35" i="99"/>
  <c r="Z35" i="99" s="1"/>
  <c r="P35" i="99"/>
  <c r="N35" i="99"/>
  <c r="L35" i="99"/>
  <c r="J35" i="99"/>
  <c r="H35" i="99"/>
  <c r="D35" i="99"/>
  <c r="B35" i="99"/>
  <c r="Z34" i="99"/>
  <c r="X34" i="99"/>
  <c r="V34" i="99"/>
  <c r="N34" i="99"/>
  <c r="L34" i="99"/>
  <c r="B34" i="99"/>
  <c r="Z33" i="99"/>
  <c r="X33" i="99"/>
  <c r="R33" i="99"/>
  <c r="N33" i="99"/>
  <c r="L33" i="99"/>
  <c r="J33" i="99"/>
  <c r="B33" i="99"/>
  <c r="Z32" i="99"/>
  <c r="X32" i="99"/>
  <c r="R32" i="99"/>
  <c r="N32" i="99"/>
  <c r="L32" i="99"/>
  <c r="J32" i="99"/>
  <c r="B32" i="99"/>
  <c r="Z31" i="99"/>
  <c r="X31" i="99"/>
  <c r="N31" i="99"/>
  <c r="L31" i="99"/>
  <c r="J31" i="99"/>
  <c r="B31" i="99"/>
  <c r="Z30" i="99"/>
  <c r="V30" i="99"/>
  <c r="T30" i="99"/>
  <c r="P30" i="99"/>
  <c r="H30" i="99"/>
  <c r="N30" i="99" s="1"/>
  <c r="D30" i="99"/>
  <c r="B30" i="99"/>
  <c r="Z29" i="99"/>
  <c r="X29" i="99"/>
  <c r="V29" i="99"/>
  <c r="N29" i="99"/>
  <c r="L29" i="99"/>
  <c r="J29" i="99"/>
  <c r="B29" i="99"/>
  <c r="Z28" i="99"/>
  <c r="X28" i="99"/>
  <c r="V28" i="99"/>
  <c r="N28" i="99"/>
  <c r="L28" i="99"/>
  <c r="B28" i="99"/>
  <c r="Z27" i="99"/>
  <c r="X27" i="99"/>
  <c r="V27" i="99"/>
  <c r="N27" i="99"/>
  <c r="L27" i="99"/>
  <c r="B27" i="99"/>
  <c r="Z26" i="99"/>
  <c r="X26" i="99"/>
  <c r="R26" i="99"/>
  <c r="N26" i="99"/>
  <c r="L26" i="99"/>
  <c r="B26" i="99"/>
  <c r="Z25" i="99"/>
  <c r="X25" i="99"/>
  <c r="V25" i="99"/>
  <c r="N25" i="99"/>
  <c r="L25" i="99"/>
  <c r="J25" i="99"/>
  <c r="B25" i="99"/>
  <c r="Z24" i="99"/>
  <c r="X24" i="99"/>
  <c r="V24" i="99"/>
  <c r="N24" i="99"/>
  <c r="L24" i="99"/>
  <c r="B24" i="99"/>
  <c r="Z23" i="99"/>
  <c r="X23" i="99"/>
  <c r="V23" i="99"/>
  <c r="N23" i="99"/>
  <c r="L23" i="99"/>
  <c r="B23" i="99"/>
  <c r="T22" i="99"/>
  <c r="Z22" i="99" s="1"/>
  <c r="P22" i="99"/>
  <c r="X22" i="99" s="1"/>
  <c r="N22" i="99"/>
  <c r="J22" i="99"/>
  <c r="H22" i="99"/>
  <c r="D22" i="99"/>
  <c r="L22" i="99" s="1"/>
  <c r="B22" i="99"/>
  <c r="V21" i="99"/>
  <c r="T21" i="99"/>
  <c r="Z21" i="99" s="1"/>
  <c r="P21" i="99"/>
  <c r="H21" i="99"/>
  <c r="N21" i="99" s="1"/>
  <c r="D21" i="99"/>
  <c r="V19" i="99"/>
  <c r="H19" i="99"/>
  <c r="Z17" i="99"/>
  <c r="X17" i="99"/>
  <c r="V17" i="99"/>
  <c r="N17" i="99"/>
  <c r="L17" i="99"/>
  <c r="J17" i="99"/>
  <c r="B17" i="99"/>
  <c r="Z16" i="99"/>
  <c r="X16" i="99"/>
  <c r="T16" i="99"/>
  <c r="P16" i="99"/>
  <c r="L16" i="99"/>
  <c r="H16" i="99"/>
  <c r="N16" i="99" s="1"/>
  <c r="D16" i="99"/>
  <c r="Z14" i="99"/>
  <c r="X14" i="99"/>
  <c r="P14" i="99"/>
  <c r="N14" i="99"/>
  <c r="D14" i="99"/>
  <c r="L14" i="99" s="1"/>
  <c r="B14" i="99"/>
  <c r="Z13" i="99"/>
  <c r="P13" i="99"/>
  <c r="X13" i="99" s="1"/>
  <c r="N13" i="99"/>
  <c r="D13" i="99"/>
  <c r="B13" i="99"/>
  <c r="T12" i="99"/>
  <c r="V42" i="99" s="1"/>
  <c r="P12" i="99"/>
  <c r="H12" i="99"/>
  <c r="J38" i="99" s="1"/>
  <c r="D6" i="99"/>
  <c r="D4" i="99"/>
  <c r="Z96" i="98"/>
  <c r="X96" i="98"/>
  <c r="L96" i="98"/>
  <c r="N96" i="98" s="1"/>
  <c r="T92" i="98"/>
  <c r="Z92" i="98" s="1"/>
  <c r="P92" i="98"/>
  <c r="X92" i="98" s="1"/>
  <c r="H92" i="98"/>
  <c r="N92" i="98" s="1"/>
  <c r="D92" i="98"/>
  <c r="L92" i="98" s="1"/>
  <c r="X90" i="98"/>
  <c r="Z90" i="98" s="1"/>
  <c r="N90" i="98"/>
  <c r="L90" i="98"/>
  <c r="B90" i="98"/>
  <c r="Z89" i="98"/>
  <c r="T89" i="98"/>
  <c r="P89" i="98"/>
  <c r="X89" i="98" s="1"/>
  <c r="L89" i="98"/>
  <c r="H89" i="98"/>
  <c r="N89" i="98" s="1"/>
  <c r="D89" i="98"/>
  <c r="B89" i="98"/>
  <c r="X88" i="98"/>
  <c r="Z88" i="98" s="1"/>
  <c r="N88" i="98"/>
  <c r="L88" i="98"/>
  <c r="B88" i="98"/>
  <c r="X87" i="98"/>
  <c r="T87" i="98"/>
  <c r="Z87" i="98" s="1"/>
  <c r="P87" i="98"/>
  <c r="L87" i="98"/>
  <c r="H87" i="98"/>
  <c r="D87" i="98"/>
  <c r="B87" i="98"/>
  <c r="X86" i="98"/>
  <c r="Z86" i="98" s="1"/>
  <c r="L86" i="98"/>
  <c r="N86" i="98" s="1"/>
  <c r="B86" i="98"/>
  <c r="Z85" i="98"/>
  <c r="T85" i="98"/>
  <c r="X85" i="98" s="1"/>
  <c r="P85" i="98"/>
  <c r="H85" i="98"/>
  <c r="D85" i="98"/>
  <c r="B85" i="98"/>
  <c r="Z84" i="98"/>
  <c r="X84" i="98"/>
  <c r="L84" i="98"/>
  <c r="N84" i="98" s="1"/>
  <c r="B84" i="98"/>
  <c r="X83" i="98"/>
  <c r="Z83" i="98" s="1"/>
  <c r="N83" i="98"/>
  <c r="L83" i="98"/>
  <c r="J83" i="98"/>
  <c r="B83" i="98"/>
  <c r="Z82" i="98"/>
  <c r="X82" i="98"/>
  <c r="N82" i="98"/>
  <c r="L82" i="98"/>
  <c r="B82" i="98"/>
  <c r="Z81" i="98"/>
  <c r="X81" i="98"/>
  <c r="L81" i="98"/>
  <c r="N81" i="98" s="1"/>
  <c r="B81" i="98"/>
  <c r="Z80" i="98"/>
  <c r="X80" i="98"/>
  <c r="L80" i="98"/>
  <c r="N80" i="98" s="1"/>
  <c r="B80" i="98"/>
  <c r="X79" i="98"/>
  <c r="Z79" i="98" s="1"/>
  <c r="N79" i="98"/>
  <c r="L79" i="98"/>
  <c r="J79" i="98"/>
  <c r="B79" i="98"/>
  <c r="X78" i="98"/>
  <c r="Z78" i="98" s="1"/>
  <c r="N78" i="98"/>
  <c r="L78" i="98"/>
  <c r="B78" i="98"/>
  <c r="Z77" i="98"/>
  <c r="T77" i="98"/>
  <c r="P77" i="98"/>
  <c r="X77" i="98" s="1"/>
  <c r="L77" i="98"/>
  <c r="J77" i="98"/>
  <c r="H77" i="98"/>
  <c r="D77" i="98"/>
  <c r="B77" i="98"/>
  <c r="X76" i="98"/>
  <c r="Z76" i="98" s="1"/>
  <c r="N76" i="98"/>
  <c r="L76" i="98"/>
  <c r="B76" i="98"/>
  <c r="Z75" i="98"/>
  <c r="X75" i="98"/>
  <c r="V75" i="98"/>
  <c r="N75" i="98"/>
  <c r="L75" i="98"/>
  <c r="B75" i="98"/>
  <c r="Z74" i="98"/>
  <c r="X74" i="98"/>
  <c r="T74" i="98"/>
  <c r="P74" i="98"/>
  <c r="L74" i="98"/>
  <c r="H74" i="98"/>
  <c r="N74" i="98" s="1"/>
  <c r="D74" i="98"/>
  <c r="B74" i="98"/>
  <c r="X73" i="98"/>
  <c r="Z73" i="98" s="1"/>
  <c r="N73" i="98"/>
  <c r="L73" i="98"/>
  <c r="B73" i="98"/>
  <c r="Z72" i="98"/>
  <c r="X72" i="98"/>
  <c r="N72" i="98"/>
  <c r="L72" i="98"/>
  <c r="J72" i="98"/>
  <c r="B72" i="98"/>
  <c r="Z71" i="98"/>
  <c r="X71" i="98"/>
  <c r="L71" i="98"/>
  <c r="N71" i="98" s="1"/>
  <c r="B71" i="98"/>
  <c r="X70" i="98"/>
  <c r="T70" i="98"/>
  <c r="Z70" i="98" s="1"/>
  <c r="P70" i="98"/>
  <c r="H70" i="98"/>
  <c r="D70" i="98"/>
  <c r="L70" i="98" s="1"/>
  <c r="N70" i="98" s="1"/>
  <c r="B70" i="98"/>
  <c r="Z69" i="98"/>
  <c r="X69" i="98"/>
  <c r="N69" i="98"/>
  <c r="L69" i="98"/>
  <c r="B69" i="98"/>
  <c r="Z68" i="98"/>
  <c r="X68" i="98"/>
  <c r="V68" i="98"/>
  <c r="L68" i="98"/>
  <c r="N68" i="98" s="1"/>
  <c r="B68" i="98"/>
  <c r="Z67" i="98"/>
  <c r="X67" i="98"/>
  <c r="N67" i="98"/>
  <c r="L67" i="98"/>
  <c r="B67" i="98"/>
  <c r="X66" i="98"/>
  <c r="T66" i="98"/>
  <c r="P66" i="98"/>
  <c r="H66" i="98"/>
  <c r="D66" i="98"/>
  <c r="B66" i="98"/>
  <c r="Z65" i="98"/>
  <c r="X65" i="98"/>
  <c r="N65" i="98"/>
  <c r="L65" i="98"/>
  <c r="B65" i="98"/>
  <c r="X64" i="98"/>
  <c r="Z64" i="98" s="1"/>
  <c r="N64" i="98"/>
  <c r="L64" i="98"/>
  <c r="B64" i="98"/>
  <c r="Z63" i="98"/>
  <c r="X63" i="98"/>
  <c r="T63" i="98"/>
  <c r="P63" i="98"/>
  <c r="L63" i="98"/>
  <c r="N63" i="98" s="1"/>
  <c r="H63" i="98"/>
  <c r="D63" i="98"/>
  <c r="B63" i="98"/>
  <c r="Z62" i="98"/>
  <c r="X62" i="98"/>
  <c r="N62" i="98"/>
  <c r="L62" i="98"/>
  <c r="J62" i="98"/>
  <c r="B62" i="98"/>
  <c r="T61" i="98"/>
  <c r="P61" i="98"/>
  <c r="X61" i="98" s="1"/>
  <c r="Z61" i="98" s="1"/>
  <c r="H61" i="98"/>
  <c r="D61" i="98"/>
  <c r="L61" i="98" s="1"/>
  <c r="N61" i="98" s="1"/>
  <c r="B61" i="98"/>
  <c r="Z60" i="98"/>
  <c r="X60" i="98"/>
  <c r="N60" i="98"/>
  <c r="L60" i="98"/>
  <c r="B60" i="98"/>
  <c r="Z59" i="98"/>
  <c r="X59" i="98"/>
  <c r="T59" i="98"/>
  <c r="P59" i="98"/>
  <c r="N59" i="98"/>
  <c r="L59" i="98"/>
  <c r="H59" i="98"/>
  <c r="D59" i="98"/>
  <c r="B59" i="98"/>
  <c r="Z58" i="98"/>
  <c r="X58" i="98"/>
  <c r="N58" i="98"/>
  <c r="L58" i="98"/>
  <c r="J58" i="98"/>
  <c r="B58" i="98"/>
  <c r="V57" i="98"/>
  <c r="T57" i="98"/>
  <c r="Z57" i="98" s="1"/>
  <c r="P57" i="98"/>
  <c r="X57" i="98" s="1"/>
  <c r="J57" i="98"/>
  <c r="H57" i="98"/>
  <c r="N57" i="98" s="1"/>
  <c r="D57" i="98"/>
  <c r="B57" i="98"/>
  <c r="X56" i="98"/>
  <c r="Z56" i="98" s="1"/>
  <c r="N56" i="98"/>
  <c r="L56" i="98"/>
  <c r="B56" i="98"/>
  <c r="Z55" i="98"/>
  <c r="X55" i="98"/>
  <c r="N55" i="98"/>
  <c r="L55" i="98"/>
  <c r="B55" i="98"/>
  <c r="X54" i="98"/>
  <c r="Z54" i="98" s="1"/>
  <c r="V54" i="98"/>
  <c r="L54" i="98"/>
  <c r="N54" i="98" s="1"/>
  <c r="B54" i="98"/>
  <c r="T53" i="98"/>
  <c r="P53" i="98"/>
  <c r="X53" i="98" s="1"/>
  <c r="Z53" i="98" s="1"/>
  <c r="H53" i="98"/>
  <c r="D53" i="98"/>
  <c r="L53" i="98" s="1"/>
  <c r="N53" i="98" s="1"/>
  <c r="B53" i="98"/>
  <c r="Z52" i="98"/>
  <c r="X52" i="98"/>
  <c r="N52" i="98"/>
  <c r="L52" i="98"/>
  <c r="B52" i="98"/>
  <c r="Z51" i="98"/>
  <c r="X51" i="98"/>
  <c r="T51" i="98"/>
  <c r="P51" i="98"/>
  <c r="N51" i="98"/>
  <c r="L51" i="98"/>
  <c r="H51" i="98"/>
  <c r="D51" i="98"/>
  <c r="B51" i="98"/>
  <c r="X50" i="98"/>
  <c r="Z50" i="98" s="1"/>
  <c r="L50" i="98"/>
  <c r="N50" i="98" s="1"/>
  <c r="J50" i="98"/>
  <c r="B50" i="98"/>
  <c r="V49" i="98"/>
  <c r="T49" i="98"/>
  <c r="P49" i="98"/>
  <c r="X49" i="98" s="1"/>
  <c r="J49" i="98"/>
  <c r="H49" i="98"/>
  <c r="D49" i="98"/>
  <c r="L49" i="98" s="1"/>
  <c r="B49" i="98"/>
  <c r="X48" i="98"/>
  <c r="Z48" i="98" s="1"/>
  <c r="N48" i="98"/>
  <c r="L48" i="98"/>
  <c r="B48" i="98"/>
  <c r="T47" i="98"/>
  <c r="P47" i="98"/>
  <c r="X47" i="98" s="1"/>
  <c r="Z47" i="98" s="1"/>
  <c r="H47" i="98"/>
  <c r="F47" i="98"/>
  <c r="D47" i="98"/>
  <c r="L47" i="98" s="1"/>
  <c r="N47" i="98" s="1"/>
  <c r="B47" i="98"/>
  <c r="Z46" i="98"/>
  <c r="X46" i="98"/>
  <c r="N46" i="98"/>
  <c r="L46" i="98"/>
  <c r="B46" i="98"/>
  <c r="Z45" i="98"/>
  <c r="X45" i="98"/>
  <c r="N45" i="98"/>
  <c r="L45" i="98"/>
  <c r="J45" i="98"/>
  <c r="B45" i="98"/>
  <c r="X44" i="98"/>
  <c r="Z44" i="98" s="1"/>
  <c r="L44" i="98"/>
  <c r="N44" i="98" s="1"/>
  <c r="B44" i="98"/>
  <c r="X43" i="98"/>
  <c r="Z43" i="98" s="1"/>
  <c r="V43" i="98"/>
  <c r="N43" i="98"/>
  <c r="L43" i="98"/>
  <c r="J43" i="98"/>
  <c r="F43" i="98"/>
  <c r="B43" i="98"/>
  <c r="Z42" i="98"/>
  <c r="X42" i="98"/>
  <c r="N42" i="98"/>
  <c r="L42" i="98"/>
  <c r="B42" i="98"/>
  <c r="X41" i="98"/>
  <c r="Z41" i="98" s="1"/>
  <c r="L41" i="98"/>
  <c r="N41" i="98" s="1"/>
  <c r="J41" i="98"/>
  <c r="B41" i="98"/>
  <c r="X40" i="98"/>
  <c r="Z40" i="98" s="1"/>
  <c r="L40" i="98"/>
  <c r="N40" i="98" s="1"/>
  <c r="B40" i="98"/>
  <c r="Z39" i="98"/>
  <c r="X39" i="98"/>
  <c r="V39" i="98"/>
  <c r="N39" i="98"/>
  <c r="L39" i="98"/>
  <c r="J39" i="98"/>
  <c r="B39" i="98"/>
  <c r="X38" i="98"/>
  <c r="Z38" i="98" s="1"/>
  <c r="L38" i="98"/>
  <c r="N38" i="98" s="1"/>
  <c r="B38" i="98"/>
  <c r="Z37" i="98"/>
  <c r="X37" i="98"/>
  <c r="N37" i="98"/>
  <c r="L37" i="98"/>
  <c r="J37" i="98"/>
  <c r="B37" i="98"/>
  <c r="T36" i="98"/>
  <c r="P36" i="98"/>
  <c r="H36" i="98"/>
  <c r="D36" i="98"/>
  <c r="L36" i="98" s="1"/>
  <c r="B36" i="98"/>
  <c r="X35" i="98"/>
  <c r="Z35" i="98" s="1"/>
  <c r="V35" i="98"/>
  <c r="N35" i="98"/>
  <c r="L35" i="98"/>
  <c r="B35" i="98"/>
  <c r="X34" i="98"/>
  <c r="Z34" i="98" s="1"/>
  <c r="L34" i="98"/>
  <c r="N34" i="98" s="1"/>
  <c r="J34" i="98"/>
  <c r="B34" i="98"/>
  <c r="Z33" i="98"/>
  <c r="X33" i="98"/>
  <c r="V33" i="98"/>
  <c r="N33" i="98"/>
  <c r="L33" i="98"/>
  <c r="B33" i="98"/>
  <c r="Z32" i="98"/>
  <c r="X32" i="98"/>
  <c r="N32" i="98"/>
  <c r="L32" i="98"/>
  <c r="B32" i="98"/>
  <c r="X31" i="98"/>
  <c r="Z31" i="98" s="1"/>
  <c r="V31" i="98"/>
  <c r="N31" i="98"/>
  <c r="L31" i="98"/>
  <c r="B31" i="98"/>
  <c r="X30" i="98"/>
  <c r="Z30" i="98" s="1"/>
  <c r="L30" i="98"/>
  <c r="N30" i="98" s="1"/>
  <c r="J30" i="98"/>
  <c r="B30" i="98"/>
  <c r="Z29" i="98"/>
  <c r="X29" i="98"/>
  <c r="V29" i="98"/>
  <c r="N29" i="98"/>
  <c r="L29" i="98"/>
  <c r="B29" i="98"/>
  <c r="Z28" i="98"/>
  <c r="X28" i="98"/>
  <c r="L28" i="98"/>
  <c r="N28" i="98" s="1"/>
  <c r="J28" i="98"/>
  <c r="B28" i="98"/>
  <c r="X27" i="98"/>
  <c r="Z27" i="98" s="1"/>
  <c r="V27" i="98"/>
  <c r="N27" i="98"/>
  <c r="L27" i="98"/>
  <c r="B27" i="98"/>
  <c r="T26" i="98"/>
  <c r="P26" i="98"/>
  <c r="X26" i="98" s="1"/>
  <c r="Z26" i="98" s="1"/>
  <c r="H26" i="98"/>
  <c r="D26" i="98"/>
  <c r="L26" i="98" s="1"/>
  <c r="N26" i="98" s="1"/>
  <c r="B26" i="98"/>
  <c r="T25" i="98"/>
  <c r="P25" i="98"/>
  <c r="H25" i="98"/>
  <c r="J25" i="98" s="1"/>
  <c r="D25" i="98"/>
  <c r="Z21" i="98"/>
  <c r="X21" i="98"/>
  <c r="N21" i="98"/>
  <c r="L21" i="98"/>
  <c r="B21" i="98"/>
  <c r="Z20" i="98"/>
  <c r="X20" i="98"/>
  <c r="V20" i="98"/>
  <c r="N20" i="98"/>
  <c r="L20" i="98"/>
  <c r="J20" i="98"/>
  <c r="F20" i="98"/>
  <c r="B20" i="98"/>
  <c r="Z19" i="98"/>
  <c r="X19" i="98"/>
  <c r="N19" i="98"/>
  <c r="L19" i="98"/>
  <c r="J19" i="98"/>
  <c r="B19" i="98"/>
  <c r="X18" i="98"/>
  <c r="Z18" i="98" s="1"/>
  <c r="V18" i="98"/>
  <c r="T18" i="98"/>
  <c r="P18" i="98"/>
  <c r="H18" i="98"/>
  <c r="H23" i="98" s="1"/>
  <c r="D18" i="98"/>
  <c r="Z16" i="98"/>
  <c r="X16" i="98"/>
  <c r="P16" i="98"/>
  <c r="P12" i="98" s="1"/>
  <c r="N16" i="98"/>
  <c r="D16" i="98"/>
  <c r="L16" i="98" s="1"/>
  <c r="B16" i="98"/>
  <c r="P15" i="98"/>
  <c r="X15" i="98" s="1"/>
  <c r="Z15" i="98" s="1"/>
  <c r="D15" i="98"/>
  <c r="L15" i="98" s="1"/>
  <c r="N15" i="98" s="1"/>
  <c r="B15" i="98"/>
  <c r="Z14" i="98"/>
  <c r="X14" i="98"/>
  <c r="P14" i="98"/>
  <c r="N14" i="98"/>
  <c r="D14" i="98"/>
  <c r="L14" i="98" s="1"/>
  <c r="B14" i="98"/>
  <c r="Z13" i="98"/>
  <c r="X13" i="98"/>
  <c r="P13" i="98"/>
  <c r="L13" i="98"/>
  <c r="N13" i="98" s="1"/>
  <c r="D13" i="98"/>
  <c r="D12" i="98" s="1"/>
  <c r="F81" i="98" s="1"/>
  <c r="B13" i="98"/>
  <c r="T12" i="98"/>
  <c r="V87" i="98" s="1"/>
  <c r="H12" i="98"/>
  <c r="J73" i="98" s="1"/>
  <c r="D6" i="98"/>
  <c r="D4" i="98"/>
  <c r="X103" i="96"/>
  <c r="Z103" i="96" s="1"/>
  <c r="L103" i="96"/>
  <c r="N103" i="96" s="1"/>
  <c r="Z99" i="96"/>
  <c r="P99" i="96"/>
  <c r="X99" i="96" s="1"/>
  <c r="N99" i="96"/>
  <c r="D99" i="96"/>
  <c r="L99" i="96" s="1"/>
  <c r="B99" i="96"/>
  <c r="T98" i="96"/>
  <c r="Z98" i="96" s="1"/>
  <c r="N98" i="96"/>
  <c r="H98" i="96"/>
  <c r="D98" i="96"/>
  <c r="L98" i="96" s="1"/>
  <c r="Z96" i="96"/>
  <c r="X96" i="96"/>
  <c r="N96" i="96"/>
  <c r="L96" i="96"/>
  <c r="B96" i="96"/>
  <c r="X95" i="96"/>
  <c r="Z95" i="96" s="1"/>
  <c r="T95" i="96"/>
  <c r="P95" i="96"/>
  <c r="H95" i="96"/>
  <c r="D95" i="96"/>
  <c r="B95" i="96"/>
  <c r="Z94" i="96"/>
  <c r="X94" i="96"/>
  <c r="N94" i="96"/>
  <c r="L94" i="96"/>
  <c r="B94" i="96"/>
  <c r="Z93" i="96"/>
  <c r="X93" i="96"/>
  <c r="N93" i="96"/>
  <c r="L93" i="96"/>
  <c r="B93" i="96"/>
  <c r="Z92" i="96"/>
  <c r="X92" i="96"/>
  <c r="T92" i="96"/>
  <c r="P92" i="96"/>
  <c r="N92" i="96"/>
  <c r="L92" i="96"/>
  <c r="H92" i="96"/>
  <c r="D92" i="96"/>
  <c r="B92" i="96"/>
  <c r="Z91" i="96"/>
  <c r="X91" i="96"/>
  <c r="N91" i="96"/>
  <c r="L91" i="96"/>
  <c r="B91" i="96"/>
  <c r="T90" i="96"/>
  <c r="P90" i="96"/>
  <c r="H90" i="96"/>
  <c r="D90" i="96"/>
  <c r="B90" i="96"/>
  <c r="X89" i="96"/>
  <c r="Z89" i="96" s="1"/>
  <c r="N89" i="96"/>
  <c r="L89" i="96"/>
  <c r="B89" i="96"/>
  <c r="T88" i="96"/>
  <c r="P88" i="96"/>
  <c r="X88" i="96" s="1"/>
  <c r="N88" i="96"/>
  <c r="H88" i="96"/>
  <c r="D88" i="96"/>
  <c r="L88" i="96" s="1"/>
  <c r="B88" i="96"/>
  <c r="X87" i="96"/>
  <c r="Z87" i="96" s="1"/>
  <c r="N87" i="96"/>
  <c r="L87" i="96"/>
  <c r="B87" i="96"/>
  <c r="Z86" i="96"/>
  <c r="X86" i="96"/>
  <c r="N86" i="96"/>
  <c r="L86" i="96"/>
  <c r="B86" i="96"/>
  <c r="Z85" i="96"/>
  <c r="X85" i="96"/>
  <c r="N85" i="96"/>
  <c r="L85" i="96"/>
  <c r="B85" i="96"/>
  <c r="X84" i="96"/>
  <c r="Z84" i="96" s="1"/>
  <c r="L84" i="96"/>
  <c r="N84" i="96" s="1"/>
  <c r="B84" i="96"/>
  <c r="X83" i="96"/>
  <c r="Z83" i="96" s="1"/>
  <c r="L83" i="96"/>
  <c r="N83" i="96" s="1"/>
  <c r="B83" i="96"/>
  <c r="X82" i="96"/>
  <c r="Z82" i="96" s="1"/>
  <c r="N82" i="96"/>
  <c r="L82" i="96"/>
  <c r="B82" i="96"/>
  <c r="Z81" i="96"/>
  <c r="X81" i="96"/>
  <c r="N81" i="96"/>
  <c r="L81" i="96"/>
  <c r="B81" i="96"/>
  <c r="Z80" i="96"/>
  <c r="X80" i="96"/>
  <c r="N80" i="96"/>
  <c r="L80" i="96"/>
  <c r="B80" i="96"/>
  <c r="T79" i="96"/>
  <c r="P79" i="96"/>
  <c r="X79" i="96" s="1"/>
  <c r="H79" i="96"/>
  <c r="F79" i="96"/>
  <c r="D79" i="96"/>
  <c r="B79" i="96"/>
  <c r="X78" i="96"/>
  <c r="Z78" i="96" s="1"/>
  <c r="N78" i="96"/>
  <c r="L78" i="96"/>
  <c r="B78" i="96"/>
  <c r="Z77" i="96"/>
  <c r="X77" i="96"/>
  <c r="N77" i="96"/>
  <c r="L77" i="96"/>
  <c r="B77" i="96"/>
  <c r="T76" i="96"/>
  <c r="P76" i="96"/>
  <c r="H76" i="96"/>
  <c r="D76" i="96"/>
  <c r="B76" i="96"/>
  <c r="X75" i="96"/>
  <c r="Z75" i="96" s="1"/>
  <c r="L75" i="96"/>
  <c r="N75" i="96" s="1"/>
  <c r="B75" i="96"/>
  <c r="Z74" i="96"/>
  <c r="X74" i="96"/>
  <c r="N74" i="96"/>
  <c r="L74" i="96"/>
  <c r="B74" i="96"/>
  <c r="X73" i="96"/>
  <c r="Z73" i="96" s="1"/>
  <c r="N73" i="96"/>
  <c r="L73" i="96"/>
  <c r="B73" i="96"/>
  <c r="Z72" i="96"/>
  <c r="X72" i="96"/>
  <c r="N72" i="96"/>
  <c r="L72" i="96"/>
  <c r="B72" i="96"/>
  <c r="X71" i="96"/>
  <c r="Z71" i="96" s="1"/>
  <c r="V71" i="96"/>
  <c r="L71" i="96"/>
  <c r="N71" i="96" s="1"/>
  <c r="B71" i="96"/>
  <c r="T70" i="96"/>
  <c r="P70" i="96"/>
  <c r="X70" i="96" s="1"/>
  <c r="Z70" i="96" s="1"/>
  <c r="H70" i="96"/>
  <c r="D70" i="96"/>
  <c r="L70" i="96" s="1"/>
  <c r="B70" i="96"/>
  <c r="Z69" i="96"/>
  <c r="X69" i="96"/>
  <c r="N69" i="96"/>
  <c r="L69" i="96"/>
  <c r="B69" i="96"/>
  <c r="Z68" i="96"/>
  <c r="X68" i="96"/>
  <c r="N68" i="96"/>
  <c r="L68" i="96"/>
  <c r="F68" i="96"/>
  <c r="B68" i="96"/>
  <c r="Z67" i="96"/>
  <c r="X67" i="96"/>
  <c r="N67" i="96"/>
  <c r="L67" i="96"/>
  <c r="B67" i="96"/>
  <c r="T66" i="96"/>
  <c r="P66" i="96"/>
  <c r="X66" i="96" s="1"/>
  <c r="Z66" i="96" s="1"/>
  <c r="L66" i="96"/>
  <c r="N66" i="96" s="1"/>
  <c r="H66" i="96"/>
  <c r="D66" i="96"/>
  <c r="B66" i="96"/>
  <c r="Z65" i="96"/>
  <c r="X65" i="96"/>
  <c r="L65" i="96"/>
  <c r="N65" i="96" s="1"/>
  <c r="F65" i="96"/>
  <c r="B65" i="96"/>
  <c r="T64" i="96"/>
  <c r="P64" i="96"/>
  <c r="H64" i="96"/>
  <c r="D64" i="96"/>
  <c r="B64" i="96"/>
  <c r="Z63" i="96"/>
  <c r="X63" i="96"/>
  <c r="L63" i="96"/>
  <c r="N63" i="96" s="1"/>
  <c r="B63" i="96"/>
  <c r="T62" i="96"/>
  <c r="P62" i="96"/>
  <c r="X62" i="96" s="1"/>
  <c r="Z62" i="96" s="1"/>
  <c r="H62" i="96"/>
  <c r="F62" i="96"/>
  <c r="D62" i="96"/>
  <c r="B62" i="96"/>
  <c r="X61" i="96"/>
  <c r="Z61" i="96" s="1"/>
  <c r="N61" i="96"/>
  <c r="L61" i="96"/>
  <c r="B61" i="96"/>
  <c r="X60" i="96"/>
  <c r="Z60" i="96" s="1"/>
  <c r="T60" i="96"/>
  <c r="P60" i="96"/>
  <c r="N60" i="96"/>
  <c r="L60" i="96"/>
  <c r="H60" i="96"/>
  <c r="D60" i="96"/>
  <c r="B60" i="96"/>
  <c r="Z59" i="96"/>
  <c r="X59" i="96"/>
  <c r="L59" i="96"/>
  <c r="N59" i="96" s="1"/>
  <c r="B59" i="96"/>
  <c r="T58" i="96"/>
  <c r="P58" i="96"/>
  <c r="H58" i="96"/>
  <c r="D58" i="96"/>
  <c r="B58" i="96"/>
  <c r="X57" i="96"/>
  <c r="Z57" i="96" s="1"/>
  <c r="N57" i="96"/>
  <c r="L57" i="96"/>
  <c r="B57" i="96"/>
  <c r="T56" i="96"/>
  <c r="P56" i="96"/>
  <c r="X56" i="96" s="1"/>
  <c r="N56" i="96"/>
  <c r="H56" i="96"/>
  <c r="D56" i="96"/>
  <c r="L56" i="96" s="1"/>
  <c r="B56" i="96"/>
  <c r="X55" i="96"/>
  <c r="Z55" i="96" s="1"/>
  <c r="L55" i="96"/>
  <c r="N55" i="96" s="1"/>
  <c r="B55" i="96"/>
  <c r="X54" i="96"/>
  <c r="Z54" i="96" s="1"/>
  <c r="N54" i="96"/>
  <c r="L54" i="96"/>
  <c r="B54" i="96"/>
  <c r="Z53" i="96"/>
  <c r="X53" i="96"/>
  <c r="L53" i="96"/>
  <c r="N53" i="96" s="1"/>
  <c r="B53" i="96"/>
  <c r="T52" i="96"/>
  <c r="P52" i="96"/>
  <c r="X52" i="96" s="1"/>
  <c r="Z52" i="96" s="1"/>
  <c r="L52" i="96"/>
  <c r="N52" i="96" s="1"/>
  <c r="H52" i="96"/>
  <c r="F52" i="96"/>
  <c r="D52" i="96"/>
  <c r="B52" i="96"/>
  <c r="X51" i="96"/>
  <c r="Z51" i="96" s="1"/>
  <c r="N51" i="96"/>
  <c r="L51" i="96"/>
  <c r="B51" i="96"/>
  <c r="X50" i="96"/>
  <c r="Z50" i="96" s="1"/>
  <c r="T50" i="96"/>
  <c r="P50" i="96"/>
  <c r="H50" i="96"/>
  <c r="N50" i="96" s="1"/>
  <c r="D50" i="96"/>
  <c r="B50" i="96"/>
  <c r="X49" i="96"/>
  <c r="Z49" i="96" s="1"/>
  <c r="L49" i="96"/>
  <c r="N49" i="96" s="1"/>
  <c r="B49" i="96"/>
  <c r="T48" i="96"/>
  <c r="P48" i="96"/>
  <c r="H48" i="96"/>
  <c r="D48" i="96"/>
  <c r="L48" i="96" s="1"/>
  <c r="N48" i="96" s="1"/>
  <c r="B48" i="96"/>
  <c r="X47" i="96"/>
  <c r="Z47" i="96" s="1"/>
  <c r="L47" i="96"/>
  <c r="N47" i="96" s="1"/>
  <c r="B47" i="96"/>
  <c r="X46" i="96"/>
  <c r="T46" i="96"/>
  <c r="Z46" i="96" s="1"/>
  <c r="P46" i="96"/>
  <c r="N46" i="96"/>
  <c r="H46" i="96"/>
  <c r="D46" i="96"/>
  <c r="L46" i="96" s="1"/>
  <c r="B46" i="96"/>
  <c r="Z45" i="96"/>
  <c r="X45" i="96"/>
  <c r="N45" i="96"/>
  <c r="L45" i="96"/>
  <c r="B45" i="96"/>
  <c r="Z44" i="96"/>
  <c r="X44" i="96"/>
  <c r="N44" i="96"/>
  <c r="L44" i="96"/>
  <c r="B44" i="96"/>
  <c r="X43" i="96"/>
  <c r="Z43" i="96" s="1"/>
  <c r="L43" i="96"/>
  <c r="N43" i="96" s="1"/>
  <c r="J43" i="96"/>
  <c r="B43" i="96"/>
  <c r="Z42" i="96"/>
  <c r="X42" i="96"/>
  <c r="V42" i="96"/>
  <c r="N42" i="96"/>
  <c r="L42" i="96"/>
  <c r="B42" i="96"/>
  <c r="Z41" i="96"/>
  <c r="X41" i="96"/>
  <c r="N41" i="96"/>
  <c r="L41" i="96"/>
  <c r="B41" i="96"/>
  <c r="Z40" i="96"/>
  <c r="X40" i="96"/>
  <c r="L40" i="96"/>
  <c r="N40" i="96" s="1"/>
  <c r="B40" i="96"/>
  <c r="X39" i="96"/>
  <c r="Z39" i="96" s="1"/>
  <c r="L39" i="96"/>
  <c r="N39" i="96" s="1"/>
  <c r="J39" i="96"/>
  <c r="B39" i="96"/>
  <c r="Z38" i="96"/>
  <c r="X38" i="96"/>
  <c r="V38" i="96"/>
  <c r="N38" i="96"/>
  <c r="L38" i="96"/>
  <c r="B38" i="96"/>
  <c r="Z37" i="96"/>
  <c r="X37" i="96"/>
  <c r="L37" i="96"/>
  <c r="N37" i="96" s="1"/>
  <c r="B37" i="96"/>
  <c r="Z36" i="96"/>
  <c r="X36" i="96"/>
  <c r="N36" i="96"/>
  <c r="L36" i="96"/>
  <c r="J36" i="96"/>
  <c r="B36" i="96"/>
  <c r="X35" i="96"/>
  <c r="T35" i="96"/>
  <c r="Z35" i="96" s="1"/>
  <c r="P35" i="96"/>
  <c r="H35" i="96"/>
  <c r="D35" i="96"/>
  <c r="L35" i="96" s="1"/>
  <c r="N35" i="96" s="1"/>
  <c r="B35" i="96"/>
  <c r="Z34" i="96"/>
  <c r="X34" i="96"/>
  <c r="L34" i="96"/>
  <c r="N34" i="96" s="1"/>
  <c r="B34" i="96"/>
  <c r="X33" i="96"/>
  <c r="Z33" i="96" s="1"/>
  <c r="L33" i="96"/>
  <c r="N33" i="96" s="1"/>
  <c r="B33" i="96"/>
  <c r="X32" i="96"/>
  <c r="Z32" i="96" s="1"/>
  <c r="V32" i="96"/>
  <c r="N32" i="96"/>
  <c r="L32" i="96"/>
  <c r="B32" i="96"/>
  <c r="Z31" i="96"/>
  <c r="X31" i="96"/>
  <c r="V31" i="96"/>
  <c r="N31" i="96"/>
  <c r="L31" i="96"/>
  <c r="F31" i="96"/>
  <c r="B31" i="96"/>
  <c r="Z30" i="96"/>
  <c r="X30" i="96"/>
  <c r="L30" i="96"/>
  <c r="N30" i="96" s="1"/>
  <c r="B30" i="96"/>
  <c r="X29" i="96"/>
  <c r="Z29" i="96" s="1"/>
  <c r="L29" i="96"/>
  <c r="N29" i="96" s="1"/>
  <c r="B29" i="96"/>
  <c r="X28" i="96"/>
  <c r="Z28" i="96" s="1"/>
  <c r="V28" i="96"/>
  <c r="N28" i="96"/>
  <c r="L28" i="96"/>
  <c r="B28" i="96"/>
  <c r="X27" i="96"/>
  <c r="Z27" i="96" s="1"/>
  <c r="V27" i="96"/>
  <c r="L27" i="96"/>
  <c r="N27" i="96" s="1"/>
  <c r="F27" i="96"/>
  <c r="B27" i="96"/>
  <c r="Z26" i="96"/>
  <c r="X26" i="96"/>
  <c r="L26" i="96"/>
  <c r="N26" i="96" s="1"/>
  <c r="B26" i="96"/>
  <c r="X25" i="96"/>
  <c r="Z25" i="96" s="1"/>
  <c r="T25" i="96"/>
  <c r="P25" i="96"/>
  <c r="J25" i="96"/>
  <c r="H25" i="96"/>
  <c r="N25" i="96" s="1"/>
  <c r="D25" i="96"/>
  <c r="L25" i="96" s="1"/>
  <c r="B25" i="96"/>
  <c r="T24" i="96"/>
  <c r="Z24" i="96" s="1"/>
  <c r="P24" i="96"/>
  <c r="X24" i="96" s="1"/>
  <c r="H24" i="96"/>
  <c r="D24" i="96"/>
  <c r="T22" i="96"/>
  <c r="Z20" i="96"/>
  <c r="X20" i="96"/>
  <c r="N20" i="96"/>
  <c r="L20" i="96"/>
  <c r="B20" i="96"/>
  <c r="Z19" i="96"/>
  <c r="X19" i="96"/>
  <c r="V19" i="96"/>
  <c r="N19" i="96"/>
  <c r="L19" i="96"/>
  <c r="J19" i="96"/>
  <c r="B19" i="96"/>
  <c r="X18" i="96"/>
  <c r="Z18" i="96" s="1"/>
  <c r="N18" i="96"/>
  <c r="L18" i="96"/>
  <c r="J18" i="96"/>
  <c r="B18" i="96"/>
  <c r="Z17" i="96"/>
  <c r="X17" i="96"/>
  <c r="V17" i="96"/>
  <c r="T17" i="96"/>
  <c r="P17" i="96"/>
  <c r="H17" i="96"/>
  <c r="D17" i="96"/>
  <c r="Z15" i="96"/>
  <c r="P15" i="96"/>
  <c r="X15" i="96" s="1"/>
  <c r="N15" i="96"/>
  <c r="L15" i="96"/>
  <c r="D15" i="96"/>
  <c r="B15" i="96"/>
  <c r="P14" i="96"/>
  <c r="X14" i="96" s="1"/>
  <c r="Z14" i="96" s="1"/>
  <c r="D14" i="96"/>
  <c r="L14" i="96" s="1"/>
  <c r="N14" i="96" s="1"/>
  <c r="B14" i="96"/>
  <c r="Z13" i="96"/>
  <c r="P13" i="96"/>
  <c r="N13" i="96"/>
  <c r="D13" i="96"/>
  <c r="L13" i="96" s="1"/>
  <c r="B13" i="96"/>
  <c r="T12" i="96"/>
  <c r="V89" i="96" s="1"/>
  <c r="H12" i="96"/>
  <c r="J76" i="96" s="1"/>
  <c r="D12" i="96"/>
  <c r="D6" i="96"/>
  <c r="D4" i="96"/>
  <c r="X88" i="95"/>
  <c r="Z88" i="95" s="1"/>
  <c r="L88" i="95"/>
  <c r="N88" i="95" s="1"/>
  <c r="X84" i="95"/>
  <c r="T84" i="95"/>
  <c r="Z84" i="95" s="1"/>
  <c r="P84" i="95"/>
  <c r="N84" i="95"/>
  <c r="H84" i="95"/>
  <c r="D84" i="95"/>
  <c r="L84" i="95" s="1"/>
  <c r="X82" i="95"/>
  <c r="Z82" i="95" s="1"/>
  <c r="N82" i="95"/>
  <c r="L82" i="95"/>
  <c r="J82" i="95"/>
  <c r="B82" i="95"/>
  <c r="Z81" i="95"/>
  <c r="X81" i="95"/>
  <c r="T81" i="95"/>
  <c r="P81" i="95"/>
  <c r="H81" i="95"/>
  <c r="D81" i="95"/>
  <c r="B81" i="95"/>
  <c r="X80" i="95"/>
  <c r="Z80" i="95" s="1"/>
  <c r="L80" i="95"/>
  <c r="N80" i="95" s="1"/>
  <c r="B80" i="95"/>
  <c r="X79" i="95"/>
  <c r="T79" i="95"/>
  <c r="Z79" i="95" s="1"/>
  <c r="P79" i="95"/>
  <c r="H79" i="95"/>
  <c r="D79" i="95"/>
  <c r="L79" i="95" s="1"/>
  <c r="N79" i="95" s="1"/>
  <c r="B79" i="95"/>
  <c r="Z78" i="95"/>
  <c r="X78" i="95"/>
  <c r="N78" i="95"/>
  <c r="L78" i="95"/>
  <c r="B78" i="95"/>
  <c r="Z77" i="95"/>
  <c r="X77" i="95"/>
  <c r="N77" i="95"/>
  <c r="L77" i="95"/>
  <c r="B77" i="95"/>
  <c r="Z76" i="95"/>
  <c r="X76" i="95"/>
  <c r="N76" i="95"/>
  <c r="L76" i="95"/>
  <c r="B76" i="95"/>
  <c r="Z75" i="95"/>
  <c r="X75" i="95"/>
  <c r="N75" i="95"/>
  <c r="L75" i="95"/>
  <c r="B75" i="95"/>
  <c r="X74" i="95"/>
  <c r="Z74" i="95" s="1"/>
  <c r="L74" i="95"/>
  <c r="N74" i="95" s="1"/>
  <c r="B74" i="95"/>
  <c r="X73" i="95"/>
  <c r="Z73" i="95" s="1"/>
  <c r="N73" i="95"/>
  <c r="L73" i="95"/>
  <c r="B73" i="95"/>
  <c r="Z72" i="95"/>
  <c r="X72" i="95"/>
  <c r="N72" i="95"/>
  <c r="L72" i="95"/>
  <c r="B72" i="95"/>
  <c r="T71" i="95"/>
  <c r="P71" i="95"/>
  <c r="X71" i="95" s="1"/>
  <c r="Z71" i="95" s="1"/>
  <c r="L71" i="95"/>
  <c r="N71" i="95" s="1"/>
  <c r="H71" i="95"/>
  <c r="D71" i="95"/>
  <c r="B71" i="95"/>
  <c r="Z70" i="95"/>
  <c r="X70" i="95"/>
  <c r="N70" i="95"/>
  <c r="L70" i="95"/>
  <c r="J70" i="95"/>
  <c r="B70" i="95"/>
  <c r="Z69" i="95"/>
  <c r="X69" i="95"/>
  <c r="T69" i="95"/>
  <c r="P69" i="95"/>
  <c r="H69" i="95"/>
  <c r="D69" i="95"/>
  <c r="B69" i="95"/>
  <c r="Z68" i="95"/>
  <c r="X68" i="95"/>
  <c r="L68" i="95"/>
  <c r="N68" i="95" s="1"/>
  <c r="B68" i="95"/>
  <c r="X67" i="95"/>
  <c r="T67" i="95"/>
  <c r="Z67" i="95" s="1"/>
  <c r="P67" i="95"/>
  <c r="H67" i="95"/>
  <c r="D67" i="95"/>
  <c r="L67" i="95" s="1"/>
  <c r="N67" i="95" s="1"/>
  <c r="B67" i="95"/>
  <c r="X66" i="95"/>
  <c r="Z66" i="95" s="1"/>
  <c r="L66" i="95"/>
  <c r="N66" i="95" s="1"/>
  <c r="B66" i="95"/>
  <c r="X65" i="95"/>
  <c r="Z65" i="95" s="1"/>
  <c r="T65" i="95"/>
  <c r="P65" i="95"/>
  <c r="J65" i="95"/>
  <c r="H65" i="95"/>
  <c r="D65" i="95"/>
  <c r="L65" i="95" s="1"/>
  <c r="N65" i="95" s="1"/>
  <c r="B65" i="95"/>
  <c r="Z64" i="95"/>
  <c r="X64" i="95"/>
  <c r="N64" i="95"/>
  <c r="L64" i="95"/>
  <c r="B64" i="95"/>
  <c r="Z63" i="95"/>
  <c r="X63" i="95"/>
  <c r="N63" i="95"/>
  <c r="L63" i="95"/>
  <c r="B63" i="95"/>
  <c r="X62" i="95"/>
  <c r="T62" i="95"/>
  <c r="Z62" i="95" s="1"/>
  <c r="P62" i="95"/>
  <c r="H62" i="95"/>
  <c r="D62" i="95"/>
  <c r="L62" i="95" s="1"/>
  <c r="N62" i="95" s="1"/>
  <c r="B62" i="95"/>
  <c r="Z61" i="95"/>
  <c r="X61" i="95"/>
  <c r="L61" i="95"/>
  <c r="N61" i="95" s="1"/>
  <c r="B61" i="95"/>
  <c r="T60" i="95"/>
  <c r="Z60" i="95" s="1"/>
  <c r="P60" i="95"/>
  <c r="X60" i="95" s="1"/>
  <c r="N60" i="95"/>
  <c r="L60" i="95"/>
  <c r="J60" i="95"/>
  <c r="H60" i="95"/>
  <c r="D60" i="95"/>
  <c r="B60" i="95"/>
  <c r="Z59" i="95"/>
  <c r="X59" i="95"/>
  <c r="N59" i="95"/>
  <c r="L59" i="95"/>
  <c r="B59" i="95"/>
  <c r="T58" i="95"/>
  <c r="Z58" i="95" s="1"/>
  <c r="P58" i="95"/>
  <c r="X58" i="95" s="1"/>
  <c r="L58" i="95"/>
  <c r="H58" i="95"/>
  <c r="N58" i="95" s="1"/>
  <c r="D58" i="95"/>
  <c r="B58" i="95"/>
  <c r="Z57" i="95"/>
  <c r="X57" i="95"/>
  <c r="N57" i="95"/>
  <c r="L57" i="95"/>
  <c r="B57" i="95"/>
  <c r="Z56" i="95"/>
  <c r="T56" i="95"/>
  <c r="P56" i="95"/>
  <c r="X56" i="95" s="1"/>
  <c r="L56" i="95"/>
  <c r="H56" i="95"/>
  <c r="N56" i="95" s="1"/>
  <c r="D56" i="95"/>
  <c r="B56" i="95"/>
  <c r="X55" i="95"/>
  <c r="Z55" i="95" s="1"/>
  <c r="N55" i="95"/>
  <c r="L55" i="95"/>
  <c r="J55" i="95"/>
  <c r="B55" i="95"/>
  <c r="Z54" i="95"/>
  <c r="X54" i="95"/>
  <c r="L54" i="95"/>
  <c r="N54" i="95" s="1"/>
  <c r="B54" i="95"/>
  <c r="T53" i="95"/>
  <c r="P53" i="95"/>
  <c r="X53" i="95" s="1"/>
  <c r="Z53" i="95" s="1"/>
  <c r="H53" i="95"/>
  <c r="D53" i="95"/>
  <c r="B53" i="95"/>
  <c r="X52" i="95"/>
  <c r="Z52" i="95" s="1"/>
  <c r="N52" i="95"/>
  <c r="L52" i="95"/>
  <c r="B52" i="95"/>
  <c r="T51" i="95"/>
  <c r="P51" i="95"/>
  <c r="X51" i="95" s="1"/>
  <c r="Z51" i="95" s="1"/>
  <c r="L51" i="95"/>
  <c r="N51" i="95" s="1"/>
  <c r="H51" i="95"/>
  <c r="D51" i="95"/>
  <c r="B51" i="95"/>
  <c r="X50" i="95"/>
  <c r="Z50" i="95" s="1"/>
  <c r="N50" i="95"/>
  <c r="L50" i="95"/>
  <c r="J50" i="95"/>
  <c r="B50" i="95"/>
  <c r="X49" i="95"/>
  <c r="Z49" i="95" s="1"/>
  <c r="T49" i="95"/>
  <c r="P49" i="95"/>
  <c r="H49" i="95"/>
  <c r="D49" i="95"/>
  <c r="B49" i="95"/>
  <c r="Z48" i="95"/>
  <c r="X48" i="95"/>
  <c r="L48" i="95"/>
  <c r="N48" i="95" s="1"/>
  <c r="B48" i="95"/>
  <c r="T47" i="95"/>
  <c r="P47" i="95"/>
  <c r="N47" i="95"/>
  <c r="H47" i="95"/>
  <c r="D47" i="95"/>
  <c r="L47" i="95" s="1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N44" i="95"/>
  <c r="L44" i="95"/>
  <c r="B44" i="95"/>
  <c r="Z43" i="95"/>
  <c r="X43" i="95"/>
  <c r="N43" i="95"/>
  <c r="L43" i="95"/>
  <c r="B43" i="95"/>
  <c r="Z42" i="95"/>
  <c r="X42" i="95"/>
  <c r="N42" i="95"/>
  <c r="L42" i="95"/>
  <c r="B42" i="95"/>
  <c r="Z41" i="95"/>
  <c r="X41" i="95"/>
  <c r="N41" i="95"/>
  <c r="L41" i="95"/>
  <c r="B41" i="95"/>
  <c r="X40" i="95"/>
  <c r="Z40" i="95" s="1"/>
  <c r="N40" i="95"/>
  <c r="L40" i="95"/>
  <c r="B40" i="95"/>
  <c r="Z39" i="95"/>
  <c r="X39" i="95"/>
  <c r="N39" i="95"/>
  <c r="L39" i="95"/>
  <c r="B39" i="95"/>
  <c r="X38" i="95"/>
  <c r="Z38" i="95" s="1"/>
  <c r="L38" i="95"/>
  <c r="N38" i="95" s="1"/>
  <c r="B38" i="95"/>
  <c r="Z37" i="95"/>
  <c r="X37" i="95"/>
  <c r="N37" i="95"/>
  <c r="L37" i="95"/>
  <c r="B37" i="95"/>
  <c r="X36" i="95"/>
  <c r="T36" i="95"/>
  <c r="Z36" i="95" s="1"/>
  <c r="P36" i="95"/>
  <c r="H36" i="95"/>
  <c r="D36" i="95"/>
  <c r="L36" i="95" s="1"/>
  <c r="N36" i="95" s="1"/>
  <c r="B36" i="95"/>
  <c r="Z35" i="95"/>
  <c r="X35" i="95"/>
  <c r="N35" i="95"/>
  <c r="L35" i="95"/>
  <c r="B35" i="95"/>
  <c r="X34" i="95"/>
  <c r="Z34" i="95" s="1"/>
  <c r="N34" i="95"/>
  <c r="L34" i="95"/>
  <c r="J34" i="95"/>
  <c r="B34" i="95"/>
  <c r="X33" i="95"/>
  <c r="Z33" i="95" s="1"/>
  <c r="N33" i="95"/>
  <c r="L33" i="95"/>
  <c r="B33" i="95"/>
  <c r="Z32" i="95"/>
  <c r="X32" i="95"/>
  <c r="N32" i="95"/>
  <c r="L32" i="95"/>
  <c r="B32" i="95"/>
  <c r="X31" i="95"/>
  <c r="Z31" i="95" s="1"/>
  <c r="L31" i="95"/>
  <c r="N31" i="95" s="1"/>
  <c r="B31" i="95"/>
  <c r="X30" i="95"/>
  <c r="Z30" i="95" s="1"/>
  <c r="N30" i="95"/>
  <c r="L30" i="95"/>
  <c r="J30" i="95"/>
  <c r="B30" i="95"/>
  <c r="X29" i="95"/>
  <c r="Z29" i="95" s="1"/>
  <c r="N29" i="95"/>
  <c r="L29" i="95"/>
  <c r="J29" i="95"/>
  <c r="B29" i="95"/>
  <c r="Z28" i="95"/>
  <c r="X28" i="95"/>
  <c r="N28" i="95"/>
  <c r="L28" i="95"/>
  <c r="B28" i="95"/>
  <c r="X27" i="95"/>
  <c r="Z27" i="95" s="1"/>
  <c r="L27" i="95"/>
  <c r="N27" i="95" s="1"/>
  <c r="B27" i="95"/>
  <c r="X26" i="95"/>
  <c r="T26" i="95"/>
  <c r="P26" i="95"/>
  <c r="N26" i="95"/>
  <c r="J26" i="95"/>
  <c r="H26" i="95"/>
  <c r="D26" i="95"/>
  <c r="L26" i="95" s="1"/>
  <c r="B26" i="95"/>
  <c r="T25" i="95"/>
  <c r="P25" i="95"/>
  <c r="X25" i="95" s="1"/>
  <c r="Z25" i="95" s="1"/>
  <c r="H25" i="95"/>
  <c r="D25" i="95"/>
  <c r="L25" i="95" s="1"/>
  <c r="Z21" i="95"/>
  <c r="X21" i="95"/>
  <c r="N21" i="95"/>
  <c r="L21" i="95"/>
  <c r="B21" i="95"/>
  <c r="Z20" i="95"/>
  <c r="X20" i="95"/>
  <c r="N20" i="95"/>
  <c r="L20" i="95"/>
  <c r="J20" i="95"/>
  <c r="B20" i="95"/>
  <c r="X19" i="95"/>
  <c r="Z19" i="95" s="1"/>
  <c r="L19" i="95"/>
  <c r="N19" i="95" s="1"/>
  <c r="J19" i="95"/>
  <c r="B19" i="95"/>
  <c r="Z18" i="95"/>
  <c r="X18" i="95"/>
  <c r="T18" i="95"/>
  <c r="P18" i="95"/>
  <c r="H18" i="95"/>
  <c r="D18" i="95"/>
  <c r="Z16" i="95"/>
  <c r="P16" i="95"/>
  <c r="X16" i="95" s="1"/>
  <c r="N16" i="95"/>
  <c r="L16" i="95"/>
  <c r="D16" i="95"/>
  <c r="B16" i="95"/>
  <c r="P15" i="95"/>
  <c r="X15" i="95" s="1"/>
  <c r="Z15" i="95" s="1"/>
  <c r="D15" i="95"/>
  <c r="L15" i="95" s="1"/>
  <c r="N15" i="95" s="1"/>
  <c r="B15" i="95"/>
  <c r="Z14" i="95"/>
  <c r="P14" i="95"/>
  <c r="X14" i="95" s="1"/>
  <c r="N14" i="95"/>
  <c r="L14" i="95"/>
  <c r="D14" i="95"/>
  <c r="B14" i="95"/>
  <c r="P13" i="95"/>
  <c r="D13" i="95"/>
  <c r="B13" i="95"/>
  <c r="T12" i="95"/>
  <c r="T23" i="95" s="1"/>
  <c r="H12" i="95"/>
  <c r="J71" i="95" s="1"/>
  <c r="D6" i="95"/>
  <c r="D4" i="95"/>
  <c r="Z83" i="94"/>
  <c r="X83" i="94"/>
  <c r="N83" i="94"/>
  <c r="L83" i="94"/>
  <c r="Z79" i="94"/>
  <c r="V79" i="94"/>
  <c r="P79" i="94"/>
  <c r="X79" i="94" s="1"/>
  <c r="N79" i="94"/>
  <c r="D79" i="94"/>
  <c r="L79" i="94" s="1"/>
  <c r="B79" i="94"/>
  <c r="Z78" i="94"/>
  <c r="T78" i="94"/>
  <c r="P78" i="94"/>
  <c r="X78" i="94" s="1"/>
  <c r="H78" i="94"/>
  <c r="N78" i="94" s="1"/>
  <c r="D78" i="94"/>
  <c r="L78" i="94" s="1"/>
  <c r="Z76" i="94"/>
  <c r="X76" i="94"/>
  <c r="N76" i="94"/>
  <c r="L76" i="94"/>
  <c r="B76" i="94"/>
  <c r="T75" i="94"/>
  <c r="P75" i="94"/>
  <c r="N75" i="94"/>
  <c r="L75" i="94"/>
  <c r="H75" i="94"/>
  <c r="D75" i="94"/>
  <c r="B75" i="94"/>
  <c r="X74" i="94"/>
  <c r="Z74" i="94" s="1"/>
  <c r="N74" i="94"/>
  <c r="L74" i="94"/>
  <c r="J74" i="94"/>
  <c r="B74" i="94"/>
  <c r="Z73" i="94"/>
  <c r="X73" i="94"/>
  <c r="N73" i="94"/>
  <c r="L73" i="94"/>
  <c r="B73" i="94"/>
  <c r="Z72" i="94"/>
  <c r="T72" i="94"/>
  <c r="P72" i="94"/>
  <c r="X72" i="94" s="1"/>
  <c r="J72" i="94"/>
  <c r="H72" i="94"/>
  <c r="D72" i="94"/>
  <c r="L72" i="94" s="1"/>
  <c r="N72" i="94" s="1"/>
  <c r="B72" i="94"/>
  <c r="Z71" i="94"/>
  <c r="X71" i="94"/>
  <c r="N71" i="94"/>
  <c r="L71" i="94"/>
  <c r="J71" i="94"/>
  <c r="F71" i="94"/>
  <c r="B71" i="94"/>
  <c r="Z70" i="94"/>
  <c r="X70" i="94"/>
  <c r="L70" i="94"/>
  <c r="N70" i="94" s="1"/>
  <c r="B70" i="94"/>
  <c r="Z69" i="94"/>
  <c r="X69" i="94"/>
  <c r="N69" i="94"/>
  <c r="L69" i="94"/>
  <c r="J69" i="94"/>
  <c r="B69" i="94"/>
  <c r="X68" i="94"/>
  <c r="Z68" i="94" s="1"/>
  <c r="N68" i="94"/>
  <c r="L68" i="94"/>
  <c r="J68" i="94"/>
  <c r="B68" i="94"/>
  <c r="Z67" i="94"/>
  <c r="X67" i="94"/>
  <c r="V67" i="94"/>
  <c r="N67" i="94"/>
  <c r="L67" i="94"/>
  <c r="B67" i="94"/>
  <c r="X66" i="94"/>
  <c r="Z66" i="94" s="1"/>
  <c r="L66" i="94"/>
  <c r="N66" i="94" s="1"/>
  <c r="B66" i="94"/>
  <c r="X65" i="94"/>
  <c r="T65" i="94"/>
  <c r="Z65" i="94" s="1"/>
  <c r="P65" i="94"/>
  <c r="N65" i="94"/>
  <c r="H65" i="94"/>
  <c r="D65" i="94"/>
  <c r="L65" i="94" s="1"/>
  <c r="B65" i="94"/>
  <c r="X64" i="94"/>
  <c r="Z64" i="94" s="1"/>
  <c r="N64" i="94"/>
  <c r="L64" i="94"/>
  <c r="J64" i="94"/>
  <c r="B64" i="94"/>
  <c r="V63" i="94"/>
  <c r="T63" i="94"/>
  <c r="P63" i="94"/>
  <c r="X63" i="94" s="1"/>
  <c r="Z63" i="94" s="1"/>
  <c r="H63" i="94"/>
  <c r="N63" i="94" s="1"/>
  <c r="D63" i="94"/>
  <c r="L63" i="94" s="1"/>
  <c r="B63" i="94"/>
  <c r="Z62" i="94"/>
  <c r="X62" i="94"/>
  <c r="N62" i="94"/>
  <c r="L62" i="94"/>
  <c r="B62" i="94"/>
  <c r="Z61" i="94"/>
  <c r="X61" i="94"/>
  <c r="V61" i="94"/>
  <c r="N61" i="94"/>
  <c r="L61" i="94"/>
  <c r="B61" i="94"/>
  <c r="Z60" i="94"/>
  <c r="X60" i="94"/>
  <c r="V60" i="94"/>
  <c r="N60" i="94"/>
  <c r="L60" i="94"/>
  <c r="F60" i="94"/>
  <c r="B60" i="94"/>
  <c r="Z59" i="94"/>
  <c r="T59" i="94"/>
  <c r="P59" i="94"/>
  <c r="X59" i="94" s="1"/>
  <c r="N59" i="94"/>
  <c r="L59" i="94"/>
  <c r="J59" i="94"/>
  <c r="H59" i="94"/>
  <c r="F59" i="94"/>
  <c r="D59" i="94"/>
  <c r="B59" i="94"/>
  <c r="Z58" i="94"/>
  <c r="X58" i="94"/>
  <c r="N58" i="94"/>
  <c r="L58" i="94"/>
  <c r="B58" i="94"/>
  <c r="Z57" i="94"/>
  <c r="T57" i="94"/>
  <c r="X57" i="94" s="1"/>
  <c r="P57" i="94"/>
  <c r="H57" i="94"/>
  <c r="F57" i="94"/>
  <c r="D57" i="94"/>
  <c r="B57" i="94"/>
  <c r="X56" i="94"/>
  <c r="Z56" i="94" s="1"/>
  <c r="L56" i="94"/>
  <c r="N56" i="94" s="1"/>
  <c r="B56" i="94"/>
  <c r="Z55" i="94"/>
  <c r="V55" i="94"/>
  <c r="T55" i="94"/>
  <c r="P55" i="94"/>
  <c r="X55" i="94" s="1"/>
  <c r="H55" i="94"/>
  <c r="D55" i="94"/>
  <c r="B55" i="94"/>
  <c r="X54" i="94"/>
  <c r="Z54" i="94" s="1"/>
  <c r="N54" i="94"/>
  <c r="L54" i="94"/>
  <c r="B54" i="94"/>
  <c r="X53" i="94"/>
  <c r="Z53" i="94" s="1"/>
  <c r="V53" i="94"/>
  <c r="T53" i="94"/>
  <c r="P53" i="94"/>
  <c r="H53" i="94"/>
  <c r="D53" i="94"/>
  <c r="L53" i="94" s="1"/>
  <c r="N53" i="94" s="1"/>
  <c r="B53" i="94"/>
  <c r="Z52" i="94"/>
  <c r="X52" i="94"/>
  <c r="L52" i="94"/>
  <c r="N52" i="94" s="1"/>
  <c r="B52" i="94"/>
  <c r="T51" i="94"/>
  <c r="P51" i="94"/>
  <c r="N51" i="94"/>
  <c r="H51" i="94"/>
  <c r="L51" i="94" s="1"/>
  <c r="D51" i="94"/>
  <c r="B51" i="94"/>
  <c r="Z50" i="94"/>
  <c r="X50" i="94"/>
  <c r="V50" i="94"/>
  <c r="L50" i="94"/>
  <c r="N50" i="94" s="1"/>
  <c r="B50" i="94"/>
  <c r="T49" i="94"/>
  <c r="P49" i="94"/>
  <c r="N49" i="94"/>
  <c r="J49" i="94"/>
  <c r="H49" i="94"/>
  <c r="D49" i="94"/>
  <c r="L49" i="94" s="1"/>
  <c r="B49" i="94"/>
  <c r="X48" i="94"/>
  <c r="Z48" i="94" s="1"/>
  <c r="V48" i="94"/>
  <c r="L48" i="94"/>
  <c r="N48" i="94" s="1"/>
  <c r="F48" i="94"/>
  <c r="B48" i="94"/>
  <c r="T47" i="94"/>
  <c r="P47" i="94"/>
  <c r="X47" i="94" s="1"/>
  <c r="Z47" i="94" s="1"/>
  <c r="L47" i="94"/>
  <c r="N47" i="94" s="1"/>
  <c r="H47" i="94"/>
  <c r="D47" i="94"/>
  <c r="B47" i="94"/>
  <c r="Z46" i="94"/>
  <c r="X46" i="94"/>
  <c r="N46" i="94"/>
  <c r="L46" i="94"/>
  <c r="F46" i="94"/>
  <c r="B46" i="94"/>
  <c r="Z45" i="94"/>
  <c r="X45" i="94"/>
  <c r="N45" i="94"/>
  <c r="L45" i="94"/>
  <c r="B45" i="94"/>
  <c r="X44" i="94"/>
  <c r="Z44" i="94" s="1"/>
  <c r="L44" i="94"/>
  <c r="N44" i="94" s="1"/>
  <c r="B44" i="94"/>
  <c r="X43" i="94"/>
  <c r="Z43" i="94" s="1"/>
  <c r="N43" i="94"/>
  <c r="L43" i="94"/>
  <c r="B43" i="94"/>
  <c r="Z42" i="94"/>
  <c r="X42" i="94"/>
  <c r="N42" i="94"/>
  <c r="L42" i="94"/>
  <c r="F42" i="94"/>
  <c r="B42" i="94"/>
  <c r="Z41" i="94"/>
  <c r="X41" i="94"/>
  <c r="N41" i="94"/>
  <c r="L41" i="94"/>
  <c r="B41" i="94"/>
  <c r="X40" i="94"/>
  <c r="Z40" i="94" s="1"/>
  <c r="L40" i="94"/>
  <c r="N40" i="94" s="1"/>
  <c r="B40" i="94"/>
  <c r="Z39" i="94"/>
  <c r="X39" i="94"/>
  <c r="N39" i="94"/>
  <c r="L39" i="94"/>
  <c r="B39" i="94"/>
  <c r="Z38" i="94"/>
  <c r="X38" i="94"/>
  <c r="N38" i="94"/>
  <c r="L38" i="94"/>
  <c r="J38" i="94"/>
  <c r="F38" i="94"/>
  <c r="B38" i="94"/>
  <c r="Z37" i="94"/>
  <c r="X37" i="94"/>
  <c r="N37" i="94"/>
  <c r="L37" i="94"/>
  <c r="B37" i="94"/>
  <c r="Z36" i="94"/>
  <c r="X36" i="94"/>
  <c r="T36" i="94"/>
  <c r="P36" i="94"/>
  <c r="H36" i="94"/>
  <c r="D36" i="94"/>
  <c r="L36" i="94" s="1"/>
  <c r="N36" i="94" s="1"/>
  <c r="B36" i="94"/>
  <c r="Z35" i="94"/>
  <c r="X35" i="94"/>
  <c r="V35" i="94"/>
  <c r="N35" i="94"/>
  <c r="L35" i="94"/>
  <c r="B35" i="94"/>
  <c r="Z34" i="94"/>
  <c r="X34" i="94"/>
  <c r="V34" i="94"/>
  <c r="L34" i="94"/>
  <c r="N34" i="94" s="1"/>
  <c r="B34" i="94"/>
  <c r="X33" i="94"/>
  <c r="Z33" i="94" s="1"/>
  <c r="L33" i="94"/>
  <c r="N33" i="94" s="1"/>
  <c r="J33" i="94"/>
  <c r="B33" i="94"/>
  <c r="Z32" i="94"/>
  <c r="X32" i="94"/>
  <c r="N32" i="94"/>
  <c r="L32" i="94"/>
  <c r="B32" i="94"/>
  <c r="Z31" i="94"/>
  <c r="X31" i="94"/>
  <c r="V31" i="94"/>
  <c r="N31" i="94"/>
  <c r="L31" i="94"/>
  <c r="B31" i="94"/>
  <c r="Z30" i="94"/>
  <c r="X30" i="94"/>
  <c r="V30" i="94"/>
  <c r="L30" i="94"/>
  <c r="N30" i="94" s="1"/>
  <c r="B30" i="94"/>
  <c r="X29" i="94"/>
  <c r="Z29" i="94" s="1"/>
  <c r="L29" i="94"/>
  <c r="N29" i="94" s="1"/>
  <c r="J29" i="94"/>
  <c r="B29" i="94"/>
  <c r="X28" i="94"/>
  <c r="Z28" i="94" s="1"/>
  <c r="L28" i="94"/>
  <c r="N28" i="94" s="1"/>
  <c r="B28" i="94"/>
  <c r="Z27" i="94"/>
  <c r="X27" i="94"/>
  <c r="V27" i="94"/>
  <c r="N27" i="94"/>
  <c r="L27" i="94"/>
  <c r="B27" i="94"/>
  <c r="T26" i="94"/>
  <c r="P26" i="94"/>
  <c r="X26" i="94" s="1"/>
  <c r="L26" i="94"/>
  <c r="N26" i="94" s="1"/>
  <c r="H26" i="94"/>
  <c r="D26" i="94"/>
  <c r="B26" i="94"/>
  <c r="T25" i="94"/>
  <c r="X25" i="94" s="1"/>
  <c r="P25" i="94"/>
  <c r="H25" i="94"/>
  <c r="D25" i="94"/>
  <c r="D23" i="94"/>
  <c r="Z21" i="94"/>
  <c r="X21" i="94"/>
  <c r="V21" i="94"/>
  <c r="N21" i="94"/>
  <c r="L21" i="94"/>
  <c r="B21" i="94"/>
  <c r="Z20" i="94"/>
  <c r="X20" i="94"/>
  <c r="V20" i="94"/>
  <c r="N20" i="94"/>
  <c r="L20" i="94"/>
  <c r="F20" i="94"/>
  <c r="B20" i="94"/>
  <c r="Z19" i="94"/>
  <c r="X19" i="94"/>
  <c r="L19" i="94"/>
  <c r="N19" i="94" s="1"/>
  <c r="B19" i="94"/>
  <c r="X18" i="94"/>
  <c r="T18" i="94"/>
  <c r="Z18" i="94" s="1"/>
  <c r="P18" i="94"/>
  <c r="H18" i="94"/>
  <c r="F18" i="94"/>
  <c r="D18" i="94"/>
  <c r="L18" i="94" s="1"/>
  <c r="N18" i="94" s="1"/>
  <c r="Z16" i="94"/>
  <c r="X16" i="94"/>
  <c r="P16" i="94"/>
  <c r="N16" i="94"/>
  <c r="L16" i="94"/>
  <c r="D16" i="94"/>
  <c r="B16" i="94"/>
  <c r="X15" i="94"/>
  <c r="Z15" i="94" s="1"/>
  <c r="P15" i="94"/>
  <c r="N15" i="94"/>
  <c r="L15" i="94"/>
  <c r="D15" i="94"/>
  <c r="B15" i="94"/>
  <c r="Z14" i="94"/>
  <c r="X14" i="94"/>
  <c r="P14" i="94"/>
  <c r="N14" i="94"/>
  <c r="L14" i="94"/>
  <c r="D14" i="94"/>
  <c r="B14" i="94"/>
  <c r="P13" i="94"/>
  <c r="L13" i="94"/>
  <c r="N13" i="94" s="1"/>
  <c r="D13" i="94"/>
  <c r="B13" i="94"/>
  <c r="T12" i="94"/>
  <c r="H12" i="94"/>
  <c r="D12" i="94"/>
  <c r="D6" i="94"/>
  <c r="D4" i="94"/>
  <c r="X87" i="93"/>
  <c r="Z87" i="93" s="1"/>
  <c r="N87" i="93"/>
  <c r="L87" i="93"/>
  <c r="J87" i="93"/>
  <c r="T85" i="93"/>
  <c r="X83" i="93"/>
  <c r="T83" i="93"/>
  <c r="Z83" i="93" s="1"/>
  <c r="P83" i="93"/>
  <c r="N83" i="93"/>
  <c r="H83" i="93"/>
  <c r="D83" i="93"/>
  <c r="L83" i="93" s="1"/>
  <c r="Z81" i="93"/>
  <c r="X81" i="93"/>
  <c r="N81" i="93"/>
  <c r="L81" i="93"/>
  <c r="B81" i="93"/>
  <c r="X80" i="93"/>
  <c r="T80" i="93"/>
  <c r="P80" i="93"/>
  <c r="N80" i="93"/>
  <c r="L80" i="93"/>
  <c r="H80" i="93"/>
  <c r="D80" i="93"/>
  <c r="B80" i="93"/>
  <c r="Z79" i="93"/>
  <c r="X79" i="93"/>
  <c r="V79" i="93"/>
  <c r="L79" i="93"/>
  <c r="N79" i="93" s="1"/>
  <c r="B79" i="93"/>
  <c r="T78" i="93"/>
  <c r="P78" i="93"/>
  <c r="X78" i="93" s="1"/>
  <c r="N78" i="93"/>
  <c r="J78" i="93"/>
  <c r="H78" i="93"/>
  <c r="D78" i="93"/>
  <c r="L78" i="93" s="1"/>
  <c r="B78" i="93"/>
  <c r="Z77" i="93"/>
  <c r="X77" i="93"/>
  <c r="V77" i="93"/>
  <c r="N77" i="93"/>
  <c r="L77" i="93"/>
  <c r="B77" i="93"/>
  <c r="Z76" i="93"/>
  <c r="X76" i="93"/>
  <c r="L76" i="93"/>
  <c r="N76" i="93" s="1"/>
  <c r="B76" i="93"/>
  <c r="X75" i="93"/>
  <c r="Z75" i="93" s="1"/>
  <c r="N75" i="93"/>
  <c r="L75" i="93"/>
  <c r="B75" i="93"/>
  <c r="X74" i="93"/>
  <c r="Z74" i="93" s="1"/>
  <c r="V74" i="93"/>
  <c r="N74" i="93"/>
  <c r="L74" i="93"/>
  <c r="B74" i="93"/>
  <c r="X73" i="93"/>
  <c r="Z73" i="93" s="1"/>
  <c r="V73" i="93"/>
  <c r="N73" i="93"/>
  <c r="L73" i="93"/>
  <c r="B73" i="93"/>
  <c r="Z72" i="93"/>
  <c r="X72" i="93"/>
  <c r="L72" i="93"/>
  <c r="N72" i="93" s="1"/>
  <c r="B72" i="93"/>
  <c r="X71" i="93"/>
  <c r="T71" i="93"/>
  <c r="P71" i="93"/>
  <c r="J71" i="93"/>
  <c r="H71" i="93"/>
  <c r="D71" i="93"/>
  <c r="L71" i="93" s="1"/>
  <c r="N71" i="93" s="1"/>
  <c r="B71" i="93"/>
  <c r="Z70" i="93"/>
  <c r="X70" i="93"/>
  <c r="L70" i="93"/>
  <c r="N70" i="93" s="1"/>
  <c r="B70" i="93"/>
  <c r="X69" i="93"/>
  <c r="Z69" i="93" s="1"/>
  <c r="N69" i="93"/>
  <c r="L69" i="93"/>
  <c r="B69" i="93"/>
  <c r="X68" i="93"/>
  <c r="Z68" i="93" s="1"/>
  <c r="N68" i="93"/>
  <c r="L68" i="93"/>
  <c r="J68" i="93"/>
  <c r="B68" i="93"/>
  <c r="T67" i="93"/>
  <c r="R67" i="93"/>
  <c r="P67" i="93"/>
  <c r="X67" i="93" s="1"/>
  <c r="Z67" i="93" s="1"/>
  <c r="L67" i="93"/>
  <c r="H67" i="93"/>
  <c r="N67" i="93" s="1"/>
  <c r="D67" i="93"/>
  <c r="B67" i="93"/>
  <c r="X66" i="93"/>
  <c r="Z66" i="93" s="1"/>
  <c r="N66" i="93"/>
  <c r="L66" i="93"/>
  <c r="B66" i="93"/>
  <c r="X65" i="93"/>
  <c r="Z65" i="93" s="1"/>
  <c r="T65" i="93"/>
  <c r="P65" i="93"/>
  <c r="N65" i="93"/>
  <c r="H65" i="93"/>
  <c r="D65" i="93"/>
  <c r="L65" i="93" s="1"/>
  <c r="B65" i="93"/>
  <c r="Z64" i="93"/>
  <c r="X64" i="93"/>
  <c r="L64" i="93"/>
  <c r="N64" i="93" s="1"/>
  <c r="B64" i="93"/>
  <c r="X63" i="93"/>
  <c r="Z63" i="93" s="1"/>
  <c r="N63" i="93"/>
  <c r="L63" i="93"/>
  <c r="B63" i="93"/>
  <c r="X62" i="93"/>
  <c r="Z62" i="93" s="1"/>
  <c r="V62" i="93"/>
  <c r="T62" i="93"/>
  <c r="P62" i="93"/>
  <c r="H62" i="93"/>
  <c r="D62" i="93"/>
  <c r="L62" i="93" s="1"/>
  <c r="N62" i="93" s="1"/>
  <c r="B62" i="93"/>
  <c r="X61" i="93"/>
  <c r="Z61" i="93" s="1"/>
  <c r="L61" i="93"/>
  <c r="N61" i="93" s="1"/>
  <c r="B61" i="93"/>
  <c r="T60" i="93"/>
  <c r="P60" i="93"/>
  <c r="H60" i="93"/>
  <c r="L60" i="93" s="1"/>
  <c r="N60" i="93" s="1"/>
  <c r="D60" i="93"/>
  <c r="B60" i="93"/>
  <c r="Z59" i="93"/>
  <c r="X59" i="93"/>
  <c r="V59" i="93"/>
  <c r="L59" i="93"/>
  <c r="N59" i="93" s="1"/>
  <c r="B59" i="93"/>
  <c r="T58" i="93"/>
  <c r="P58" i="93"/>
  <c r="X58" i="93" s="1"/>
  <c r="N58" i="93"/>
  <c r="J58" i="93"/>
  <c r="H58" i="93"/>
  <c r="D58" i="93"/>
  <c r="L58" i="93" s="1"/>
  <c r="B58" i="93"/>
  <c r="Z57" i="93"/>
  <c r="X57" i="93"/>
  <c r="V57" i="93"/>
  <c r="L57" i="93"/>
  <c r="N57" i="93" s="1"/>
  <c r="B57" i="93"/>
  <c r="T56" i="93"/>
  <c r="P56" i="93"/>
  <c r="X56" i="93" s="1"/>
  <c r="Z56" i="93" s="1"/>
  <c r="L56" i="93"/>
  <c r="H56" i="93"/>
  <c r="D56" i="93"/>
  <c r="B56" i="93"/>
  <c r="Z55" i="93"/>
  <c r="X55" i="93"/>
  <c r="N55" i="93"/>
  <c r="L55" i="93"/>
  <c r="B55" i="93"/>
  <c r="Z54" i="93"/>
  <c r="X54" i="93"/>
  <c r="L54" i="93"/>
  <c r="N54" i="93" s="1"/>
  <c r="B54" i="93"/>
  <c r="X53" i="93"/>
  <c r="Z53" i="93" s="1"/>
  <c r="L53" i="93"/>
  <c r="N53" i="93" s="1"/>
  <c r="B53" i="93"/>
  <c r="X52" i="93"/>
  <c r="T52" i="93"/>
  <c r="P52" i="93"/>
  <c r="N52" i="93"/>
  <c r="H52" i="93"/>
  <c r="D52" i="93"/>
  <c r="L52" i="93" s="1"/>
  <c r="B52" i="93"/>
  <c r="Z51" i="93"/>
  <c r="X51" i="93"/>
  <c r="V51" i="93"/>
  <c r="L51" i="93"/>
  <c r="N51" i="93" s="1"/>
  <c r="B51" i="93"/>
  <c r="T50" i="93"/>
  <c r="P50" i="93"/>
  <c r="X50" i="93" s="1"/>
  <c r="N50" i="93"/>
  <c r="H50" i="93"/>
  <c r="D50" i="93"/>
  <c r="L50" i="93" s="1"/>
  <c r="B50" i="93"/>
  <c r="Z49" i="93"/>
  <c r="X49" i="93"/>
  <c r="V49" i="93"/>
  <c r="N49" i="93"/>
  <c r="L49" i="93"/>
  <c r="B49" i="93"/>
  <c r="T48" i="93"/>
  <c r="Z48" i="93" s="1"/>
  <c r="P48" i="93"/>
  <c r="X48" i="93" s="1"/>
  <c r="L48" i="93"/>
  <c r="H48" i="93"/>
  <c r="N48" i="93" s="1"/>
  <c r="D48" i="93"/>
  <c r="B48" i="93"/>
  <c r="Z47" i="93"/>
  <c r="X47" i="93"/>
  <c r="N47" i="93"/>
  <c r="L47" i="93"/>
  <c r="B47" i="93"/>
  <c r="T46" i="93"/>
  <c r="P46" i="93"/>
  <c r="X46" i="93" s="1"/>
  <c r="Z46" i="93" s="1"/>
  <c r="L46" i="93"/>
  <c r="H46" i="93"/>
  <c r="D46" i="93"/>
  <c r="B46" i="93"/>
  <c r="Z45" i="93"/>
  <c r="X45" i="93"/>
  <c r="N45" i="93"/>
  <c r="L45" i="93"/>
  <c r="B45" i="93"/>
  <c r="Z44" i="93"/>
  <c r="X44" i="93"/>
  <c r="V44" i="93"/>
  <c r="N44" i="93"/>
  <c r="L44" i="93"/>
  <c r="B44" i="93"/>
  <c r="Z43" i="93"/>
  <c r="X43" i="93"/>
  <c r="V43" i="93"/>
  <c r="N43" i="93"/>
  <c r="L43" i="93"/>
  <c r="B43" i="93"/>
  <c r="Z42" i="93"/>
  <c r="X42" i="93"/>
  <c r="R42" i="93"/>
  <c r="N42" i="93"/>
  <c r="L42" i="93"/>
  <c r="B42" i="93"/>
  <c r="Z41" i="93"/>
  <c r="X41" i="93"/>
  <c r="N41" i="93"/>
  <c r="L41" i="93"/>
  <c r="J41" i="93"/>
  <c r="B41" i="93"/>
  <c r="Z40" i="93"/>
  <c r="X40" i="93"/>
  <c r="V40" i="93"/>
  <c r="N40" i="93"/>
  <c r="L40" i="93"/>
  <c r="B40" i="93"/>
  <c r="Z39" i="93"/>
  <c r="X39" i="93"/>
  <c r="V39" i="93"/>
  <c r="L39" i="93"/>
  <c r="N39" i="93" s="1"/>
  <c r="B39" i="93"/>
  <c r="Z38" i="93"/>
  <c r="X38" i="93"/>
  <c r="N38" i="93"/>
  <c r="L38" i="93"/>
  <c r="B38" i="93"/>
  <c r="X37" i="93"/>
  <c r="Z37" i="93" s="1"/>
  <c r="N37" i="93"/>
  <c r="L37" i="93"/>
  <c r="J37" i="93"/>
  <c r="B37" i="93"/>
  <c r="Z36" i="93"/>
  <c r="X36" i="93"/>
  <c r="V36" i="93"/>
  <c r="N36" i="93"/>
  <c r="L36" i="93"/>
  <c r="B36" i="93"/>
  <c r="T35" i="93"/>
  <c r="Z35" i="93" s="1"/>
  <c r="P35" i="93"/>
  <c r="X35" i="93" s="1"/>
  <c r="H35" i="93"/>
  <c r="D35" i="93"/>
  <c r="L35" i="93" s="1"/>
  <c r="N35" i="93" s="1"/>
  <c r="B35" i="93"/>
  <c r="Z34" i="93"/>
  <c r="X34" i="93"/>
  <c r="V34" i="93"/>
  <c r="N34" i="93"/>
  <c r="L34" i="93"/>
  <c r="B34" i="93"/>
  <c r="X33" i="93"/>
  <c r="Z33" i="93" s="1"/>
  <c r="V33" i="93"/>
  <c r="L33" i="93"/>
  <c r="N33" i="93" s="1"/>
  <c r="B33" i="93"/>
  <c r="X32" i="93"/>
  <c r="Z32" i="93" s="1"/>
  <c r="L32" i="93"/>
  <c r="N32" i="93" s="1"/>
  <c r="B32" i="93"/>
  <c r="Z31" i="93"/>
  <c r="X31" i="93"/>
  <c r="N31" i="93"/>
  <c r="L31" i="93"/>
  <c r="B31" i="93"/>
  <c r="X30" i="93"/>
  <c r="Z30" i="93" s="1"/>
  <c r="V30" i="93"/>
  <c r="N30" i="93"/>
  <c r="L30" i="93"/>
  <c r="B30" i="93"/>
  <c r="X29" i="93"/>
  <c r="Z29" i="93" s="1"/>
  <c r="V29" i="93"/>
  <c r="N29" i="93"/>
  <c r="L29" i="93"/>
  <c r="B29" i="93"/>
  <c r="X28" i="93"/>
  <c r="Z28" i="93" s="1"/>
  <c r="L28" i="93"/>
  <c r="N28" i="93" s="1"/>
  <c r="B28" i="93"/>
  <c r="X27" i="93"/>
  <c r="Z27" i="93" s="1"/>
  <c r="N27" i="93"/>
  <c r="L27" i="93"/>
  <c r="B27" i="93"/>
  <c r="X26" i="93"/>
  <c r="Z26" i="93" s="1"/>
  <c r="V26" i="93"/>
  <c r="N26" i="93"/>
  <c r="L26" i="93"/>
  <c r="B26" i="93"/>
  <c r="V25" i="93"/>
  <c r="T25" i="93"/>
  <c r="P25" i="93"/>
  <c r="X25" i="93" s="1"/>
  <c r="Z25" i="93" s="1"/>
  <c r="L25" i="93"/>
  <c r="H25" i="93"/>
  <c r="D25" i="93"/>
  <c r="B25" i="93"/>
  <c r="T24" i="93"/>
  <c r="P24" i="93"/>
  <c r="H24" i="93"/>
  <c r="N24" i="93" s="1"/>
  <c r="D24" i="93"/>
  <c r="L24" i="93" s="1"/>
  <c r="T22" i="93"/>
  <c r="Z20" i="93"/>
  <c r="X20" i="93"/>
  <c r="N20" i="93"/>
  <c r="L20" i="93"/>
  <c r="J20" i="93"/>
  <c r="B20" i="93"/>
  <c r="Z19" i="93"/>
  <c r="X19" i="93"/>
  <c r="V19" i="93"/>
  <c r="N19" i="93"/>
  <c r="L19" i="93"/>
  <c r="B19" i="93"/>
  <c r="T18" i="93"/>
  <c r="P18" i="93"/>
  <c r="X18" i="93" s="1"/>
  <c r="Z18" i="93" s="1"/>
  <c r="L18" i="93"/>
  <c r="H18" i="93"/>
  <c r="D18" i="93"/>
  <c r="Z16" i="93"/>
  <c r="P16" i="93"/>
  <c r="X16" i="93" s="1"/>
  <c r="N16" i="93"/>
  <c r="D16" i="93"/>
  <c r="L16" i="93" s="1"/>
  <c r="B16" i="93"/>
  <c r="P15" i="93"/>
  <c r="X15" i="93" s="1"/>
  <c r="Z15" i="93" s="1"/>
  <c r="N15" i="93"/>
  <c r="D15" i="93"/>
  <c r="L15" i="93" s="1"/>
  <c r="B15" i="93"/>
  <c r="Z14" i="93"/>
  <c r="X14" i="93"/>
  <c r="P14" i="93"/>
  <c r="N14" i="93"/>
  <c r="D14" i="93"/>
  <c r="B14" i="93"/>
  <c r="Z13" i="93"/>
  <c r="X13" i="93"/>
  <c r="P13" i="93"/>
  <c r="N13" i="93"/>
  <c r="D13" i="93"/>
  <c r="L13" i="93" s="1"/>
  <c r="B13" i="93"/>
  <c r="T12" i="93"/>
  <c r="V75" i="93" s="1"/>
  <c r="P12" i="93"/>
  <c r="R53" i="93" s="1"/>
  <c r="H12" i="93"/>
  <c r="J47" i="93" s="1"/>
  <c r="D6" i="93"/>
  <c r="D4" i="93"/>
  <c r="F102" i="92"/>
  <c r="F99" i="92"/>
  <c r="Z97" i="92"/>
  <c r="X97" i="92"/>
  <c r="N97" i="92"/>
  <c r="L97" i="92"/>
  <c r="Z93" i="92"/>
  <c r="X93" i="92"/>
  <c r="V93" i="92"/>
  <c r="P93" i="92"/>
  <c r="N93" i="92"/>
  <c r="D93" i="92"/>
  <c r="L93" i="92" s="1"/>
  <c r="B93" i="92"/>
  <c r="Z92" i="92"/>
  <c r="X92" i="92"/>
  <c r="P92" i="92"/>
  <c r="L92" i="92"/>
  <c r="N92" i="92" s="1"/>
  <c r="D92" i="92"/>
  <c r="B92" i="92"/>
  <c r="X91" i="92"/>
  <c r="T91" i="92"/>
  <c r="P91" i="92"/>
  <c r="H91" i="92"/>
  <c r="D91" i="92"/>
  <c r="L91" i="92" s="1"/>
  <c r="X89" i="92"/>
  <c r="Z89" i="92" s="1"/>
  <c r="V89" i="92"/>
  <c r="N89" i="92"/>
  <c r="L89" i="92"/>
  <c r="F89" i="92"/>
  <c r="B89" i="92"/>
  <c r="V88" i="92"/>
  <c r="T88" i="92"/>
  <c r="P88" i="92"/>
  <c r="X88" i="92" s="1"/>
  <c r="Z88" i="92" s="1"/>
  <c r="L88" i="92"/>
  <c r="N88" i="92" s="1"/>
  <c r="H88" i="92"/>
  <c r="F88" i="92"/>
  <c r="D88" i="92"/>
  <c r="B88" i="92"/>
  <c r="Z87" i="92"/>
  <c r="X87" i="92"/>
  <c r="N87" i="92"/>
  <c r="L87" i="92"/>
  <c r="B87" i="92"/>
  <c r="Z86" i="92"/>
  <c r="X86" i="92"/>
  <c r="N86" i="92"/>
  <c r="L86" i="92"/>
  <c r="F86" i="92"/>
  <c r="B86" i="92"/>
  <c r="Z85" i="92"/>
  <c r="X85" i="92"/>
  <c r="N85" i="92"/>
  <c r="L85" i="92"/>
  <c r="B85" i="92"/>
  <c r="Z84" i="92"/>
  <c r="X84" i="92"/>
  <c r="T84" i="92"/>
  <c r="P84" i="92"/>
  <c r="N84" i="92"/>
  <c r="H84" i="92"/>
  <c r="D84" i="92"/>
  <c r="L84" i="92" s="1"/>
  <c r="B84" i="92"/>
  <c r="Z83" i="92"/>
  <c r="X83" i="92"/>
  <c r="N83" i="92"/>
  <c r="L83" i="92"/>
  <c r="B83" i="92"/>
  <c r="Z82" i="92"/>
  <c r="V82" i="92"/>
  <c r="T82" i="92"/>
  <c r="P82" i="92"/>
  <c r="X82" i="92" s="1"/>
  <c r="N82" i="92"/>
  <c r="H82" i="92"/>
  <c r="D82" i="92"/>
  <c r="L82" i="92" s="1"/>
  <c r="B82" i="92"/>
  <c r="X81" i="92"/>
  <c r="Z81" i="92" s="1"/>
  <c r="V81" i="92"/>
  <c r="N81" i="92"/>
  <c r="L81" i="92"/>
  <c r="B81" i="92"/>
  <c r="V80" i="92"/>
  <c r="T80" i="92"/>
  <c r="Z80" i="92" s="1"/>
  <c r="P80" i="92"/>
  <c r="X80" i="92" s="1"/>
  <c r="L80" i="92"/>
  <c r="N80" i="92" s="1"/>
  <c r="H80" i="92"/>
  <c r="F80" i="92"/>
  <c r="D80" i="92"/>
  <c r="B80" i="92"/>
  <c r="X79" i="92"/>
  <c r="Z79" i="92" s="1"/>
  <c r="N79" i="92"/>
  <c r="L79" i="92"/>
  <c r="B79" i="92"/>
  <c r="Z78" i="92"/>
  <c r="X78" i="92"/>
  <c r="N78" i="92"/>
  <c r="L78" i="92"/>
  <c r="F78" i="92"/>
  <c r="B78" i="92"/>
  <c r="Z77" i="92"/>
  <c r="X77" i="92"/>
  <c r="L77" i="92"/>
  <c r="N77" i="92" s="1"/>
  <c r="B77" i="92"/>
  <c r="Z76" i="92"/>
  <c r="X76" i="92"/>
  <c r="L76" i="92"/>
  <c r="N76" i="92" s="1"/>
  <c r="B76" i="92"/>
  <c r="X75" i="92"/>
  <c r="Z75" i="92" s="1"/>
  <c r="L75" i="92"/>
  <c r="N75" i="92" s="1"/>
  <c r="J75" i="92"/>
  <c r="B75" i="92"/>
  <c r="Z74" i="92"/>
  <c r="X74" i="92"/>
  <c r="V74" i="92"/>
  <c r="L74" i="92"/>
  <c r="N74" i="92" s="1"/>
  <c r="B74" i="92"/>
  <c r="Z73" i="92"/>
  <c r="X73" i="92"/>
  <c r="V73" i="92"/>
  <c r="N73" i="92"/>
  <c r="L73" i="92"/>
  <c r="B73" i="92"/>
  <c r="T72" i="92"/>
  <c r="P72" i="92"/>
  <c r="X72" i="92" s="1"/>
  <c r="Z72" i="92" s="1"/>
  <c r="H72" i="92"/>
  <c r="D72" i="92"/>
  <c r="L72" i="92" s="1"/>
  <c r="B72" i="92"/>
  <c r="Z71" i="92"/>
  <c r="X71" i="92"/>
  <c r="N71" i="92"/>
  <c r="L71" i="92"/>
  <c r="B71" i="92"/>
  <c r="X70" i="92"/>
  <c r="T70" i="92"/>
  <c r="Z70" i="92" s="1"/>
  <c r="P70" i="92"/>
  <c r="N70" i="92"/>
  <c r="L70" i="92"/>
  <c r="J70" i="92"/>
  <c r="H70" i="92"/>
  <c r="F70" i="92"/>
  <c r="D70" i="92"/>
  <c r="B70" i="92"/>
  <c r="Z69" i="92"/>
  <c r="X69" i="92"/>
  <c r="L69" i="92"/>
  <c r="N69" i="92" s="1"/>
  <c r="B69" i="92"/>
  <c r="X68" i="92"/>
  <c r="Z68" i="92" s="1"/>
  <c r="N68" i="92"/>
  <c r="L68" i="92"/>
  <c r="B68" i="92"/>
  <c r="Z67" i="92"/>
  <c r="X67" i="92"/>
  <c r="N67" i="92"/>
  <c r="L67" i="92"/>
  <c r="B67" i="92"/>
  <c r="Z66" i="92"/>
  <c r="X66" i="92"/>
  <c r="R66" i="92"/>
  <c r="N66" i="92"/>
  <c r="L66" i="92"/>
  <c r="J66" i="92"/>
  <c r="F66" i="92"/>
  <c r="B66" i="92"/>
  <c r="Z65" i="92"/>
  <c r="X65" i="92"/>
  <c r="L65" i="92"/>
  <c r="N65" i="92" s="1"/>
  <c r="F65" i="92"/>
  <c r="B65" i="92"/>
  <c r="Z64" i="92"/>
  <c r="X64" i="92"/>
  <c r="T64" i="92"/>
  <c r="P64" i="92"/>
  <c r="H64" i="92"/>
  <c r="D64" i="92"/>
  <c r="B64" i="92"/>
  <c r="Z63" i="92"/>
  <c r="X63" i="92"/>
  <c r="V63" i="92"/>
  <c r="L63" i="92"/>
  <c r="N63" i="92" s="1"/>
  <c r="B63" i="92"/>
  <c r="Z62" i="92"/>
  <c r="X62" i="92"/>
  <c r="V62" i="92"/>
  <c r="L62" i="92"/>
  <c r="N62" i="92" s="1"/>
  <c r="B62" i="92"/>
  <c r="X61" i="92"/>
  <c r="Z61" i="92" s="1"/>
  <c r="V61" i="92"/>
  <c r="N61" i="92"/>
  <c r="L61" i="92"/>
  <c r="J61" i="92"/>
  <c r="B61" i="92"/>
  <c r="T60" i="92"/>
  <c r="P60" i="92"/>
  <c r="X60" i="92" s="1"/>
  <c r="Z60" i="92" s="1"/>
  <c r="H60" i="92"/>
  <c r="D60" i="92"/>
  <c r="B60" i="92"/>
  <c r="Z59" i="92"/>
  <c r="X59" i="92"/>
  <c r="N59" i="92"/>
  <c r="L59" i="92"/>
  <c r="B59" i="92"/>
  <c r="X58" i="92"/>
  <c r="T58" i="92"/>
  <c r="Z58" i="92" s="1"/>
  <c r="P58" i="92"/>
  <c r="N58" i="92"/>
  <c r="H58" i="92"/>
  <c r="F58" i="92"/>
  <c r="D58" i="92"/>
  <c r="L58" i="92" s="1"/>
  <c r="B58" i="92"/>
  <c r="Z57" i="92"/>
  <c r="X57" i="92"/>
  <c r="L57" i="92"/>
  <c r="N57" i="92" s="1"/>
  <c r="B57" i="92"/>
  <c r="X56" i="92"/>
  <c r="Z56" i="92" s="1"/>
  <c r="T56" i="92"/>
  <c r="P56" i="92"/>
  <c r="H56" i="92"/>
  <c r="F56" i="92"/>
  <c r="D56" i="92"/>
  <c r="B56" i="92"/>
  <c r="Z55" i="92"/>
  <c r="X55" i="92"/>
  <c r="V55" i="92"/>
  <c r="L55" i="92"/>
  <c r="N55" i="92" s="1"/>
  <c r="B55" i="92"/>
  <c r="V54" i="92"/>
  <c r="T54" i="92"/>
  <c r="Z54" i="92" s="1"/>
  <c r="P54" i="92"/>
  <c r="X54" i="92" s="1"/>
  <c r="H54" i="92"/>
  <c r="D54" i="92"/>
  <c r="L54" i="92" s="1"/>
  <c r="N54" i="92" s="1"/>
  <c r="B54" i="92"/>
  <c r="X53" i="92"/>
  <c r="Z53" i="92" s="1"/>
  <c r="V53" i="92"/>
  <c r="N53" i="92"/>
  <c r="L53" i="92"/>
  <c r="B53" i="92"/>
  <c r="V52" i="92"/>
  <c r="T52" i="92"/>
  <c r="R52" i="92"/>
  <c r="P52" i="92"/>
  <c r="X52" i="92" s="1"/>
  <c r="Z52" i="92" s="1"/>
  <c r="L52" i="92"/>
  <c r="H52" i="92"/>
  <c r="N52" i="92" s="1"/>
  <c r="D52" i="92"/>
  <c r="B52" i="92"/>
  <c r="X51" i="92"/>
  <c r="Z51" i="92" s="1"/>
  <c r="N51" i="92"/>
  <c r="L51" i="92"/>
  <c r="B51" i="92"/>
  <c r="T50" i="92"/>
  <c r="P50" i="92"/>
  <c r="N50" i="92"/>
  <c r="L50" i="92"/>
  <c r="H50" i="92"/>
  <c r="D50" i="92"/>
  <c r="B50" i="92"/>
  <c r="Z49" i="92"/>
  <c r="X49" i="92"/>
  <c r="V49" i="92"/>
  <c r="R49" i="92"/>
  <c r="N49" i="92"/>
  <c r="L49" i="92"/>
  <c r="J49" i="92"/>
  <c r="B49" i="92"/>
  <c r="T48" i="92"/>
  <c r="Z48" i="92" s="1"/>
  <c r="P48" i="92"/>
  <c r="X48" i="92" s="1"/>
  <c r="N48" i="92"/>
  <c r="H48" i="92"/>
  <c r="D48" i="92"/>
  <c r="B48" i="92"/>
  <c r="X47" i="92"/>
  <c r="Z47" i="92" s="1"/>
  <c r="N47" i="92"/>
  <c r="L47" i="92"/>
  <c r="F47" i="92"/>
  <c r="B47" i="92"/>
  <c r="X46" i="92"/>
  <c r="Z46" i="92" s="1"/>
  <c r="N46" i="92"/>
  <c r="L46" i="92"/>
  <c r="F46" i="92"/>
  <c r="B46" i="92"/>
  <c r="X45" i="92"/>
  <c r="Z45" i="92" s="1"/>
  <c r="V45" i="92"/>
  <c r="N45" i="92"/>
  <c r="L45" i="92"/>
  <c r="B45" i="92"/>
  <c r="X44" i="92"/>
  <c r="Z44" i="92" s="1"/>
  <c r="V44" i="92"/>
  <c r="N44" i="92"/>
  <c r="L44" i="92"/>
  <c r="F44" i="92"/>
  <c r="B44" i="92"/>
  <c r="T43" i="92"/>
  <c r="P43" i="92"/>
  <c r="X43" i="92" s="1"/>
  <c r="L43" i="92"/>
  <c r="N43" i="92" s="1"/>
  <c r="J43" i="92"/>
  <c r="H43" i="92"/>
  <c r="F43" i="92"/>
  <c r="D43" i="92"/>
  <c r="B43" i="92"/>
  <c r="Z42" i="92"/>
  <c r="X42" i="92"/>
  <c r="N42" i="92"/>
  <c r="L42" i="92"/>
  <c r="F42" i="92"/>
  <c r="B42" i="92"/>
  <c r="T41" i="92"/>
  <c r="X41" i="92" s="1"/>
  <c r="Z41" i="92" s="1"/>
  <c r="P41" i="92"/>
  <c r="N41" i="92"/>
  <c r="H41" i="92"/>
  <c r="L41" i="92" s="1"/>
  <c r="F41" i="92"/>
  <c r="D41" i="92"/>
  <c r="B41" i="92"/>
  <c r="Z40" i="92"/>
  <c r="X40" i="92"/>
  <c r="N40" i="92"/>
  <c r="L40" i="92"/>
  <c r="J40" i="92"/>
  <c r="B40" i="92"/>
  <c r="Z39" i="92"/>
  <c r="X39" i="92"/>
  <c r="V39" i="92"/>
  <c r="N39" i="92"/>
  <c r="L39" i="92"/>
  <c r="B39" i="92"/>
  <c r="Z38" i="92"/>
  <c r="X38" i="92"/>
  <c r="V38" i="92"/>
  <c r="N38" i="92"/>
  <c r="L38" i="92"/>
  <c r="B38" i="92"/>
  <c r="Z37" i="92"/>
  <c r="X37" i="92"/>
  <c r="V37" i="92"/>
  <c r="L37" i="92"/>
  <c r="N37" i="92" s="1"/>
  <c r="B37" i="92"/>
  <c r="Z36" i="92"/>
  <c r="X36" i="92"/>
  <c r="V36" i="92"/>
  <c r="N36" i="92"/>
  <c r="L36" i="92"/>
  <c r="B36" i="92"/>
  <c r="Z35" i="92"/>
  <c r="X35" i="92"/>
  <c r="V35" i="92"/>
  <c r="L35" i="92"/>
  <c r="N35" i="92" s="1"/>
  <c r="B35" i="92"/>
  <c r="Z34" i="92"/>
  <c r="X34" i="92"/>
  <c r="V34" i="92"/>
  <c r="L34" i="92"/>
  <c r="N34" i="92" s="1"/>
  <c r="B34" i="92"/>
  <c r="Z33" i="92"/>
  <c r="X33" i="92"/>
  <c r="V33" i="92"/>
  <c r="N33" i="92"/>
  <c r="L33" i="92"/>
  <c r="J33" i="92"/>
  <c r="B33" i="92"/>
  <c r="Z32" i="92"/>
  <c r="X32" i="92"/>
  <c r="V32" i="92"/>
  <c r="L32" i="92"/>
  <c r="N32" i="92" s="1"/>
  <c r="B32" i="92"/>
  <c r="Z31" i="92"/>
  <c r="X31" i="92"/>
  <c r="V31" i="92"/>
  <c r="L31" i="92"/>
  <c r="N31" i="92" s="1"/>
  <c r="B31" i="92"/>
  <c r="V30" i="92"/>
  <c r="T30" i="92"/>
  <c r="P30" i="92"/>
  <c r="H30" i="92"/>
  <c r="D30" i="92"/>
  <c r="L30" i="92" s="1"/>
  <c r="B30" i="92"/>
  <c r="X29" i="92"/>
  <c r="Z29" i="92" s="1"/>
  <c r="V29" i="92"/>
  <c r="N29" i="92"/>
  <c r="L29" i="92"/>
  <c r="B29" i="92"/>
  <c r="X28" i="92"/>
  <c r="Z28" i="92" s="1"/>
  <c r="V28" i="92"/>
  <c r="N28" i="92"/>
  <c r="L28" i="92"/>
  <c r="B28" i="92"/>
  <c r="X27" i="92"/>
  <c r="Z27" i="92" s="1"/>
  <c r="V27" i="92"/>
  <c r="L27" i="92"/>
  <c r="N27" i="92" s="1"/>
  <c r="F27" i="92"/>
  <c r="B27" i="92"/>
  <c r="Z26" i="92"/>
  <c r="X26" i="92"/>
  <c r="V26" i="92"/>
  <c r="N26" i="92"/>
  <c r="L26" i="92"/>
  <c r="F26" i="92"/>
  <c r="B26" i="92"/>
  <c r="Z25" i="92"/>
  <c r="X25" i="92"/>
  <c r="V25" i="92"/>
  <c r="N25" i="92"/>
  <c r="L25" i="92"/>
  <c r="B25" i="92"/>
  <c r="X24" i="92"/>
  <c r="Z24" i="92" s="1"/>
  <c r="V24" i="92"/>
  <c r="N24" i="92"/>
  <c r="L24" i="92"/>
  <c r="F24" i="92"/>
  <c r="B24" i="92"/>
  <c r="X23" i="92"/>
  <c r="Z23" i="92" s="1"/>
  <c r="V23" i="92"/>
  <c r="L23" i="92"/>
  <c r="N23" i="92" s="1"/>
  <c r="F23" i="92"/>
  <c r="B23" i="92"/>
  <c r="X22" i="92"/>
  <c r="Z22" i="92" s="1"/>
  <c r="V22" i="92"/>
  <c r="N22" i="92"/>
  <c r="L22" i="92"/>
  <c r="F22" i="92"/>
  <c r="B22" i="92"/>
  <c r="X21" i="92"/>
  <c r="Z21" i="92" s="1"/>
  <c r="V21" i="92"/>
  <c r="N21" i="92"/>
  <c r="L21" i="92"/>
  <c r="B21" i="92"/>
  <c r="X20" i="92"/>
  <c r="Z20" i="92" s="1"/>
  <c r="V20" i="92"/>
  <c r="N20" i="92"/>
  <c r="L20" i="92"/>
  <c r="B20" i="92"/>
  <c r="V19" i="92"/>
  <c r="T19" i="92"/>
  <c r="P19" i="92"/>
  <c r="X19" i="92" s="1"/>
  <c r="L19" i="92"/>
  <c r="J19" i="92"/>
  <c r="H19" i="92"/>
  <c r="F19" i="92"/>
  <c r="D19" i="92"/>
  <c r="B19" i="92"/>
  <c r="T18" i="92"/>
  <c r="P18" i="92"/>
  <c r="H18" i="92"/>
  <c r="D18" i="92"/>
  <c r="T16" i="92"/>
  <c r="T14" i="92"/>
  <c r="P14" i="92"/>
  <c r="H14" i="92"/>
  <c r="N14" i="92" s="1"/>
  <c r="D14" i="92"/>
  <c r="Z12" i="92"/>
  <c r="T12" i="92"/>
  <c r="V76" i="92" s="1"/>
  <c r="P12" i="92"/>
  <c r="N12" i="92"/>
  <c r="H12" i="92"/>
  <c r="J60" i="92" s="1"/>
  <c r="D12" i="92"/>
  <c r="F81" i="92" s="1"/>
  <c r="D6" i="92"/>
  <c r="D4" i="92"/>
  <c r="Z89" i="89"/>
  <c r="X89" i="89"/>
  <c r="L89" i="89"/>
  <c r="N89" i="89" s="1"/>
  <c r="Z85" i="89"/>
  <c r="X85" i="89"/>
  <c r="T85" i="89"/>
  <c r="P85" i="89"/>
  <c r="H85" i="89"/>
  <c r="D85" i="89"/>
  <c r="Z83" i="89"/>
  <c r="X83" i="89"/>
  <c r="N83" i="89"/>
  <c r="L83" i="89"/>
  <c r="B83" i="89"/>
  <c r="T82" i="89"/>
  <c r="P82" i="89"/>
  <c r="N82" i="89"/>
  <c r="H82" i="89"/>
  <c r="L82" i="89" s="1"/>
  <c r="D82" i="89"/>
  <c r="B82" i="89"/>
  <c r="Z81" i="89"/>
  <c r="X81" i="89"/>
  <c r="N81" i="89"/>
  <c r="L81" i="89"/>
  <c r="B81" i="89"/>
  <c r="V80" i="89"/>
  <c r="T80" i="89"/>
  <c r="P80" i="89"/>
  <c r="X80" i="89" s="1"/>
  <c r="N80" i="89"/>
  <c r="H80" i="89"/>
  <c r="D80" i="89"/>
  <c r="L80" i="89" s="1"/>
  <c r="B80" i="89"/>
  <c r="X79" i="89"/>
  <c r="Z79" i="89" s="1"/>
  <c r="L79" i="89"/>
  <c r="N79" i="89" s="1"/>
  <c r="B79" i="89"/>
  <c r="X78" i="89"/>
  <c r="Z78" i="89" s="1"/>
  <c r="V78" i="89"/>
  <c r="N78" i="89"/>
  <c r="L78" i="89"/>
  <c r="B78" i="89"/>
  <c r="T77" i="89"/>
  <c r="P77" i="89"/>
  <c r="X77" i="89" s="1"/>
  <c r="L77" i="89"/>
  <c r="N77" i="89" s="1"/>
  <c r="H77" i="89"/>
  <c r="D77" i="89"/>
  <c r="B77" i="89"/>
  <c r="Z76" i="89"/>
  <c r="X76" i="89"/>
  <c r="N76" i="89"/>
  <c r="L76" i="89"/>
  <c r="B76" i="89"/>
  <c r="Z75" i="89"/>
  <c r="X75" i="89"/>
  <c r="N75" i="89"/>
  <c r="L75" i="89"/>
  <c r="B75" i="89"/>
  <c r="X74" i="89"/>
  <c r="Z74" i="89" s="1"/>
  <c r="N74" i="89"/>
  <c r="L74" i="89"/>
  <c r="B74" i="89"/>
  <c r="Z73" i="89"/>
  <c r="X73" i="89"/>
  <c r="N73" i="89"/>
  <c r="L73" i="89"/>
  <c r="B73" i="89"/>
  <c r="Z72" i="89"/>
  <c r="X72" i="89"/>
  <c r="N72" i="89"/>
  <c r="L72" i="89"/>
  <c r="B72" i="89"/>
  <c r="X71" i="89"/>
  <c r="Z71" i="89" s="1"/>
  <c r="N71" i="89"/>
  <c r="L71" i="89"/>
  <c r="B71" i="89"/>
  <c r="X70" i="89"/>
  <c r="T70" i="89"/>
  <c r="Z70" i="89" s="1"/>
  <c r="P70" i="89"/>
  <c r="H70" i="89"/>
  <c r="D70" i="89"/>
  <c r="B70" i="89"/>
  <c r="Z69" i="89"/>
  <c r="X69" i="89"/>
  <c r="L69" i="89"/>
  <c r="N69" i="89" s="1"/>
  <c r="B69" i="89"/>
  <c r="Z68" i="89"/>
  <c r="X68" i="89"/>
  <c r="V68" i="89"/>
  <c r="L68" i="89"/>
  <c r="N68" i="89" s="1"/>
  <c r="B68" i="89"/>
  <c r="Z67" i="89"/>
  <c r="X67" i="89"/>
  <c r="L67" i="89"/>
  <c r="N67" i="89" s="1"/>
  <c r="B67" i="89"/>
  <c r="Z66" i="89"/>
  <c r="V66" i="89"/>
  <c r="T66" i="89"/>
  <c r="P66" i="89"/>
  <c r="X66" i="89" s="1"/>
  <c r="N66" i="89"/>
  <c r="H66" i="89"/>
  <c r="D66" i="89"/>
  <c r="L66" i="89" s="1"/>
  <c r="B66" i="89"/>
  <c r="X65" i="89"/>
  <c r="Z65" i="89" s="1"/>
  <c r="L65" i="89"/>
  <c r="N65" i="89" s="1"/>
  <c r="B65" i="89"/>
  <c r="Z64" i="89"/>
  <c r="X64" i="89"/>
  <c r="V64" i="89"/>
  <c r="N64" i="89"/>
  <c r="L64" i="89"/>
  <c r="B64" i="89"/>
  <c r="X63" i="89"/>
  <c r="Z63" i="89" s="1"/>
  <c r="L63" i="89"/>
  <c r="N63" i="89" s="1"/>
  <c r="B63" i="89"/>
  <c r="X62" i="89"/>
  <c r="V62" i="89"/>
  <c r="T62" i="89"/>
  <c r="P62" i="89"/>
  <c r="H62" i="89"/>
  <c r="D62" i="89"/>
  <c r="L62" i="89" s="1"/>
  <c r="B62" i="89"/>
  <c r="Z61" i="89"/>
  <c r="X61" i="89"/>
  <c r="N61" i="89"/>
  <c r="L61" i="89"/>
  <c r="B61" i="89"/>
  <c r="T60" i="89"/>
  <c r="P60" i="89"/>
  <c r="N60" i="89"/>
  <c r="L60" i="89"/>
  <c r="H60" i="89"/>
  <c r="D60" i="89"/>
  <c r="B60" i="89"/>
  <c r="Z59" i="89"/>
  <c r="X59" i="89"/>
  <c r="N59" i="89"/>
  <c r="L59" i="89"/>
  <c r="B59" i="89"/>
  <c r="Z58" i="89"/>
  <c r="T58" i="89"/>
  <c r="P58" i="89"/>
  <c r="H58" i="89"/>
  <c r="N58" i="89" s="1"/>
  <c r="D58" i="89"/>
  <c r="B58" i="89"/>
  <c r="X57" i="89"/>
  <c r="Z57" i="89" s="1"/>
  <c r="V57" i="89"/>
  <c r="N57" i="89"/>
  <c r="L57" i="89"/>
  <c r="B57" i="89"/>
  <c r="X56" i="89"/>
  <c r="T56" i="89"/>
  <c r="Z56" i="89" s="1"/>
  <c r="R56" i="89"/>
  <c r="P56" i="89"/>
  <c r="L56" i="89"/>
  <c r="H56" i="89"/>
  <c r="D56" i="89"/>
  <c r="B56" i="89"/>
  <c r="Z55" i="89"/>
  <c r="X55" i="89"/>
  <c r="N55" i="89"/>
  <c r="L55" i="89"/>
  <c r="B55" i="89"/>
  <c r="Z54" i="89"/>
  <c r="X54" i="89"/>
  <c r="N54" i="89"/>
  <c r="L54" i="89"/>
  <c r="B54" i="89"/>
  <c r="V53" i="89"/>
  <c r="T53" i="89"/>
  <c r="X53" i="89" s="1"/>
  <c r="Z53" i="89" s="1"/>
  <c r="P53" i="89"/>
  <c r="H53" i="89"/>
  <c r="D53" i="89"/>
  <c r="B53" i="89"/>
  <c r="Z52" i="89"/>
  <c r="X52" i="89"/>
  <c r="V52" i="89"/>
  <c r="L52" i="89"/>
  <c r="N52" i="89" s="1"/>
  <c r="B52" i="89"/>
  <c r="T51" i="89"/>
  <c r="P51" i="89"/>
  <c r="X51" i="89" s="1"/>
  <c r="Z51" i="89" s="1"/>
  <c r="H51" i="89"/>
  <c r="D51" i="89"/>
  <c r="B51" i="89"/>
  <c r="X50" i="89"/>
  <c r="Z50" i="89" s="1"/>
  <c r="L50" i="89"/>
  <c r="N50" i="89" s="1"/>
  <c r="B50" i="89"/>
  <c r="V49" i="89"/>
  <c r="T49" i="89"/>
  <c r="X49" i="89" s="1"/>
  <c r="P49" i="89"/>
  <c r="H49" i="89"/>
  <c r="D49" i="89"/>
  <c r="L49" i="89" s="1"/>
  <c r="N49" i="89" s="1"/>
  <c r="B49" i="89"/>
  <c r="X48" i="89"/>
  <c r="Z48" i="89" s="1"/>
  <c r="V48" i="89"/>
  <c r="L48" i="89"/>
  <c r="N48" i="89" s="1"/>
  <c r="B48" i="89"/>
  <c r="X47" i="89"/>
  <c r="T47" i="89"/>
  <c r="P47" i="89"/>
  <c r="H47" i="89"/>
  <c r="L47" i="89" s="1"/>
  <c r="N47" i="89" s="1"/>
  <c r="D47" i="89"/>
  <c r="B47" i="89"/>
  <c r="Z46" i="89"/>
  <c r="X46" i="89"/>
  <c r="V46" i="89"/>
  <c r="N46" i="89"/>
  <c r="L46" i="89"/>
  <c r="B46" i="89"/>
  <c r="Z45" i="89"/>
  <c r="X45" i="89"/>
  <c r="N45" i="89"/>
  <c r="L45" i="89"/>
  <c r="B45" i="89"/>
  <c r="Z44" i="89"/>
  <c r="X44" i="89"/>
  <c r="L44" i="89"/>
  <c r="N44" i="89" s="1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N41" i="89"/>
  <c r="L41" i="89"/>
  <c r="B41" i="89"/>
  <c r="X40" i="89"/>
  <c r="Z40" i="89" s="1"/>
  <c r="V40" i="89"/>
  <c r="L40" i="89"/>
  <c r="N40" i="89" s="1"/>
  <c r="B40" i="89"/>
  <c r="Z39" i="89"/>
  <c r="X39" i="89"/>
  <c r="N39" i="89"/>
  <c r="L39" i="89"/>
  <c r="B39" i="89"/>
  <c r="Z38" i="89"/>
  <c r="X38" i="89"/>
  <c r="N38" i="89"/>
  <c r="L38" i="89"/>
  <c r="B38" i="89"/>
  <c r="Z37" i="89"/>
  <c r="X37" i="89"/>
  <c r="V37" i="89"/>
  <c r="L37" i="89"/>
  <c r="N37" i="89" s="1"/>
  <c r="B37" i="89"/>
  <c r="V36" i="89"/>
  <c r="T36" i="89"/>
  <c r="P36" i="89"/>
  <c r="N36" i="89"/>
  <c r="H36" i="89"/>
  <c r="D36" i="89"/>
  <c r="L36" i="89" s="1"/>
  <c r="B36" i="89"/>
  <c r="Z35" i="89"/>
  <c r="X35" i="89"/>
  <c r="N35" i="89"/>
  <c r="L35" i="89"/>
  <c r="B35" i="89"/>
  <c r="Z34" i="89"/>
  <c r="X34" i="89"/>
  <c r="L34" i="89"/>
  <c r="N34" i="89" s="1"/>
  <c r="B34" i="89"/>
  <c r="X33" i="89"/>
  <c r="Z33" i="89" s="1"/>
  <c r="V33" i="89"/>
  <c r="N33" i="89"/>
  <c r="L33" i="89"/>
  <c r="B33" i="89"/>
  <c r="Z32" i="89"/>
  <c r="X32" i="89"/>
  <c r="N32" i="89"/>
  <c r="L32" i="89"/>
  <c r="B32" i="89"/>
  <c r="Z31" i="89"/>
  <c r="X31" i="89"/>
  <c r="N31" i="89"/>
  <c r="L31" i="89"/>
  <c r="B31" i="89"/>
  <c r="X30" i="89"/>
  <c r="Z30" i="89" s="1"/>
  <c r="V30" i="89"/>
  <c r="N30" i="89"/>
  <c r="L30" i="89"/>
  <c r="B30" i="89"/>
  <c r="Z29" i="89"/>
  <c r="X29" i="89"/>
  <c r="N29" i="89"/>
  <c r="L29" i="89"/>
  <c r="B29" i="89"/>
  <c r="X28" i="89"/>
  <c r="Z28" i="89" s="1"/>
  <c r="L28" i="89"/>
  <c r="N28" i="89" s="1"/>
  <c r="B28" i="89"/>
  <c r="X27" i="89"/>
  <c r="Z27" i="89" s="1"/>
  <c r="V27" i="89"/>
  <c r="L27" i="89"/>
  <c r="N27" i="89" s="1"/>
  <c r="B27" i="89"/>
  <c r="T26" i="89"/>
  <c r="P26" i="89"/>
  <c r="X26" i="89" s="1"/>
  <c r="L26" i="89"/>
  <c r="H26" i="89"/>
  <c r="D26" i="89"/>
  <c r="B26" i="89"/>
  <c r="T25" i="89"/>
  <c r="P25" i="89"/>
  <c r="L25" i="89"/>
  <c r="N25" i="89" s="1"/>
  <c r="H25" i="89"/>
  <c r="D25" i="89"/>
  <c r="Z21" i="89"/>
  <c r="X21" i="89"/>
  <c r="N21" i="89"/>
  <c r="L21" i="89"/>
  <c r="B21" i="89"/>
  <c r="Z20" i="89"/>
  <c r="X20" i="89"/>
  <c r="N20" i="89"/>
  <c r="L20" i="89"/>
  <c r="B20" i="89"/>
  <c r="Z19" i="89"/>
  <c r="X19" i="89"/>
  <c r="N19" i="89"/>
  <c r="L19" i="89"/>
  <c r="B19" i="89"/>
  <c r="T18" i="89"/>
  <c r="P18" i="89"/>
  <c r="H18" i="89"/>
  <c r="D18" i="89"/>
  <c r="L18" i="89" s="1"/>
  <c r="Z16" i="89"/>
  <c r="X16" i="89"/>
  <c r="P16" i="89"/>
  <c r="N16" i="89"/>
  <c r="L16" i="89"/>
  <c r="D16" i="89"/>
  <c r="B16" i="89"/>
  <c r="X15" i="89"/>
  <c r="Z15" i="89" s="1"/>
  <c r="P15" i="89"/>
  <c r="L15" i="89"/>
  <c r="N15" i="89" s="1"/>
  <c r="D15" i="89"/>
  <c r="B15" i="89"/>
  <c r="Z14" i="89"/>
  <c r="X14" i="89"/>
  <c r="P14" i="89"/>
  <c r="N14" i="89"/>
  <c r="D14" i="89"/>
  <c r="L14" i="89" s="1"/>
  <c r="B14" i="89"/>
  <c r="P13" i="89"/>
  <c r="P12" i="89" s="1"/>
  <c r="R59" i="89" s="1"/>
  <c r="N13" i="89"/>
  <c r="L13" i="89"/>
  <c r="D13" i="89"/>
  <c r="B13" i="89"/>
  <c r="T12" i="89"/>
  <c r="V79" i="89" s="1"/>
  <c r="H12" i="89"/>
  <c r="H23" i="89" s="1"/>
  <c r="D6" i="89"/>
  <c r="D4" i="89"/>
  <c r="X100" i="88"/>
  <c r="Z100" i="88" s="1"/>
  <c r="N100" i="88"/>
  <c r="L100" i="88"/>
  <c r="Z96" i="88"/>
  <c r="T96" i="88"/>
  <c r="P96" i="88"/>
  <c r="X96" i="88" s="1"/>
  <c r="H96" i="88"/>
  <c r="N96" i="88" s="1"/>
  <c r="D96" i="88"/>
  <c r="Z94" i="88"/>
  <c r="X94" i="88"/>
  <c r="L94" i="88"/>
  <c r="N94" i="88" s="1"/>
  <c r="B94" i="88"/>
  <c r="T93" i="88"/>
  <c r="P93" i="88"/>
  <c r="X93" i="88" s="1"/>
  <c r="N93" i="88"/>
  <c r="H93" i="88"/>
  <c r="D93" i="88"/>
  <c r="L93" i="88" s="1"/>
  <c r="B93" i="88"/>
  <c r="Z92" i="88"/>
  <c r="X92" i="88"/>
  <c r="N92" i="88"/>
  <c r="L92" i="88"/>
  <c r="B92" i="88"/>
  <c r="T91" i="88"/>
  <c r="P91" i="88"/>
  <c r="X91" i="88" s="1"/>
  <c r="H91" i="88"/>
  <c r="N91" i="88" s="1"/>
  <c r="D91" i="88"/>
  <c r="L91" i="88" s="1"/>
  <c r="B91" i="88"/>
  <c r="Z90" i="88"/>
  <c r="X90" i="88"/>
  <c r="N90" i="88"/>
  <c r="L90" i="88"/>
  <c r="B90" i="88"/>
  <c r="X89" i="88"/>
  <c r="V89" i="88"/>
  <c r="T89" i="88"/>
  <c r="P89" i="88"/>
  <c r="H89" i="88"/>
  <c r="N89" i="88" s="1"/>
  <c r="D89" i="88"/>
  <c r="L89" i="88" s="1"/>
  <c r="B89" i="88"/>
  <c r="Z88" i="88"/>
  <c r="X88" i="88"/>
  <c r="N88" i="88"/>
  <c r="L88" i="88"/>
  <c r="B88" i="88"/>
  <c r="X87" i="88"/>
  <c r="Z87" i="88" s="1"/>
  <c r="N87" i="88"/>
  <c r="L87" i="88"/>
  <c r="B87" i="88"/>
  <c r="Z86" i="88"/>
  <c r="X86" i="88"/>
  <c r="N86" i="88"/>
  <c r="L86" i="88"/>
  <c r="J86" i="88"/>
  <c r="B86" i="88"/>
  <c r="X85" i="88"/>
  <c r="Z85" i="88" s="1"/>
  <c r="L85" i="88"/>
  <c r="N85" i="88" s="1"/>
  <c r="B85" i="88"/>
  <c r="X84" i="88"/>
  <c r="Z84" i="88" s="1"/>
  <c r="N84" i="88"/>
  <c r="L84" i="88"/>
  <c r="B84" i="88"/>
  <c r="Z83" i="88"/>
  <c r="X83" i="88"/>
  <c r="N83" i="88"/>
  <c r="L83" i="88"/>
  <c r="B83" i="88"/>
  <c r="Z82" i="88"/>
  <c r="X82" i="88"/>
  <c r="N82" i="88"/>
  <c r="L82" i="88"/>
  <c r="J82" i="88"/>
  <c r="B82" i="88"/>
  <c r="X81" i="88"/>
  <c r="Z81" i="88" s="1"/>
  <c r="N81" i="88"/>
  <c r="L81" i="88"/>
  <c r="B81" i="88"/>
  <c r="Z80" i="88"/>
  <c r="X80" i="88"/>
  <c r="N80" i="88"/>
  <c r="L80" i="88"/>
  <c r="B80" i="88"/>
  <c r="T79" i="88"/>
  <c r="X79" i="88" s="1"/>
  <c r="Z79" i="88" s="1"/>
  <c r="P79" i="88"/>
  <c r="H79" i="88"/>
  <c r="D79" i="88"/>
  <c r="L79" i="88" s="1"/>
  <c r="B79" i="88"/>
  <c r="Z78" i="88"/>
  <c r="X78" i="88"/>
  <c r="V78" i="88"/>
  <c r="N78" i="88"/>
  <c r="L78" i="88"/>
  <c r="B78" i="88"/>
  <c r="Z77" i="88"/>
  <c r="X77" i="88"/>
  <c r="V77" i="88"/>
  <c r="N77" i="88"/>
  <c r="L77" i="88"/>
  <c r="J77" i="88"/>
  <c r="B77" i="88"/>
  <c r="Z76" i="88"/>
  <c r="T76" i="88"/>
  <c r="P76" i="88"/>
  <c r="X76" i="88" s="1"/>
  <c r="N76" i="88"/>
  <c r="H76" i="88"/>
  <c r="L76" i="88" s="1"/>
  <c r="D76" i="88"/>
  <c r="B76" i="88"/>
  <c r="X75" i="88"/>
  <c r="Z75" i="88" s="1"/>
  <c r="L75" i="88"/>
  <c r="N75" i="88" s="1"/>
  <c r="B75" i="88"/>
  <c r="Z74" i="88"/>
  <c r="X74" i="88"/>
  <c r="N74" i="88"/>
  <c r="L74" i="88"/>
  <c r="B74" i="88"/>
  <c r="X73" i="88"/>
  <c r="Z73" i="88" s="1"/>
  <c r="V73" i="88"/>
  <c r="L73" i="88"/>
  <c r="N73" i="88" s="1"/>
  <c r="B73" i="88"/>
  <c r="X72" i="88"/>
  <c r="Z72" i="88" s="1"/>
  <c r="V72" i="88"/>
  <c r="T72" i="88"/>
  <c r="P72" i="88"/>
  <c r="H72" i="88"/>
  <c r="D72" i="88"/>
  <c r="L72" i="88" s="1"/>
  <c r="N72" i="88" s="1"/>
  <c r="B72" i="88"/>
  <c r="X71" i="88"/>
  <c r="Z71" i="88" s="1"/>
  <c r="N71" i="88"/>
  <c r="L71" i="88"/>
  <c r="B71" i="88"/>
  <c r="T70" i="88"/>
  <c r="P70" i="88"/>
  <c r="N70" i="88"/>
  <c r="L70" i="88"/>
  <c r="H70" i="88"/>
  <c r="D70" i="88"/>
  <c r="B70" i="88"/>
  <c r="X69" i="88"/>
  <c r="Z69" i="88" s="1"/>
  <c r="V69" i="88"/>
  <c r="N69" i="88"/>
  <c r="L69" i="88"/>
  <c r="B69" i="88"/>
  <c r="Z68" i="88"/>
  <c r="X68" i="88"/>
  <c r="L68" i="88"/>
  <c r="N68" i="88" s="1"/>
  <c r="B68" i="88"/>
  <c r="Z67" i="88"/>
  <c r="X67" i="88"/>
  <c r="N67" i="88"/>
  <c r="L67" i="88"/>
  <c r="B67" i="88"/>
  <c r="T66" i="88"/>
  <c r="X66" i="88" s="1"/>
  <c r="P66" i="88"/>
  <c r="H66" i="88"/>
  <c r="D66" i="88"/>
  <c r="L66" i="88" s="1"/>
  <c r="N66" i="88" s="1"/>
  <c r="B66" i="88"/>
  <c r="X65" i="88"/>
  <c r="Z65" i="88" s="1"/>
  <c r="V65" i="88"/>
  <c r="L65" i="88"/>
  <c r="N65" i="88" s="1"/>
  <c r="B65" i="88"/>
  <c r="X64" i="88"/>
  <c r="Z64" i="88" s="1"/>
  <c r="V64" i="88"/>
  <c r="T64" i="88"/>
  <c r="P64" i="88"/>
  <c r="H64" i="88"/>
  <c r="D64" i="88"/>
  <c r="L64" i="88" s="1"/>
  <c r="N64" i="88" s="1"/>
  <c r="B64" i="88"/>
  <c r="X63" i="88"/>
  <c r="Z63" i="88" s="1"/>
  <c r="N63" i="88"/>
  <c r="L63" i="88"/>
  <c r="B63" i="88"/>
  <c r="T62" i="88"/>
  <c r="P62" i="88"/>
  <c r="L62" i="88"/>
  <c r="N62" i="88" s="1"/>
  <c r="H62" i="88"/>
  <c r="D62" i="88"/>
  <c r="B62" i="88"/>
  <c r="X61" i="88"/>
  <c r="Z61" i="88" s="1"/>
  <c r="V61" i="88"/>
  <c r="L61" i="88"/>
  <c r="N61" i="88" s="1"/>
  <c r="B61" i="88"/>
  <c r="T60" i="88"/>
  <c r="P60" i="88"/>
  <c r="X60" i="88" s="1"/>
  <c r="Z60" i="88" s="1"/>
  <c r="N60" i="88"/>
  <c r="H60" i="88"/>
  <c r="L60" i="88" s="1"/>
  <c r="D60" i="88"/>
  <c r="B60" i="88"/>
  <c r="X59" i="88"/>
  <c r="Z59" i="88" s="1"/>
  <c r="N59" i="88"/>
  <c r="L59" i="88"/>
  <c r="B59" i="88"/>
  <c r="T58" i="88"/>
  <c r="P58" i="88"/>
  <c r="X58" i="88" s="1"/>
  <c r="Z58" i="88" s="1"/>
  <c r="H58" i="88"/>
  <c r="D58" i="88"/>
  <c r="L58" i="88" s="1"/>
  <c r="N58" i="88" s="1"/>
  <c r="B58" i="88"/>
  <c r="X57" i="88"/>
  <c r="Z57" i="88" s="1"/>
  <c r="L57" i="88"/>
  <c r="N57" i="88" s="1"/>
  <c r="B57" i="88"/>
  <c r="X56" i="88"/>
  <c r="Z56" i="88" s="1"/>
  <c r="T56" i="88"/>
  <c r="P56" i="88"/>
  <c r="H56" i="88"/>
  <c r="D56" i="88"/>
  <c r="B56" i="88"/>
  <c r="Z55" i="88"/>
  <c r="X55" i="88"/>
  <c r="L55" i="88"/>
  <c r="N55" i="88" s="1"/>
  <c r="B55" i="88"/>
  <c r="Z54" i="88"/>
  <c r="X54" i="88"/>
  <c r="V54" i="88"/>
  <c r="N54" i="88"/>
  <c r="L54" i="88"/>
  <c r="B54" i="88"/>
  <c r="X53" i="88"/>
  <c r="Z53" i="88" s="1"/>
  <c r="V53" i="88"/>
  <c r="L53" i="88"/>
  <c r="N53" i="88" s="1"/>
  <c r="B53" i="88"/>
  <c r="T52" i="88"/>
  <c r="P52" i="88"/>
  <c r="X52" i="88" s="1"/>
  <c r="Z52" i="88" s="1"/>
  <c r="H52" i="88"/>
  <c r="D52" i="88"/>
  <c r="B52" i="88"/>
  <c r="Z51" i="88"/>
  <c r="X51" i="88"/>
  <c r="N51" i="88"/>
  <c r="L51" i="88"/>
  <c r="B51" i="88"/>
  <c r="T50" i="88"/>
  <c r="Z50" i="88" s="1"/>
  <c r="P50" i="88"/>
  <c r="X50" i="88" s="1"/>
  <c r="N50" i="88"/>
  <c r="L50" i="88"/>
  <c r="H50" i="88"/>
  <c r="D50" i="88"/>
  <c r="B50" i="88"/>
  <c r="X49" i="88"/>
  <c r="Z49" i="88" s="1"/>
  <c r="L49" i="88"/>
  <c r="N49" i="88" s="1"/>
  <c r="B49" i="88"/>
  <c r="Z48" i="88"/>
  <c r="X48" i="88"/>
  <c r="T48" i="88"/>
  <c r="P48" i="88"/>
  <c r="H48" i="88"/>
  <c r="D48" i="88"/>
  <c r="B48" i="88"/>
  <c r="Z47" i="88"/>
  <c r="X47" i="88"/>
  <c r="L47" i="88"/>
  <c r="N47" i="88" s="1"/>
  <c r="B47" i="88"/>
  <c r="Z46" i="88"/>
  <c r="V46" i="88"/>
  <c r="T46" i="88"/>
  <c r="P46" i="88"/>
  <c r="X46" i="88" s="1"/>
  <c r="H46" i="88"/>
  <c r="D46" i="88"/>
  <c r="L46" i="88" s="1"/>
  <c r="N46" i="88" s="1"/>
  <c r="B46" i="88"/>
  <c r="Z45" i="88"/>
  <c r="X45" i="88"/>
  <c r="V45" i="88"/>
  <c r="N45" i="88"/>
  <c r="L45" i="88"/>
  <c r="B45" i="88"/>
  <c r="Z44" i="88"/>
  <c r="X44" i="88"/>
  <c r="V44" i="88"/>
  <c r="N44" i="88"/>
  <c r="L44" i="88"/>
  <c r="B44" i="88"/>
  <c r="X43" i="88"/>
  <c r="Z43" i="88" s="1"/>
  <c r="L43" i="88"/>
  <c r="N43" i="88" s="1"/>
  <c r="B43" i="88"/>
  <c r="Z42" i="88"/>
  <c r="X42" i="88"/>
  <c r="N42" i="88"/>
  <c r="L42" i="88"/>
  <c r="B42" i="88"/>
  <c r="Z41" i="88"/>
  <c r="X41" i="88"/>
  <c r="V41" i="88"/>
  <c r="N41" i="88"/>
  <c r="L41" i="88"/>
  <c r="B41" i="88"/>
  <c r="Z40" i="88"/>
  <c r="X40" i="88"/>
  <c r="V40" i="88"/>
  <c r="N40" i="88"/>
  <c r="L40" i="88"/>
  <c r="B40" i="88"/>
  <c r="Z39" i="88"/>
  <c r="X39" i="88"/>
  <c r="N39" i="88"/>
  <c r="L39" i="88"/>
  <c r="B39" i="88"/>
  <c r="Z38" i="88"/>
  <c r="X38" i="88"/>
  <c r="N38" i="88"/>
  <c r="L38" i="88"/>
  <c r="B38" i="88"/>
  <c r="X37" i="88"/>
  <c r="Z37" i="88" s="1"/>
  <c r="V37" i="88"/>
  <c r="L37" i="88"/>
  <c r="N37" i="88" s="1"/>
  <c r="B37" i="88"/>
  <c r="Z36" i="88"/>
  <c r="X36" i="88"/>
  <c r="V36" i="88"/>
  <c r="N36" i="88"/>
  <c r="L36" i="88"/>
  <c r="B36" i="88"/>
  <c r="T35" i="88"/>
  <c r="P35" i="88"/>
  <c r="X35" i="88" s="1"/>
  <c r="L35" i="88"/>
  <c r="H35" i="88"/>
  <c r="N35" i="88" s="1"/>
  <c r="D35" i="88"/>
  <c r="B35" i="88"/>
  <c r="Z34" i="88"/>
  <c r="X34" i="88"/>
  <c r="N34" i="88"/>
  <c r="L34" i="88"/>
  <c r="B34" i="88"/>
  <c r="X33" i="88"/>
  <c r="Z33" i="88" s="1"/>
  <c r="L33" i="88"/>
  <c r="N33" i="88" s="1"/>
  <c r="B33" i="88"/>
  <c r="Z32" i="88"/>
  <c r="X32" i="88"/>
  <c r="N32" i="88"/>
  <c r="L32" i="88"/>
  <c r="B32" i="88"/>
  <c r="Z31" i="88"/>
  <c r="X31" i="88"/>
  <c r="N31" i="88"/>
  <c r="L31" i="88"/>
  <c r="B31" i="88"/>
  <c r="Z30" i="88"/>
  <c r="X30" i="88"/>
  <c r="N30" i="88"/>
  <c r="L30" i="88"/>
  <c r="B30" i="88"/>
  <c r="X29" i="88"/>
  <c r="Z29" i="88" s="1"/>
  <c r="L29" i="88"/>
  <c r="N29" i="88" s="1"/>
  <c r="B29" i="88"/>
  <c r="Z28" i="88"/>
  <c r="X28" i="88"/>
  <c r="N28" i="88"/>
  <c r="L28" i="88"/>
  <c r="B28" i="88"/>
  <c r="Z27" i="88"/>
  <c r="X27" i="88"/>
  <c r="N27" i="88"/>
  <c r="L27" i="88"/>
  <c r="B27" i="88"/>
  <c r="Z26" i="88"/>
  <c r="X26" i="88"/>
  <c r="N26" i="88"/>
  <c r="L26" i="88"/>
  <c r="B26" i="88"/>
  <c r="T25" i="88"/>
  <c r="P25" i="88"/>
  <c r="X25" i="88" s="1"/>
  <c r="H25" i="88"/>
  <c r="D25" i="88"/>
  <c r="B25" i="88"/>
  <c r="T24" i="88"/>
  <c r="P24" i="88"/>
  <c r="H24" i="88"/>
  <c r="D24" i="88"/>
  <c r="L24" i="88" s="1"/>
  <c r="N24" i="88" s="1"/>
  <c r="H22" i="88"/>
  <c r="Z20" i="88"/>
  <c r="X20" i="88"/>
  <c r="N20" i="88"/>
  <c r="L20" i="88"/>
  <c r="B20" i="88"/>
  <c r="Z19" i="88"/>
  <c r="X19" i="88"/>
  <c r="N19" i="88"/>
  <c r="L19" i="88"/>
  <c r="B19" i="88"/>
  <c r="Z18" i="88"/>
  <c r="X18" i="88"/>
  <c r="V18" i="88"/>
  <c r="N18" i="88"/>
  <c r="L18" i="88"/>
  <c r="B18" i="88"/>
  <c r="T17" i="88"/>
  <c r="P17" i="88"/>
  <c r="X17" i="88" s="1"/>
  <c r="H17" i="88"/>
  <c r="D17" i="88"/>
  <c r="L17" i="88" s="1"/>
  <c r="N17" i="88" s="1"/>
  <c r="Z15" i="88"/>
  <c r="P15" i="88"/>
  <c r="N15" i="88"/>
  <c r="D15" i="88"/>
  <c r="L15" i="88" s="1"/>
  <c r="B15" i="88"/>
  <c r="Z14" i="88"/>
  <c r="P14" i="88"/>
  <c r="X14" i="88" s="1"/>
  <c r="N14" i="88"/>
  <c r="L14" i="88"/>
  <c r="D14" i="88"/>
  <c r="B14" i="88"/>
  <c r="Z13" i="88"/>
  <c r="X13" i="88"/>
  <c r="P13" i="88"/>
  <c r="L13" i="88"/>
  <c r="N13" i="88" s="1"/>
  <c r="D13" i="88"/>
  <c r="B13" i="88"/>
  <c r="T12" i="88"/>
  <c r="V94" i="88" s="1"/>
  <c r="H12" i="88"/>
  <c r="D6" i="88"/>
  <c r="D4" i="88"/>
  <c r="X34" i="86"/>
  <c r="Z34" i="86" s="1"/>
  <c r="V34" i="86"/>
  <c r="L34" i="86"/>
  <c r="N34" i="86" s="1"/>
  <c r="V30" i="86"/>
  <c r="T30" i="86"/>
  <c r="Z30" i="86" s="1"/>
  <c r="P30" i="86"/>
  <c r="X30" i="86" s="1"/>
  <c r="N30" i="86"/>
  <c r="H30" i="86"/>
  <c r="D30" i="86"/>
  <c r="L30" i="86" s="1"/>
  <c r="Z28" i="86"/>
  <c r="X28" i="86"/>
  <c r="V28" i="86"/>
  <c r="N28" i="86"/>
  <c r="L28" i="86"/>
  <c r="B28" i="86"/>
  <c r="Z27" i="86"/>
  <c r="T27" i="86"/>
  <c r="P27" i="86"/>
  <c r="X27" i="86" s="1"/>
  <c r="H27" i="86"/>
  <c r="N27" i="86" s="1"/>
  <c r="D27" i="86"/>
  <c r="L27" i="86" s="1"/>
  <c r="B27" i="86"/>
  <c r="Z26" i="86"/>
  <c r="X26" i="86"/>
  <c r="N26" i="86"/>
  <c r="L26" i="86"/>
  <c r="B26" i="86"/>
  <c r="X25" i="86"/>
  <c r="V25" i="86"/>
  <c r="T25" i="86"/>
  <c r="Z25" i="86" s="1"/>
  <c r="P25" i="86"/>
  <c r="H25" i="86"/>
  <c r="N25" i="86" s="1"/>
  <c r="D25" i="86"/>
  <c r="L25" i="86" s="1"/>
  <c r="B25" i="86"/>
  <c r="Z24" i="86"/>
  <c r="X24" i="86"/>
  <c r="N24" i="86"/>
  <c r="L24" i="86"/>
  <c r="B24" i="86"/>
  <c r="T23" i="86"/>
  <c r="X23" i="86" s="1"/>
  <c r="Z23" i="86" s="1"/>
  <c r="P23" i="86"/>
  <c r="H23" i="86"/>
  <c r="D23" i="86"/>
  <c r="L23" i="86" s="1"/>
  <c r="B23" i="86"/>
  <c r="T22" i="86"/>
  <c r="P22" i="86"/>
  <c r="X22" i="86" s="1"/>
  <c r="H22" i="86"/>
  <c r="D22" i="86"/>
  <c r="L22" i="86" s="1"/>
  <c r="V20" i="86"/>
  <c r="T20" i="86"/>
  <c r="T32" i="86" s="1"/>
  <c r="Z18" i="86"/>
  <c r="X18" i="86"/>
  <c r="V18" i="86"/>
  <c r="N18" i="86"/>
  <c r="L18" i="86"/>
  <c r="B18" i="86"/>
  <c r="Z17" i="86"/>
  <c r="X17" i="86"/>
  <c r="V17" i="86"/>
  <c r="L17" i="86"/>
  <c r="N17" i="86" s="1"/>
  <c r="B17" i="86"/>
  <c r="V16" i="86"/>
  <c r="T16" i="86"/>
  <c r="Z16" i="86" s="1"/>
  <c r="P16" i="86"/>
  <c r="X16" i="86" s="1"/>
  <c r="H16" i="86"/>
  <c r="N16" i="86" s="1"/>
  <c r="D16" i="86"/>
  <c r="L16" i="86" s="1"/>
  <c r="Z14" i="86"/>
  <c r="P14" i="86"/>
  <c r="N14" i="86"/>
  <c r="D14" i="86"/>
  <c r="L14" i="86" s="1"/>
  <c r="B14" i="86"/>
  <c r="P13" i="86"/>
  <c r="X13" i="86" s="1"/>
  <c r="Z13" i="86" s="1"/>
  <c r="D13" i="86"/>
  <c r="L13" i="86" s="1"/>
  <c r="N13" i="86" s="1"/>
  <c r="B13" i="86"/>
  <c r="T12" i="86"/>
  <c r="V24" i="86" s="1"/>
  <c r="H12" i="86"/>
  <c r="D12" i="86"/>
  <c r="D6" i="86"/>
  <c r="D4" i="86"/>
  <c r="Z128" i="85"/>
  <c r="X128" i="85"/>
  <c r="L128" i="85"/>
  <c r="N128" i="85" s="1"/>
  <c r="Z124" i="85"/>
  <c r="X124" i="85"/>
  <c r="T124" i="85"/>
  <c r="P124" i="85"/>
  <c r="H124" i="85"/>
  <c r="L124" i="85" s="1"/>
  <c r="D124" i="85"/>
  <c r="X122" i="85"/>
  <c r="Z122" i="85" s="1"/>
  <c r="N122" i="85"/>
  <c r="L122" i="85"/>
  <c r="J122" i="85"/>
  <c r="B122" i="85"/>
  <c r="T121" i="85"/>
  <c r="P121" i="85"/>
  <c r="H121" i="85"/>
  <c r="D121" i="85"/>
  <c r="L121" i="85" s="1"/>
  <c r="B121" i="85"/>
  <c r="Z120" i="85"/>
  <c r="X120" i="85"/>
  <c r="V120" i="85"/>
  <c r="N120" i="85"/>
  <c r="L120" i="85"/>
  <c r="B120" i="85"/>
  <c r="T119" i="85"/>
  <c r="P119" i="85"/>
  <c r="H119" i="85"/>
  <c r="D119" i="85"/>
  <c r="L119" i="85" s="1"/>
  <c r="N119" i="85" s="1"/>
  <c r="B119" i="85"/>
  <c r="X118" i="85"/>
  <c r="Z118" i="85" s="1"/>
  <c r="V118" i="85"/>
  <c r="L118" i="85"/>
  <c r="N118" i="85" s="1"/>
  <c r="B118" i="85"/>
  <c r="X117" i="85"/>
  <c r="T117" i="85"/>
  <c r="P117" i="85"/>
  <c r="L117" i="85"/>
  <c r="H117" i="85"/>
  <c r="D117" i="85"/>
  <c r="B117" i="85"/>
  <c r="Z116" i="85"/>
  <c r="X116" i="85"/>
  <c r="N116" i="85"/>
  <c r="L116" i="85"/>
  <c r="B116" i="85"/>
  <c r="X115" i="85"/>
  <c r="Z115" i="85" s="1"/>
  <c r="N115" i="85"/>
  <c r="L115" i="85"/>
  <c r="B115" i="85"/>
  <c r="Z114" i="85"/>
  <c r="X114" i="85"/>
  <c r="T114" i="85"/>
  <c r="P114" i="85"/>
  <c r="L114" i="85"/>
  <c r="N114" i="85" s="1"/>
  <c r="H114" i="85"/>
  <c r="D114" i="85"/>
  <c r="B114" i="85"/>
  <c r="Z113" i="85"/>
  <c r="X113" i="85"/>
  <c r="L113" i="85"/>
  <c r="N113" i="85" s="1"/>
  <c r="B113" i="85"/>
  <c r="Z112" i="85"/>
  <c r="X112" i="85"/>
  <c r="N112" i="85"/>
  <c r="L112" i="85"/>
  <c r="B112" i="85"/>
  <c r="Z111" i="85"/>
  <c r="X111" i="85"/>
  <c r="L111" i="85"/>
  <c r="N111" i="85" s="1"/>
  <c r="B111" i="85"/>
  <c r="Z110" i="85"/>
  <c r="X110" i="85"/>
  <c r="L110" i="85"/>
  <c r="N110" i="85" s="1"/>
  <c r="B110" i="85"/>
  <c r="Z109" i="85"/>
  <c r="X109" i="85"/>
  <c r="L109" i="85"/>
  <c r="N109" i="85" s="1"/>
  <c r="B109" i="85"/>
  <c r="T108" i="85"/>
  <c r="P108" i="85"/>
  <c r="X108" i="85" s="1"/>
  <c r="H108" i="85"/>
  <c r="D108" i="85"/>
  <c r="L108" i="85" s="1"/>
  <c r="B108" i="85"/>
  <c r="X107" i="85"/>
  <c r="Z107" i="85" s="1"/>
  <c r="L107" i="85"/>
  <c r="N107" i="85" s="1"/>
  <c r="B107" i="85"/>
  <c r="X106" i="85"/>
  <c r="Z106" i="85" s="1"/>
  <c r="V106" i="85"/>
  <c r="N106" i="85"/>
  <c r="L106" i="85"/>
  <c r="B106" i="85"/>
  <c r="X105" i="85"/>
  <c r="T105" i="85"/>
  <c r="P105" i="85"/>
  <c r="L105" i="85"/>
  <c r="H105" i="85"/>
  <c r="D105" i="85"/>
  <c r="B105" i="85"/>
  <c r="X104" i="85"/>
  <c r="Z104" i="85" s="1"/>
  <c r="N104" i="85"/>
  <c r="L104" i="85"/>
  <c r="B104" i="85"/>
  <c r="X103" i="85"/>
  <c r="Z103" i="85" s="1"/>
  <c r="N103" i="85"/>
  <c r="L103" i="85"/>
  <c r="B103" i="85"/>
  <c r="Z102" i="85"/>
  <c r="X102" i="85"/>
  <c r="N102" i="85"/>
  <c r="L102" i="85"/>
  <c r="B102" i="85"/>
  <c r="X101" i="85"/>
  <c r="Z101" i="85" s="1"/>
  <c r="T101" i="85"/>
  <c r="P101" i="85"/>
  <c r="H101" i="85"/>
  <c r="D101" i="85"/>
  <c r="B101" i="85"/>
  <c r="Z100" i="85"/>
  <c r="X100" i="85"/>
  <c r="N100" i="85"/>
  <c r="L100" i="85"/>
  <c r="B100" i="85"/>
  <c r="Z99" i="85"/>
  <c r="X99" i="85"/>
  <c r="N99" i="85"/>
  <c r="L99" i="85"/>
  <c r="B99" i="85"/>
  <c r="T98" i="85"/>
  <c r="P98" i="85"/>
  <c r="H98" i="85"/>
  <c r="D98" i="85"/>
  <c r="B98" i="85"/>
  <c r="X97" i="85"/>
  <c r="Z97" i="85" s="1"/>
  <c r="N97" i="85"/>
  <c r="L97" i="85"/>
  <c r="B97" i="85"/>
  <c r="T96" i="85"/>
  <c r="P96" i="85"/>
  <c r="X96" i="85" s="1"/>
  <c r="Z96" i="85" s="1"/>
  <c r="H96" i="85"/>
  <c r="D96" i="85"/>
  <c r="L96" i="85" s="1"/>
  <c r="N96" i="85" s="1"/>
  <c r="B96" i="85"/>
  <c r="X95" i="85"/>
  <c r="Z95" i="85" s="1"/>
  <c r="N95" i="85"/>
  <c r="L95" i="85"/>
  <c r="B95" i="85"/>
  <c r="Z94" i="85"/>
  <c r="X94" i="85"/>
  <c r="T94" i="85"/>
  <c r="P94" i="85"/>
  <c r="H94" i="85"/>
  <c r="D94" i="85"/>
  <c r="B94" i="85"/>
  <c r="Z93" i="85"/>
  <c r="X93" i="85"/>
  <c r="L93" i="85"/>
  <c r="N93" i="85" s="1"/>
  <c r="B93" i="85"/>
  <c r="T92" i="85"/>
  <c r="P92" i="85"/>
  <c r="X92" i="85" s="1"/>
  <c r="H92" i="85"/>
  <c r="D92" i="85"/>
  <c r="L92" i="85" s="1"/>
  <c r="B92" i="85"/>
  <c r="X91" i="85"/>
  <c r="Z91" i="85" s="1"/>
  <c r="L91" i="85"/>
  <c r="N91" i="85" s="1"/>
  <c r="B91" i="85"/>
  <c r="Z90" i="85"/>
  <c r="X90" i="85"/>
  <c r="T90" i="85"/>
  <c r="P90" i="85"/>
  <c r="H90" i="85"/>
  <c r="D90" i="85"/>
  <c r="L90" i="85" s="1"/>
  <c r="N90" i="85" s="1"/>
  <c r="B90" i="85"/>
  <c r="Z89" i="85"/>
  <c r="X89" i="85"/>
  <c r="N89" i="85"/>
  <c r="L89" i="85"/>
  <c r="B89" i="85"/>
  <c r="X88" i="85"/>
  <c r="Z88" i="85" s="1"/>
  <c r="T88" i="85"/>
  <c r="P88" i="85"/>
  <c r="N88" i="85"/>
  <c r="L88" i="85"/>
  <c r="H88" i="85"/>
  <c r="D88" i="85"/>
  <c r="B88" i="85"/>
  <c r="X87" i="85"/>
  <c r="Z87" i="85" s="1"/>
  <c r="L87" i="85"/>
  <c r="N87" i="85" s="1"/>
  <c r="B87" i="85"/>
  <c r="T86" i="85"/>
  <c r="P86" i="85"/>
  <c r="X86" i="85" s="1"/>
  <c r="H86" i="85"/>
  <c r="N86" i="85" s="1"/>
  <c r="D86" i="85"/>
  <c r="L86" i="85" s="1"/>
  <c r="B86" i="85"/>
  <c r="X85" i="85"/>
  <c r="Z85" i="85" s="1"/>
  <c r="N85" i="85"/>
  <c r="L85" i="85"/>
  <c r="B85" i="85"/>
  <c r="T84" i="85"/>
  <c r="P84" i="85"/>
  <c r="X84" i="85" s="1"/>
  <c r="H84" i="85"/>
  <c r="D84" i="85"/>
  <c r="L84" i="85" s="1"/>
  <c r="N84" i="85" s="1"/>
  <c r="B84" i="85"/>
  <c r="X83" i="85"/>
  <c r="Z83" i="85" s="1"/>
  <c r="L83" i="85"/>
  <c r="N83" i="85" s="1"/>
  <c r="B83" i="85"/>
  <c r="X82" i="85"/>
  <c r="Z82" i="85" s="1"/>
  <c r="T82" i="85"/>
  <c r="P82" i="85"/>
  <c r="L82" i="85"/>
  <c r="N82" i="85" s="1"/>
  <c r="J82" i="85"/>
  <c r="H82" i="85"/>
  <c r="D82" i="85"/>
  <c r="B82" i="85"/>
  <c r="Z81" i="85"/>
  <c r="X81" i="85"/>
  <c r="L81" i="85"/>
  <c r="N81" i="85" s="1"/>
  <c r="B81" i="85"/>
  <c r="Z80" i="85"/>
  <c r="T80" i="85"/>
  <c r="P80" i="85"/>
  <c r="X80" i="85" s="1"/>
  <c r="H80" i="85"/>
  <c r="D80" i="85"/>
  <c r="B80" i="85"/>
  <c r="X79" i="85"/>
  <c r="Z79" i="85" s="1"/>
  <c r="L79" i="85"/>
  <c r="N79" i="85" s="1"/>
  <c r="B79" i="85"/>
  <c r="Z78" i="85"/>
  <c r="X78" i="85"/>
  <c r="N78" i="85"/>
  <c r="L78" i="85"/>
  <c r="B78" i="85"/>
  <c r="T77" i="85"/>
  <c r="P77" i="85"/>
  <c r="X77" i="85" s="1"/>
  <c r="L77" i="85"/>
  <c r="H77" i="85"/>
  <c r="D77" i="85"/>
  <c r="B77" i="85"/>
  <c r="Z76" i="85"/>
  <c r="X76" i="85"/>
  <c r="N76" i="85"/>
  <c r="L76" i="85"/>
  <c r="J76" i="85"/>
  <c r="B76" i="85"/>
  <c r="T75" i="85"/>
  <c r="P75" i="85"/>
  <c r="X75" i="85" s="1"/>
  <c r="H75" i="85"/>
  <c r="L75" i="85" s="1"/>
  <c r="N75" i="85" s="1"/>
  <c r="D75" i="85"/>
  <c r="B75" i="85"/>
  <c r="Z74" i="85"/>
  <c r="X74" i="85"/>
  <c r="N74" i="85"/>
  <c r="L74" i="85"/>
  <c r="B74" i="85"/>
  <c r="Z73" i="85"/>
  <c r="X73" i="85"/>
  <c r="N73" i="85"/>
  <c r="L73" i="85"/>
  <c r="J73" i="85"/>
  <c r="B73" i="85"/>
  <c r="Z72" i="85"/>
  <c r="X72" i="85"/>
  <c r="N72" i="85"/>
  <c r="L72" i="85"/>
  <c r="B72" i="85"/>
  <c r="Z71" i="85"/>
  <c r="X71" i="85"/>
  <c r="V71" i="85"/>
  <c r="N71" i="85"/>
  <c r="L71" i="85"/>
  <c r="B71" i="85"/>
  <c r="Z70" i="85"/>
  <c r="X70" i="85"/>
  <c r="N70" i="85"/>
  <c r="L70" i="85"/>
  <c r="J70" i="85"/>
  <c r="B70" i="85"/>
  <c r="Z69" i="85"/>
  <c r="X69" i="85"/>
  <c r="N69" i="85"/>
  <c r="L69" i="85"/>
  <c r="B69" i="85"/>
  <c r="Z68" i="85"/>
  <c r="X68" i="85"/>
  <c r="N68" i="85"/>
  <c r="L68" i="85"/>
  <c r="B68" i="85"/>
  <c r="Z67" i="85"/>
  <c r="X67" i="85"/>
  <c r="N67" i="85"/>
  <c r="L67" i="85"/>
  <c r="B67" i="85"/>
  <c r="X66" i="85"/>
  <c r="Z66" i="85" s="1"/>
  <c r="L66" i="85"/>
  <c r="N66" i="85" s="1"/>
  <c r="B66" i="85"/>
  <c r="Z65" i="85"/>
  <c r="X65" i="85"/>
  <c r="N65" i="85"/>
  <c r="L65" i="85"/>
  <c r="B65" i="85"/>
  <c r="T64" i="85"/>
  <c r="Z64" i="85" s="1"/>
  <c r="P64" i="85"/>
  <c r="X64" i="85" s="1"/>
  <c r="H64" i="85"/>
  <c r="D64" i="85"/>
  <c r="L64" i="85" s="1"/>
  <c r="B64" i="85"/>
  <c r="Z63" i="85"/>
  <c r="X63" i="85"/>
  <c r="N63" i="85"/>
  <c r="L63" i="85"/>
  <c r="B63" i="85"/>
  <c r="X62" i="85"/>
  <c r="Z62" i="85" s="1"/>
  <c r="L62" i="85"/>
  <c r="N62" i="85" s="1"/>
  <c r="B62" i="85"/>
  <c r="X61" i="85"/>
  <c r="Z61" i="85" s="1"/>
  <c r="L61" i="85"/>
  <c r="N61" i="85" s="1"/>
  <c r="B61" i="85"/>
  <c r="Z60" i="85"/>
  <c r="X60" i="85"/>
  <c r="N60" i="85"/>
  <c r="L60" i="85"/>
  <c r="B60" i="85"/>
  <c r="X59" i="85"/>
  <c r="Z59" i="85" s="1"/>
  <c r="L59" i="85"/>
  <c r="N59" i="85" s="1"/>
  <c r="J59" i="85"/>
  <c r="B59" i="85"/>
  <c r="X58" i="85"/>
  <c r="Z58" i="85" s="1"/>
  <c r="L58" i="85"/>
  <c r="N58" i="85" s="1"/>
  <c r="B58" i="85"/>
  <c r="X57" i="85"/>
  <c r="Z57" i="85" s="1"/>
  <c r="L57" i="85"/>
  <c r="N57" i="85" s="1"/>
  <c r="B57" i="85"/>
  <c r="Z56" i="85"/>
  <c r="X56" i="85"/>
  <c r="L56" i="85"/>
  <c r="N56" i="85" s="1"/>
  <c r="J56" i="85"/>
  <c r="B56" i="85"/>
  <c r="X55" i="85"/>
  <c r="Z55" i="85" s="1"/>
  <c r="L55" i="85"/>
  <c r="N55" i="85" s="1"/>
  <c r="B55" i="85"/>
  <c r="X54" i="85"/>
  <c r="Z54" i="85" s="1"/>
  <c r="T54" i="85"/>
  <c r="P54" i="85"/>
  <c r="H54" i="85"/>
  <c r="D54" i="85"/>
  <c r="L54" i="85" s="1"/>
  <c r="N54" i="85" s="1"/>
  <c r="B54" i="85"/>
  <c r="X53" i="85"/>
  <c r="T53" i="85"/>
  <c r="P53" i="85"/>
  <c r="H53" i="85"/>
  <c r="D53" i="85"/>
  <c r="L53" i="85" s="1"/>
  <c r="Z49" i="85"/>
  <c r="X49" i="85"/>
  <c r="N49" i="85"/>
  <c r="L49" i="85"/>
  <c r="B49" i="85"/>
  <c r="Z48" i="85"/>
  <c r="X48" i="85"/>
  <c r="N48" i="85"/>
  <c r="L48" i="85"/>
  <c r="J48" i="85"/>
  <c r="B48" i="85"/>
  <c r="Z47" i="85"/>
  <c r="X47" i="85"/>
  <c r="N47" i="85"/>
  <c r="L47" i="85"/>
  <c r="B47" i="85"/>
  <c r="Z46" i="85"/>
  <c r="X46" i="85"/>
  <c r="N46" i="85"/>
  <c r="L46" i="85"/>
  <c r="J46" i="85"/>
  <c r="B46" i="85"/>
  <c r="Z45" i="85"/>
  <c r="X45" i="85"/>
  <c r="N45" i="85"/>
  <c r="L45" i="85"/>
  <c r="B45" i="85"/>
  <c r="Z44" i="85"/>
  <c r="X44" i="85"/>
  <c r="N44" i="85"/>
  <c r="L44" i="85"/>
  <c r="B44" i="85"/>
  <c r="Z43" i="85"/>
  <c r="X43" i="85"/>
  <c r="N43" i="85"/>
  <c r="L43" i="85"/>
  <c r="B43" i="85"/>
  <c r="Z42" i="85"/>
  <c r="X42" i="85"/>
  <c r="N42" i="85"/>
  <c r="L42" i="85"/>
  <c r="J42" i="85"/>
  <c r="B42" i="85"/>
  <c r="Z41" i="85"/>
  <c r="X41" i="85"/>
  <c r="N41" i="85"/>
  <c r="L41" i="85"/>
  <c r="B41" i="85"/>
  <c r="Z40" i="85"/>
  <c r="X40" i="85"/>
  <c r="N40" i="85"/>
  <c r="L40" i="85"/>
  <c r="B40" i="85"/>
  <c r="Z39" i="85"/>
  <c r="X39" i="85"/>
  <c r="N39" i="85"/>
  <c r="L39" i="85"/>
  <c r="B39" i="85"/>
  <c r="Z38" i="85"/>
  <c r="X38" i="85"/>
  <c r="N38" i="85"/>
  <c r="L38" i="85"/>
  <c r="B38" i="85"/>
  <c r="Z37" i="85"/>
  <c r="X37" i="85"/>
  <c r="N37" i="85"/>
  <c r="L37" i="85"/>
  <c r="B37" i="85"/>
  <c r="Z36" i="85"/>
  <c r="X36" i="85"/>
  <c r="N36" i="85"/>
  <c r="L36" i="85"/>
  <c r="B36" i="85"/>
  <c r="X35" i="85"/>
  <c r="Z35" i="85" s="1"/>
  <c r="L35" i="85"/>
  <c r="N35" i="85" s="1"/>
  <c r="B35" i="85"/>
  <c r="V34" i="85"/>
  <c r="T34" i="85"/>
  <c r="P34" i="85"/>
  <c r="X34" i="85" s="1"/>
  <c r="Z34" i="85" s="1"/>
  <c r="L34" i="85"/>
  <c r="N34" i="85" s="1"/>
  <c r="J34" i="85"/>
  <c r="H34" i="85"/>
  <c r="D34" i="85"/>
  <c r="Z32" i="85"/>
  <c r="P32" i="85"/>
  <c r="X32" i="85" s="1"/>
  <c r="N32" i="85"/>
  <c r="D32" i="85"/>
  <c r="L32" i="85" s="1"/>
  <c r="B32" i="85"/>
  <c r="Z31" i="85"/>
  <c r="X31" i="85"/>
  <c r="P31" i="85"/>
  <c r="N31" i="85"/>
  <c r="D31" i="85"/>
  <c r="L31" i="85" s="1"/>
  <c r="B31" i="85"/>
  <c r="Z30" i="85"/>
  <c r="P30" i="85"/>
  <c r="X30" i="85" s="1"/>
  <c r="N30" i="85"/>
  <c r="D30" i="85"/>
  <c r="L30" i="85" s="1"/>
  <c r="B30" i="85"/>
  <c r="Z29" i="85"/>
  <c r="X29" i="85"/>
  <c r="P29" i="85"/>
  <c r="N29" i="85"/>
  <c r="D29" i="85"/>
  <c r="L29" i="85" s="1"/>
  <c r="B29" i="85"/>
  <c r="Z28" i="85"/>
  <c r="X28" i="85"/>
  <c r="P28" i="85"/>
  <c r="N28" i="85"/>
  <c r="L28" i="85"/>
  <c r="D28" i="85"/>
  <c r="B28" i="85"/>
  <c r="Z27" i="85"/>
  <c r="P27" i="85"/>
  <c r="X27" i="85" s="1"/>
  <c r="N27" i="85"/>
  <c r="D27" i="85"/>
  <c r="L27" i="85" s="1"/>
  <c r="B27" i="85"/>
  <c r="Z26" i="85"/>
  <c r="P26" i="85"/>
  <c r="X26" i="85" s="1"/>
  <c r="N26" i="85"/>
  <c r="L26" i="85"/>
  <c r="D26" i="85"/>
  <c r="B26" i="85"/>
  <c r="Z25" i="85"/>
  <c r="X25" i="85"/>
  <c r="P25" i="85"/>
  <c r="N25" i="85"/>
  <c r="L25" i="85"/>
  <c r="D25" i="85"/>
  <c r="B25" i="85"/>
  <c r="Z24" i="85"/>
  <c r="X24" i="85"/>
  <c r="P24" i="85"/>
  <c r="N24" i="85"/>
  <c r="D24" i="85"/>
  <c r="L24" i="85" s="1"/>
  <c r="B24" i="85"/>
  <c r="Z23" i="85"/>
  <c r="P23" i="85"/>
  <c r="X23" i="85" s="1"/>
  <c r="N23" i="85"/>
  <c r="D23" i="85"/>
  <c r="L23" i="85" s="1"/>
  <c r="B23" i="85"/>
  <c r="Z22" i="85"/>
  <c r="P22" i="85"/>
  <c r="X22" i="85" s="1"/>
  <c r="N22" i="85"/>
  <c r="L22" i="85"/>
  <c r="D22" i="85"/>
  <c r="B22" i="85"/>
  <c r="Z21" i="85"/>
  <c r="X21" i="85"/>
  <c r="P21" i="85"/>
  <c r="N21" i="85"/>
  <c r="L21" i="85"/>
  <c r="D21" i="85"/>
  <c r="B21" i="85"/>
  <c r="Z20" i="85"/>
  <c r="P20" i="85"/>
  <c r="X20" i="85" s="1"/>
  <c r="N20" i="85"/>
  <c r="L20" i="85"/>
  <c r="D20" i="85"/>
  <c r="B20" i="85"/>
  <c r="Z19" i="85"/>
  <c r="P19" i="85"/>
  <c r="X19" i="85" s="1"/>
  <c r="N19" i="85"/>
  <c r="D19" i="85"/>
  <c r="L19" i="85" s="1"/>
  <c r="B19" i="85"/>
  <c r="Z18" i="85"/>
  <c r="P18" i="85"/>
  <c r="X18" i="85" s="1"/>
  <c r="N18" i="85"/>
  <c r="L18" i="85"/>
  <c r="D18" i="85"/>
  <c r="B18" i="85"/>
  <c r="Z17" i="85"/>
  <c r="X17" i="85"/>
  <c r="P17" i="85"/>
  <c r="N17" i="85"/>
  <c r="D17" i="85"/>
  <c r="L17" i="85" s="1"/>
  <c r="B17" i="85"/>
  <c r="Z16" i="85"/>
  <c r="P16" i="85"/>
  <c r="X16" i="85" s="1"/>
  <c r="N16" i="85"/>
  <c r="L16" i="85"/>
  <c r="D16" i="85"/>
  <c r="B16" i="85"/>
  <c r="Z15" i="85"/>
  <c r="X15" i="85"/>
  <c r="P15" i="85"/>
  <c r="N15" i="85"/>
  <c r="D15" i="85"/>
  <c r="L15" i="85" s="1"/>
  <c r="B15" i="85"/>
  <c r="Z14" i="85"/>
  <c r="X14" i="85"/>
  <c r="P14" i="85"/>
  <c r="N14" i="85"/>
  <c r="L14" i="85"/>
  <c r="D14" i="85"/>
  <c r="B14" i="85"/>
  <c r="Z13" i="85"/>
  <c r="X13" i="85"/>
  <c r="P13" i="85"/>
  <c r="D13" i="85"/>
  <c r="B13" i="85"/>
  <c r="T12" i="85"/>
  <c r="V98" i="85" s="1"/>
  <c r="H12" i="85"/>
  <c r="J66" i="85" s="1"/>
  <c r="D6" i="85"/>
  <c r="D4" i="85"/>
  <c r="Z98" i="84"/>
  <c r="X98" i="84"/>
  <c r="N98" i="84"/>
  <c r="L98" i="84"/>
  <c r="F98" i="84"/>
  <c r="Z94" i="84"/>
  <c r="T94" i="84"/>
  <c r="P94" i="84"/>
  <c r="X94" i="84" s="1"/>
  <c r="N94" i="84"/>
  <c r="L94" i="84"/>
  <c r="H94" i="84"/>
  <c r="F94" i="84"/>
  <c r="D94" i="84"/>
  <c r="Z92" i="84"/>
  <c r="X92" i="84"/>
  <c r="N92" i="84"/>
  <c r="L92" i="84"/>
  <c r="B92" i="84"/>
  <c r="T91" i="84"/>
  <c r="P91" i="84"/>
  <c r="X91" i="84" s="1"/>
  <c r="H91" i="84"/>
  <c r="F91" i="84"/>
  <c r="D91" i="84"/>
  <c r="B91" i="84"/>
  <c r="Z90" i="84"/>
  <c r="X90" i="84"/>
  <c r="N90" i="84"/>
  <c r="L90" i="84"/>
  <c r="B90" i="84"/>
  <c r="X89" i="84"/>
  <c r="Z89" i="84" s="1"/>
  <c r="T89" i="84"/>
  <c r="P89" i="84"/>
  <c r="J89" i="84"/>
  <c r="H89" i="84"/>
  <c r="N89" i="84" s="1"/>
  <c r="D89" i="84"/>
  <c r="L89" i="84" s="1"/>
  <c r="B89" i="84"/>
  <c r="Z88" i="84"/>
  <c r="X88" i="84"/>
  <c r="V88" i="84"/>
  <c r="N88" i="84"/>
  <c r="L88" i="84"/>
  <c r="F88" i="84"/>
  <c r="B88" i="84"/>
  <c r="T87" i="84"/>
  <c r="P87" i="84"/>
  <c r="X87" i="84" s="1"/>
  <c r="Z87" i="84" s="1"/>
  <c r="H87" i="84"/>
  <c r="N87" i="84" s="1"/>
  <c r="D87" i="84"/>
  <c r="B87" i="84"/>
  <c r="X86" i="84"/>
  <c r="Z86" i="84" s="1"/>
  <c r="N86" i="84"/>
  <c r="L86" i="84"/>
  <c r="J86" i="84"/>
  <c r="B86" i="84"/>
  <c r="X85" i="84"/>
  <c r="T85" i="84"/>
  <c r="Z85" i="84" s="1"/>
  <c r="P85" i="84"/>
  <c r="H85" i="84"/>
  <c r="D85" i="84"/>
  <c r="B85" i="84"/>
  <c r="Z84" i="84"/>
  <c r="X84" i="84"/>
  <c r="V84" i="84"/>
  <c r="N84" i="84"/>
  <c r="L84" i="84"/>
  <c r="B84" i="84"/>
  <c r="Z83" i="84"/>
  <c r="X83" i="84"/>
  <c r="N83" i="84"/>
  <c r="L83" i="84"/>
  <c r="B83" i="84"/>
  <c r="X82" i="84"/>
  <c r="Z82" i="84" s="1"/>
  <c r="V82" i="84"/>
  <c r="N82" i="84"/>
  <c r="L82" i="84"/>
  <c r="B82" i="84"/>
  <c r="Z81" i="84"/>
  <c r="X81" i="84"/>
  <c r="N81" i="84"/>
  <c r="L81" i="84"/>
  <c r="F81" i="84"/>
  <c r="B81" i="84"/>
  <c r="X80" i="84"/>
  <c r="Z80" i="84" s="1"/>
  <c r="N80" i="84"/>
  <c r="L80" i="84"/>
  <c r="B80" i="84"/>
  <c r="X79" i="84"/>
  <c r="Z79" i="84" s="1"/>
  <c r="L79" i="84"/>
  <c r="N79" i="84" s="1"/>
  <c r="J79" i="84"/>
  <c r="B79" i="84"/>
  <c r="Z78" i="84"/>
  <c r="X78" i="84"/>
  <c r="N78" i="84"/>
  <c r="L78" i="84"/>
  <c r="J78" i="84"/>
  <c r="B78" i="84"/>
  <c r="X77" i="84"/>
  <c r="T77" i="84"/>
  <c r="Z77" i="84" s="1"/>
  <c r="P77" i="84"/>
  <c r="N77" i="84"/>
  <c r="H77" i="84"/>
  <c r="D77" i="84"/>
  <c r="L77" i="84" s="1"/>
  <c r="B77" i="84"/>
  <c r="Z76" i="84"/>
  <c r="X76" i="84"/>
  <c r="L76" i="84"/>
  <c r="N76" i="84" s="1"/>
  <c r="B76" i="84"/>
  <c r="V75" i="84"/>
  <c r="T75" i="84"/>
  <c r="P75" i="84"/>
  <c r="H75" i="84"/>
  <c r="D75" i="84"/>
  <c r="L75" i="84" s="1"/>
  <c r="N75" i="84" s="1"/>
  <c r="B75" i="84"/>
  <c r="X74" i="84"/>
  <c r="Z74" i="84" s="1"/>
  <c r="N74" i="84"/>
  <c r="L74" i="84"/>
  <c r="F74" i="84"/>
  <c r="B74" i="84"/>
  <c r="X73" i="84"/>
  <c r="Z73" i="84" s="1"/>
  <c r="L73" i="84"/>
  <c r="N73" i="84" s="1"/>
  <c r="B73" i="84"/>
  <c r="X72" i="84"/>
  <c r="Z72" i="84" s="1"/>
  <c r="N72" i="84"/>
  <c r="L72" i="84"/>
  <c r="F72" i="84"/>
  <c r="B72" i="84"/>
  <c r="Z71" i="84"/>
  <c r="X71" i="84"/>
  <c r="N71" i="84"/>
  <c r="L71" i="84"/>
  <c r="B71" i="84"/>
  <c r="X70" i="84"/>
  <c r="Z70" i="84" s="1"/>
  <c r="T70" i="84"/>
  <c r="P70" i="84"/>
  <c r="L70" i="84"/>
  <c r="H70" i="84"/>
  <c r="N70" i="84" s="1"/>
  <c r="F70" i="84"/>
  <c r="D70" i="84"/>
  <c r="B70" i="84"/>
  <c r="Z69" i="84"/>
  <c r="X69" i="84"/>
  <c r="N69" i="84"/>
  <c r="L69" i="84"/>
  <c r="B69" i="84"/>
  <c r="Z68" i="84"/>
  <c r="X68" i="84"/>
  <c r="N68" i="84"/>
  <c r="L68" i="84"/>
  <c r="J68" i="84"/>
  <c r="B68" i="84"/>
  <c r="Z67" i="84"/>
  <c r="X67" i="84"/>
  <c r="N67" i="84"/>
  <c r="L67" i="84"/>
  <c r="J67" i="84"/>
  <c r="F67" i="84"/>
  <c r="B67" i="84"/>
  <c r="T66" i="84"/>
  <c r="P66" i="84"/>
  <c r="N66" i="84"/>
  <c r="L66" i="84"/>
  <c r="H66" i="84"/>
  <c r="D66" i="84"/>
  <c r="B66" i="84"/>
  <c r="Z65" i="84"/>
  <c r="X65" i="84"/>
  <c r="L65" i="84"/>
  <c r="N65" i="84" s="1"/>
  <c r="B65" i="84"/>
  <c r="T64" i="84"/>
  <c r="P64" i="84"/>
  <c r="X64" i="84" s="1"/>
  <c r="Z64" i="84" s="1"/>
  <c r="L64" i="84"/>
  <c r="J64" i="84"/>
  <c r="H64" i="84"/>
  <c r="D64" i="84"/>
  <c r="B64" i="84"/>
  <c r="X63" i="84"/>
  <c r="Z63" i="84" s="1"/>
  <c r="N63" i="84"/>
  <c r="L63" i="84"/>
  <c r="J63" i="84"/>
  <c r="B63" i="84"/>
  <c r="X62" i="84"/>
  <c r="Z62" i="84" s="1"/>
  <c r="V62" i="84"/>
  <c r="T62" i="84"/>
  <c r="P62" i="84"/>
  <c r="H62" i="84"/>
  <c r="D62" i="84"/>
  <c r="L62" i="84" s="1"/>
  <c r="B62" i="84"/>
  <c r="Z61" i="84"/>
  <c r="X61" i="84"/>
  <c r="N61" i="84"/>
  <c r="L61" i="84"/>
  <c r="J61" i="84"/>
  <c r="B61" i="84"/>
  <c r="X60" i="84"/>
  <c r="Z60" i="84" s="1"/>
  <c r="T60" i="84"/>
  <c r="P60" i="84"/>
  <c r="N60" i="84"/>
  <c r="H60" i="84"/>
  <c r="D60" i="84"/>
  <c r="L60" i="84" s="1"/>
  <c r="B60" i="84"/>
  <c r="Z59" i="84"/>
  <c r="X59" i="84"/>
  <c r="L59" i="84"/>
  <c r="N59" i="84" s="1"/>
  <c r="B59" i="84"/>
  <c r="X58" i="84"/>
  <c r="T58" i="84"/>
  <c r="P58" i="84"/>
  <c r="N58" i="84"/>
  <c r="J58" i="84"/>
  <c r="H58" i="84"/>
  <c r="D58" i="84"/>
  <c r="L58" i="84" s="1"/>
  <c r="B58" i="84"/>
  <c r="X57" i="84"/>
  <c r="Z57" i="84" s="1"/>
  <c r="N57" i="84"/>
  <c r="L57" i="84"/>
  <c r="B57" i="84"/>
  <c r="X56" i="84"/>
  <c r="T56" i="84"/>
  <c r="P56" i="84"/>
  <c r="L56" i="84"/>
  <c r="N56" i="84" s="1"/>
  <c r="H56" i="84"/>
  <c r="D56" i="84"/>
  <c r="B56" i="84"/>
  <c r="Z55" i="84"/>
  <c r="X55" i="84"/>
  <c r="V55" i="84"/>
  <c r="N55" i="84"/>
  <c r="L55" i="84"/>
  <c r="B55" i="84"/>
  <c r="Z54" i="84"/>
  <c r="X54" i="84"/>
  <c r="L54" i="84"/>
  <c r="N54" i="84" s="1"/>
  <c r="F54" i="84"/>
  <c r="B54" i="84"/>
  <c r="Z53" i="84"/>
  <c r="X53" i="84"/>
  <c r="N53" i="84"/>
  <c r="L53" i="84"/>
  <c r="B53" i="84"/>
  <c r="Z52" i="84"/>
  <c r="X52" i="84"/>
  <c r="T52" i="84"/>
  <c r="P52" i="84"/>
  <c r="H52" i="84"/>
  <c r="D52" i="84"/>
  <c r="B52" i="84"/>
  <c r="Z51" i="84"/>
  <c r="X51" i="84"/>
  <c r="L51" i="84"/>
  <c r="N51" i="84" s="1"/>
  <c r="B51" i="84"/>
  <c r="X50" i="84"/>
  <c r="T50" i="84"/>
  <c r="P50" i="84"/>
  <c r="H50" i="84"/>
  <c r="D50" i="84"/>
  <c r="L50" i="84" s="1"/>
  <c r="N50" i="84" s="1"/>
  <c r="B50" i="84"/>
  <c r="X49" i="84"/>
  <c r="Z49" i="84" s="1"/>
  <c r="N49" i="84"/>
  <c r="L49" i="84"/>
  <c r="F49" i="84"/>
  <c r="B49" i="84"/>
  <c r="T48" i="84"/>
  <c r="P48" i="84"/>
  <c r="X48" i="84" s="1"/>
  <c r="L48" i="84"/>
  <c r="N48" i="84" s="1"/>
  <c r="J48" i="84"/>
  <c r="H48" i="84"/>
  <c r="D48" i="84"/>
  <c r="B48" i="84"/>
  <c r="Z47" i="84"/>
  <c r="X47" i="84"/>
  <c r="N47" i="84"/>
  <c r="L47" i="84"/>
  <c r="J47" i="84"/>
  <c r="B47" i="84"/>
  <c r="T46" i="84"/>
  <c r="P46" i="84"/>
  <c r="N46" i="84"/>
  <c r="L46" i="84"/>
  <c r="H46" i="84"/>
  <c r="D46" i="84"/>
  <c r="B46" i="84"/>
  <c r="Z45" i="84"/>
  <c r="X45" i="84"/>
  <c r="N45" i="84"/>
  <c r="L45" i="84"/>
  <c r="J45" i="84"/>
  <c r="B45" i="84"/>
  <c r="Z44" i="84"/>
  <c r="X44" i="84"/>
  <c r="N44" i="84"/>
  <c r="L44" i="84"/>
  <c r="B44" i="84"/>
  <c r="Z43" i="84"/>
  <c r="X43" i="84"/>
  <c r="V43" i="84"/>
  <c r="L43" i="84"/>
  <c r="N43" i="84" s="1"/>
  <c r="B43" i="84"/>
  <c r="X42" i="84"/>
  <c r="Z42" i="84" s="1"/>
  <c r="N42" i="84"/>
  <c r="L42" i="84"/>
  <c r="J42" i="84"/>
  <c r="B42" i="84"/>
  <c r="Z41" i="84"/>
  <c r="X41" i="84"/>
  <c r="V41" i="84"/>
  <c r="N41" i="84"/>
  <c r="L41" i="84"/>
  <c r="B41" i="84"/>
  <c r="Z40" i="84"/>
  <c r="X40" i="84"/>
  <c r="L40" i="84"/>
  <c r="N40" i="84" s="1"/>
  <c r="B40" i="84"/>
  <c r="Z39" i="84"/>
  <c r="X39" i="84"/>
  <c r="N39" i="84"/>
  <c r="L39" i="84"/>
  <c r="B39" i="84"/>
  <c r="Z38" i="84"/>
  <c r="X38" i="84"/>
  <c r="N38" i="84"/>
  <c r="L38" i="84"/>
  <c r="J38" i="84"/>
  <c r="B38" i="84"/>
  <c r="Z37" i="84"/>
  <c r="X37" i="84"/>
  <c r="N37" i="84"/>
  <c r="L37" i="84"/>
  <c r="J37" i="84"/>
  <c r="B37" i="84"/>
  <c r="Z36" i="84"/>
  <c r="X36" i="84"/>
  <c r="N36" i="84"/>
  <c r="L36" i="84"/>
  <c r="B36" i="84"/>
  <c r="T35" i="84"/>
  <c r="P35" i="84"/>
  <c r="X35" i="84" s="1"/>
  <c r="N35" i="84"/>
  <c r="J35" i="84"/>
  <c r="H35" i="84"/>
  <c r="D35" i="84"/>
  <c r="L35" i="84" s="1"/>
  <c r="B35" i="84"/>
  <c r="Z34" i="84"/>
  <c r="X34" i="84"/>
  <c r="N34" i="84"/>
  <c r="L34" i="84"/>
  <c r="F34" i="84"/>
  <c r="B34" i="84"/>
  <c r="Z33" i="84"/>
  <c r="X33" i="84"/>
  <c r="L33" i="84"/>
  <c r="N33" i="84" s="1"/>
  <c r="B33" i="84"/>
  <c r="X32" i="84"/>
  <c r="Z32" i="84" s="1"/>
  <c r="L32" i="84"/>
  <c r="N32" i="84" s="1"/>
  <c r="J32" i="84"/>
  <c r="B32" i="84"/>
  <c r="Z31" i="84"/>
  <c r="X31" i="84"/>
  <c r="N31" i="84"/>
  <c r="L31" i="84"/>
  <c r="F31" i="84"/>
  <c r="B31" i="84"/>
  <c r="Z30" i="84"/>
  <c r="X30" i="84"/>
  <c r="L30" i="84"/>
  <c r="N30" i="84" s="1"/>
  <c r="B30" i="84"/>
  <c r="X29" i="84"/>
  <c r="Z29" i="84" s="1"/>
  <c r="L29" i="84"/>
  <c r="N29" i="84" s="1"/>
  <c r="F29" i="84"/>
  <c r="B29" i="84"/>
  <c r="X28" i="84"/>
  <c r="Z28" i="84" s="1"/>
  <c r="N28" i="84"/>
  <c r="L28" i="84"/>
  <c r="J28" i="84"/>
  <c r="B28" i="84"/>
  <c r="X27" i="84"/>
  <c r="Z27" i="84" s="1"/>
  <c r="V27" i="84"/>
  <c r="N27" i="84"/>
  <c r="L27" i="84"/>
  <c r="J27" i="84"/>
  <c r="B27" i="84"/>
  <c r="X26" i="84"/>
  <c r="Z26" i="84" s="1"/>
  <c r="N26" i="84"/>
  <c r="L26" i="84"/>
  <c r="J26" i="84"/>
  <c r="F26" i="84"/>
  <c r="B26" i="84"/>
  <c r="X25" i="84"/>
  <c r="T25" i="84"/>
  <c r="Z25" i="84" s="1"/>
  <c r="P25" i="84"/>
  <c r="J25" i="84"/>
  <c r="H25" i="84"/>
  <c r="F25" i="84"/>
  <c r="D25" i="84"/>
  <c r="B25" i="84"/>
  <c r="T24" i="84"/>
  <c r="P24" i="84"/>
  <c r="X24" i="84" s="1"/>
  <c r="H24" i="84"/>
  <c r="D24" i="84"/>
  <c r="D22" i="84"/>
  <c r="Z20" i="84"/>
  <c r="X20" i="84"/>
  <c r="N20" i="84"/>
  <c r="L20" i="84"/>
  <c r="J20" i="84"/>
  <c r="B20" i="84"/>
  <c r="Z19" i="84"/>
  <c r="X19" i="84"/>
  <c r="V19" i="84"/>
  <c r="N19" i="84"/>
  <c r="L19" i="84"/>
  <c r="J19" i="84"/>
  <c r="B19" i="84"/>
  <c r="X18" i="84"/>
  <c r="Z18" i="84" s="1"/>
  <c r="L18" i="84"/>
  <c r="N18" i="84" s="1"/>
  <c r="J18" i="84"/>
  <c r="F18" i="84"/>
  <c r="B18" i="84"/>
  <c r="X17" i="84"/>
  <c r="T17" i="84"/>
  <c r="Z17" i="84" s="1"/>
  <c r="P17" i="84"/>
  <c r="J17" i="84"/>
  <c r="H17" i="84"/>
  <c r="F17" i="84"/>
  <c r="D17" i="84"/>
  <c r="Z15" i="84"/>
  <c r="P15" i="84"/>
  <c r="X15" i="84" s="1"/>
  <c r="N15" i="84"/>
  <c r="L15" i="84"/>
  <c r="D15" i="84"/>
  <c r="B15" i="84"/>
  <c r="Z14" i="84"/>
  <c r="X14" i="84"/>
  <c r="P14" i="84"/>
  <c r="N14" i="84"/>
  <c r="L14" i="84"/>
  <c r="D14" i="84"/>
  <c r="B14" i="84"/>
  <c r="P13" i="84"/>
  <c r="P12" i="84" s="1"/>
  <c r="L13" i="84"/>
  <c r="N13" i="84" s="1"/>
  <c r="D13" i="84"/>
  <c r="B13" i="84"/>
  <c r="T12" i="84"/>
  <c r="V80" i="84" s="1"/>
  <c r="L12" i="84"/>
  <c r="N12" i="84" s="1"/>
  <c r="H12" i="84"/>
  <c r="J69" i="84" s="1"/>
  <c r="D12" i="84"/>
  <c r="F78" i="84" s="1"/>
  <c r="D6" i="84"/>
  <c r="D4" i="84"/>
  <c r="Z30" i="83"/>
  <c r="X30" i="83"/>
  <c r="V30" i="83"/>
  <c r="R30" i="83"/>
  <c r="N30" i="83"/>
  <c r="L30" i="83"/>
  <c r="Z26" i="83"/>
  <c r="T26" i="83"/>
  <c r="P26" i="83"/>
  <c r="X26" i="83" s="1"/>
  <c r="N26" i="83"/>
  <c r="L26" i="83"/>
  <c r="H26" i="83"/>
  <c r="D26" i="83"/>
  <c r="Z24" i="83"/>
  <c r="T24" i="83"/>
  <c r="P24" i="83"/>
  <c r="X24" i="83" s="1"/>
  <c r="N24" i="83"/>
  <c r="L24" i="83"/>
  <c r="H24" i="83"/>
  <c r="D24" i="83"/>
  <c r="Z20" i="83"/>
  <c r="X20" i="83"/>
  <c r="N20" i="83"/>
  <c r="L20" i="83"/>
  <c r="B20" i="83"/>
  <c r="Z19" i="83"/>
  <c r="X19" i="83"/>
  <c r="N19" i="83"/>
  <c r="L19" i="83"/>
  <c r="B19" i="83"/>
  <c r="Z18" i="83"/>
  <c r="X18" i="83"/>
  <c r="V18" i="83"/>
  <c r="L18" i="83"/>
  <c r="N18" i="83" s="1"/>
  <c r="B18" i="83"/>
  <c r="T17" i="83"/>
  <c r="P17" i="83"/>
  <c r="X17" i="83" s="1"/>
  <c r="H17" i="83"/>
  <c r="D17" i="83"/>
  <c r="L17" i="83" s="1"/>
  <c r="N17" i="83" s="1"/>
  <c r="X15" i="83"/>
  <c r="Z15" i="83" s="1"/>
  <c r="P15" i="83"/>
  <c r="D15" i="83"/>
  <c r="B15" i="83"/>
  <c r="Z14" i="83"/>
  <c r="P14" i="83"/>
  <c r="X14" i="83" s="1"/>
  <c r="N14" i="83"/>
  <c r="L14" i="83"/>
  <c r="D14" i="83"/>
  <c r="B14" i="83"/>
  <c r="Z13" i="83"/>
  <c r="X13" i="83"/>
  <c r="P13" i="83"/>
  <c r="P12" i="83" s="1"/>
  <c r="N13" i="83"/>
  <c r="L13" i="83"/>
  <c r="D13" i="83"/>
  <c r="B13" i="83"/>
  <c r="T12" i="83"/>
  <c r="V19" i="83" s="1"/>
  <c r="H12" i="83"/>
  <c r="J26" i="83" s="1"/>
  <c r="D6" i="83"/>
  <c r="D4" i="83"/>
  <c r="Z84" i="81"/>
  <c r="X84" i="81"/>
  <c r="V84" i="81"/>
  <c r="N84" i="81"/>
  <c r="L84" i="81"/>
  <c r="Z80" i="81"/>
  <c r="T80" i="81"/>
  <c r="P80" i="81"/>
  <c r="X80" i="81" s="1"/>
  <c r="N80" i="81"/>
  <c r="L80" i="81"/>
  <c r="H80" i="81"/>
  <c r="D80" i="81"/>
  <c r="Z78" i="81"/>
  <c r="X78" i="81"/>
  <c r="N78" i="81"/>
  <c r="L78" i="81"/>
  <c r="F78" i="81"/>
  <c r="B78" i="81"/>
  <c r="Z77" i="81"/>
  <c r="T77" i="81"/>
  <c r="P77" i="81"/>
  <c r="X77" i="81" s="1"/>
  <c r="H77" i="81"/>
  <c r="N77" i="81" s="1"/>
  <c r="D77" i="81"/>
  <c r="B77" i="81"/>
  <c r="X76" i="81"/>
  <c r="Z76" i="81" s="1"/>
  <c r="N76" i="81"/>
  <c r="L76" i="81"/>
  <c r="B76" i="81"/>
  <c r="Z75" i="81"/>
  <c r="X75" i="81"/>
  <c r="V75" i="81"/>
  <c r="T75" i="81"/>
  <c r="P75" i="81"/>
  <c r="H75" i="81"/>
  <c r="D75" i="81"/>
  <c r="L75" i="81" s="1"/>
  <c r="B75" i="81"/>
  <c r="Z74" i="81"/>
  <c r="X74" i="81"/>
  <c r="N74" i="81"/>
  <c r="L74" i="81"/>
  <c r="B74" i="81"/>
  <c r="Z73" i="81"/>
  <c r="X73" i="81"/>
  <c r="V73" i="81"/>
  <c r="N73" i="81"/>
  <c r="L73" i="81"/>
  <c r="B73" i="81"/>
  <c r="Z72" i="81"/>
  <c r="X72" i="81"/>
  <c r="N72" i="81"/>
  <c r="L72" i="81"/>
  <c r="B72" i="81"/>
  <c r="Z71" i="81"/>
  <c r="X71" i="81"/>
  <c r="N71" i="81"/>
  <c r="L71" i="81"/>
  <c r="F71" i="81"/>
  <c r="B71" i="81"/>
  <c r="Z70" i="81"/>
  <c r="X70" i="81"/>
  <c r="N70" i="81"/>
  <c r="L70" i="81"/>
  <c r="B70" i="81"/>
  <c r="T69" i="81"/>
  <c r="P69" i="81"/>
  <c r="L69" i="81"/>
  <c r="H69" i="81"/>
  <c r="N69" i="81" s="1"/>
  <c r="D69" i="81"/>
  <c r="B69" i="81"/>
  <c r="Z68" i="81"/>
  <c r="X68" i="81"/>
  <c r="V68" i="81"/>
  <c r="N68" i="81"/>
  <c r="L68" i="81"/>
  <c r="B68" i="81"/>
  <c r="Z67" i="81"/>
  <c r="X67" i="81"/>
  <c r="N67" i="81"/>
  <c r="L67" i="81"/>
  <c r="B67" i="81"/>
  <c r="Z66" i="81"/>
  <c r="X66" i="81"/>
  <c r="N66" i="81"/>
  <c r="L66" i="81"/>
  <c r="F66" i="81"/>
  <c r="B66" i="81"/>
  <c r="Z65" i="81"/>
  <c r="T65" i="81"/>
  <c r="P65" i="81"/>
  <c r="X65" i="81" s="1"/>
  <c r="H65" i="81"/>
  <c r="N65" i="81" s="1"/>
  <c r="D65" i="81"/>
  <c r="B65" i="81"/>
  <c r="X64" i="81"/>
  <c r="Z64" i="81" s="1"/>
  <c r="N64" i="81"/>
  <c r="L64" i="81"/>
  <c r="B64" i="81"/>
  <c r="Z63" i="81"/>
  <c r="X63" i="81"/>
  <c r="V63" i="81"/>
  <c r="N63" i="81"/>
  <c r="L63" i="81"/>
  <c r="B63" i="81"/>
  <c r="Z62" i="81"/>
  <c r="X62" i="81"/>
  <c r="V62" i="81"/>
  <c r="N62" i="81"/>
  <c r="L62" i="81"/>
  <c r="B62" i="81"/>
  <c r="T61" i="81"/>
  <c r="Z61" i="81" s="1"/>
  <c r="P61" i="81"/>
  <c r="X61" i="81" s="1"/>
  <c r="N61" i="81"/>
  <c r="L61" i="81"/>
  <c r="H61" i="81"/>
  <c r="D61" i="81"/>
  <c r="B61" i="81"/>
  <c r="Z60" i="81"/>
  <c r="X60" i="81"/>
  <c r="L60" i="81"/>
  <c r="N60" i="81" s="1"/>
  <c r="J60" i="81"/>
  <c r="B60" i="81"/>
  <c r="X59" i="81"/>
  <c r="T59" i="81"/>
  <c r="Z59" i="81" s="1"/>
  <c r="P59" i="81"/>
  <c r="H59" i="81"/>
  <c r="D59" i="81"/>
  <c r="B59" i="81"/>
  <c r="Z58" i="81"/>
  <c r="X58" i="81"/>
  <c r="N58" i="81"/>
  <c r="L58" i="81"/>
  <c r="F58" i="81"/>
  <c r="B58" i="81"/>
  <c r="T57" i="81"/>
  <c r="P57" i="81"/>
  <c r="X57" i="81" s="1"/>
  <c r="Z57" i="81" s="1"/>
  <c r="H57" i="81"/>
  <c r="D57" i="81"/>
  <c r="L57" i="81" s="1"/>
  <c r="B57" i="81"/>
  <c r="Z56" i="81"/>
  <c r="X56" i="81"/>
  <c r="N56" i="81"/>
  <c r="L56" i="81"/>
  <c r="B56" i="81"/>
  <c r="Z55" i="81"/>
  <c r="X55" i="81"/>
  <c r="V55" i="81"/>
  <c r="T55" i="81"/>
  <c r="P55" i="81"/>
  <c r="H55" i="81"/>
  <c r="N55" i="81" s="1"/>
  <c r="D55" i="81"/>
  <c r="L55" i="81" s="1"/>
  <c r="B55" i="81"/>
  <c r="Z54" i="81"/>
  <c r="X54" i="81"/>
  <c r="N54" i="81"/>
  <c r="L54" i="81"/>
  <c r="B54" i="81"/>
  <c r="X53" i="81"/>
  <c r="Z53" i="81" s="1"/>
  <c r="V53" i="81"/>
  <c r="N53" i="81"/>
  <c r="L53" i="81"/>
  <c r="B53" i="81"/>
  <c r="T52" i="81"/>
  <c r="P52" i="81"/>
  <c r="X52" i="81" s="1"/>
  <c r="Z52" i="81" s="1"/>
  <c r="N52" i="81"/>
  <c r="L52" i="81"/>
  <c r="H52" i="81"/>
  <c r="D52" i="81"/>
  <c r="B52" i="81"/>
  <c r="X51" i="81"/>
  <c r="Z51" i="81" s="1"/>
  <c r="N51" i="81"/>
  <c r="L51" i="81"/>
  <c r="B51" i="81"/>
  <c r="T50" i="81"/>
  <c r="X50" i="81" s="1"/>
  <c r="Z50" i="81" s="1"/>
  <c r="P50" i="81"/>
  <c r="L50" i="81"/>
  <c r="N50" i="81" s="1"/>
  <c r="J50" i="81"/>
  <c r="H50" i="81"/>
  <c r="D50" i="81"/>
  <c r="B50" i="81"/>
  <c r="Z49" i="81"/>
  <c r="X49" i="81"/>
  <c r="N49" i="81"/>
  <c r="L49" i="81"/>
  <c r="J49" i="81"/>
  <c r="F49" i="81"/>
  <c r="B49" i="81"/>
  <c r="V48" i="81"/>
  <c r="T48" i="81"/>
  <c r="Z48" i="81" s="1"/>
  <c r="P48" i="81"/>
  <c r="X48" i="81" s="1"/>
  <c r="H48" i="81"/>
  <c r="N48" i="81" s="1"/>
  <c r="F48" i="81"/>
  <c r="D48" i="81"/>
  <c r="L48" i="81" s="1"/>
  <c r="B48" i="81"/>
  <c r="Z47" i="81"/>
  <c r="X47" i="81"/>
  <c r="N47" i="81"/>
  <c r="L47" i="81"/>
  <c r="F47" i="81"/>
  <c r="B47" i="81"/>
  <c r="Z46" i="81"/>
  <c r="X46" i="81"/>
  <c r="T46" i="81"/>
  <c r="P46" i="81"/>
  <c r="N46" i="81"/>
  <c r="H46" i="81"/>
  <c r="D46" i="81"/>
  <c r="L46" i="81" s="1"/>
  <c r="B46" i="81"/>
  <c r="Z45" i="81"/>
  <c r="X45" i="81"/>
  <c r="N45" i="81"/>
  <c r="L45" i="81"/>
  <c r="B45" i="81"/>
  <c r="Z44" i="81"/>
  <c r="X44" i="81"/>
  <c r="V44" i="81"/>
  <c r="N44" i="81"/>
  <c r="L44" i="81"/>
  <c r="B44" i="81"/>
  <c r="X43" i="81"/>
  <c r="Z43" i="81" s="1"/>
  <c r="N43" i="81"/>
  <c r="L43" i="81"/>
  <c r="B43" i="81"/>
  <c r="Z42" i="81"/>
  <c r="X42" i="81"/>
  <c r="N42" i="81"/>
  <c r="L42" i="81"/>
  <c r="F42" i="81"/>
  <c r="B42" i="81"/>
  <c r="Z41" i="81"/>
  <c r="X41" i="81"/>
  <c r="N41" i="81"/>
  <c r="L41" i="81"/>
  <c r="B41" i="81"/>
  <c r="Z40" i="81"/>
  <c r="X40" i="81"/>
  <c r="V40" i="81"/>
  <c r="N40" i="81"/>
  <c r="L40" i="81"/>
  <c r="B40" i="81"/>
  <c r="Z39" i="81"/>
  <c r="X39" i="81"/>
  <c r="N39" i="81"/>
  <c r="L39" i="81"/>
  <c r="B39" i="81"/>
  <c r="Z38" i="81"/>
  <c r="X38" i="81"/>
  <c r="N38" i="81"/>
  <c r="L38" i="81"/>
  <c r="F38" i="81"/>
  <c r="B38" i="81"/>
  <c r="Z37" i="81"/>
  <c r="X37" i="81"/>
  <c r="N37" i="81"/>
  <c r="L37" i="81"/>
  <c r="B37" i="81"/>
  <c r="X36" i="81"/>
  <c r="Z36" i="81" s="1"/>
  <c r="V36" i="81"/>
  <c r="N36" i="81"/>
  <c r="L36" i="81"/>
  <c r="B36" i="81"/>
  <c r="T35" i="81"/>
  <c r="P35" i="81"/>
  <c r="H35" i="81"/>
  <c r="D35" i="81"/>
  <c r="L35" i="81" s="1"/>
  <c r="N35" i="81" s="1"/>
  <c r="B35" i="81"/>
  <c r="Z34" i="81"/>
  <c r="X34" i="81"/>
  <c r="V34" i="81"/>
  <c r="N34" i="81"/>
  <c r="L34" i="81"/>
  <c r="B34" i="81"/>
  <c r="X33" i="81"/>
  <c r="Z33" i="81" s="1"/>
  <c r="L33" i="81"/>
  <c r="N33" i="81" s="1"/>
  <c r="J33" i="81"/>
  <c r="F33" i="81"/>
  <c r="B33" i="81"/>
  <c r="Z32" i="81"/>
  <c r="X32" i="81"/>
  <c r="V32" i="81"/>
  <c r="N32" i="81"/>
  <c r="L32" i="81"/>
  <c r="B32" i="81"/>
  <c r="Z31" i="81"/>
  <c r="X31" i="81"/>
  <c r="V31" i="81"/>
  <c r="N31" i="81"/>
  <c r="L31" i="81"/>
  <c r="B31" i="81"/>
  <c r="Z30" i="81"/>
  <c r="X30" i="81"/>
  <c r="V30" i="81"/>
  <c r="N30" i="81"/>
  <c r="L30" i="81"/>
  <c r="B30" i="81"/>
  <c r="X29" i="81"/>
  <c r="Z29" i="81" s="1"/>
  <c r="L29" i="81"/>
  <c r="N29" i="81" s="1"/>
  <c r="J29" i="81"/>
  <c r="F29" i="81"/>
  <c r="B29" i="81"/>
  <c r="Z28" i="81"/>
  <c r="X28" i="81"/>
  <c r="V28" i="81"/>
  <c r="N28" i="81"/>
  <c r="L28" i="81"/>
  <c r="B28" i="81"/>
  <c r="Z27" i="81"/>
  <c r="X27" i="81"/>
  <c r="V27" i="81"/>
  <c r="L27" i="81"/>
  <c r="N27" i="81" s="1"/>
  <c r="B27" i="81"/>
  <c r="Z26" i="81"/>
  <c r="X26" i="81"/>
  <c r="V26" i="81"/>
  <c r="N26" i="81"/>
  <c r="L26" i="81"/>
  <c r="B26" i="81"/>
  <c r="T25" i="81"/>
  <c r="Z25" i="81" s="1"/>
  <c r="P25" i="81"/>
  <c r="X25" i="81" s="1"/>
  <c r="L25" i="81"/>
  <c r="N25" i="81" s="1"/>
  <c r="H25" i="81"/>
  <c r="D25" i="81"/>
  <c r="B25" i="81"/>
  <c r="T24" i="81"/>
  <c r="P24" i="81"/>
  <c r="H24" i="81"/>
  <c r="D24" i="81"/>
  <c r="Z20" i="81"/>
  <c r="X20" i="81"/>
  <c r="N20" i="81"/>
  <c r="L20" i="81"/>
  <c r="J20" i="81"/>
  <c r="B20" i="81"/>
  <c r="Z19" i="81"/>
  <c r="X19" i="81"/>
  <c r="N19" i="81"/>
  <c r="L19" i="81"/>
  <c r="F19" i="81"/>
  <c r="B19" i="81"/>
  <c r="Z18" i="81"/>
  <c r="X18" i="81"/>
  <c r="N18" i="81"/>
  <c r="L18" i="81"/>
  <c r="B18" i="81"/>
  <c r="T17" i="81"/>
  <c r="P17" i="81"/>
  <c r="L17" i="81"/>
  <c r="H17" i="81"/>
  <c r="N17" i="81" s="1"/>
  <c r="D17" i="81"/>
  <c r="Z15" i="81"/>
  <c r="P15" i="81"/>
  <c r="X15" i="81" s="1"/>
  <c r="N15" i="81"/>
  <c r="L15" i="81"/>
  <c r="D15" i="81"/>
  <c r="B15" i="81"/>
  <c r="P14" i="81"/>
  <c r="X14" i="81" s="1"/>
  <c r="Z14" i="81" s="1"/>
  <c r="L14" i="81"/>
  <c r="N14" i="81" s="1"/>
  <c r="D14" i="81"/>
  <c r="B14" i="81"/>
  <c r="Z13" i="81"/>
  <c r="X13" i="81"/>
  <c r="P13" i="81"/>
  <c r="N13" i="81"/>
  <c r="D13" i="81"/>
  <c r="L13" i="81" s="1"/>
  <c r="B13" i="81"/>
  <c r="T12" i="81"/>
  <c r="V74" i="81" s="1"/>
  <c r="L12" i="81"/>
  <c r="N12" i="81" s="1"/>
  <c r="H12" i="81"/>
  <c r="J58" i="81" s="1"/>
  <c r="D12" i="81"/>
  <c r="F72" i="81" s="1"/>
  <c r="D6" i="81"/>
  <c r="D4" i="81"/>
  <c r="Z83" i="80"/>
  <c r="X83" i="80"/>
  <c r="N83" i="80"/>
  <c r="L83" i="80"/>
  <c r="J83" i="80"/>
  <c r="F83" i="80"/>
  <c r="Z79" i="80"/>
  <c r="X79" i="80"/>
  <c r="T79" i="80"/>
  <c r="P79" i="80"/>
  <c r="N79" i="80"/>
  <c r="H79" i="80"/>
  <c r="D79" i="80"/>
  <c r="L79" i="80" s="1"/>
  <c r="Z77" i="80"/>
  <c r="X77" i="80"/>
  <c r="N77" i="80"/>
  <c r="L77" i="80"/>
  <c r="B77" i="80"/>
  <c r="X76" i="80"/>
  <c r="T76" i="80"/>
  <c r="P76" i="80"/>
  <c r="L76" i="80"/>
  <c r="H76" i="80"/>
  <c r="N76" i="80" s="1"/>
  <c r="D76" i="80"/>
  <c r="B76" i="80"/>
  <c r="X75" i="80"/>
  <c r="Z75" i="80" s="1"/>
  <c r="L75" i="80"/>
  <c r="N75" i="80" s="1"/>
  <c r="J75" i="80"/>
  <c r="B75" i="80"/>
  <c r="T74" i="80"/>
  <c r="R74" i="80"/>
  <c r="P74" i="80"/>
  <c r="H74" i="80"/>
  <c r="D74" i="80"/>
  <c r="L74" i="80" s="1"/>
  <c r="N74" i="80" s="1"/>
  <c r="B74" i="80"/>
  <c r="Z73" i="80"/>
  <c r="X73" i="80"/>
  <c r="N73" i="80"/>
  <c r="L73" i="80"/>
  <c r="B73" i="80"/>
  <c r="Z72" i="80"/>
  <c r="X72" i="80"/>
  <c r="N72" i="80"/>
  <c r="L72" i="80"/>
  <c r="J72" i="80"/>
  <c r="B72" i="80"/>
  <c r="Z71" i="80"/>
  <c r="X71" i="80"/>
  <c r="N71" i="80"/>
  <c r="L71" i="80"/>
  <c r="J71" i="80"/>
  <c r="B71" i="80"/>
  <c r="Z70" i="80"/>
  <c r="X70" i="80"/>
  <c r="T70" i="80"/>
  <c r="P70" i="80"/>
  <c r="H70" i="80"/>
  <c r="D70" i="80"/>
  <c r="L70" i="80" s="1"/>
  <c r="B70" i="80"/>
  <c r="Z69" i="80"/>
  <c r="X69" i="80"/>
  <c r="N69" i="80"/>
  <c r="L69" i="80"/>
  <c r="J69" i="80"/>
  <c r="B69" i="80"/>
  <c r="X68" i="80"/>
  <c r="Z68" i="80" s="1"/>
  <c r="V68" i="80"/>
  <c r="R68" i="80"/>
  <c r="N68" i="80"/>
  <c r="L68" i="80"/>
  <c r="B68" i="80"/>
  <c r="Z67" i="80"/>
  <c r="X67" i="80"/>
  <c r="N67" i="80"/>
  <c r="L67" i="80"/>
  <c r="J67" i="80"/>
  <c r="B67" i="80"/>
  <c r="X66" i="80"/>
  <c r="T66" i="80"/>
  <c r="Z66" i="80" s="1"/>
  <c r="P66" i="80"/>
  <c r="H66" i="80"/>
  <c r="D66" i="80"/>
  <c r="B66" i="80"/>
  <c r="Z65" i="80"/>
  <c r="X65" i="80"/>
  <c r="N65" i="80"/>
  <c r="L65" i="80"/>
  <c r="J65" i="80"/>
  <c r="F65" i="80"/>
  <c r="B65" i="80"/>
  <c r="Z64" i="80"/>
  <c r="X64" i="80"/>
  <c r="N64" i="80"/>
  <c r="L64" i="80"/>
  <c r="J64" i="80"/>
  <c r="B64" i="80"/>
  <c r="X63" i="80"/>
  <c r="Z63" i="80" s="1"/>
  <c r="T63" i="80"/>
  <c r="P63" i="80"/>
  <c r="H63" i="80"/>
  <c r="J63" i="80" s="1"/>
  <c r="D63" i="80"/>
  <c r="L63" i="80" s="1"/>
  <c r="N63" i="80" s="1"/>
  <c r="B63" i="80"/>
  <c r="Z62" i="80"/>
  <c r="X62" i="80"/>
  <c r="N62" i="80"/>
  <c r="L62" i="80"/>
  <c r="B62" i="80"/>
  <c r="Z61" i="80"/>
  <c r="X61" i="80"/>
  <c r="R61" i="80"/>
  <c r="N61" i="80"/>
  <c r="L61" i="80"/>
  <c r="B61" i="80"/>
  <c r="Z60" i="80"/>
  <c r="X60" i="80"/>
  <c r="N60" i="80"/>
  <c r="L60" i="80"/>
  <c r="J60" i="80"/>
  <c r="B60" i="80"/>
  <c r="T59" i="80"/>
  <c r="Z59" i="80" s="1"/>
  <c r="P59" i="80"/>
  <c r="X59" i="80" s="1"/>
  <c r="J59" i="80"/>
  <c r="H59" i="80"/>
  <c r="N59" i="80" s="1"/>
  <c r="D59" i="80"/>
  <c r="L59" i="80" s="1"/>
  <c r="B59" i="80"/>
  <c r="Z58" i="80"/>
  <c r="X58" i="80"/>
  <c r="N58" i="80"/>
  <c r="L58" i="80"/>
  <c r="B58" i="80"/>
  <c r="Z57" i="80"/>
  <c r="X57" i="80"/>
  <c r="T57" i="80"/>
  <c r="P57" i="80"/>
  <c r="N57" i="80"/>
  <c r="J57" i="80"/>
  <c r="H57" i="80"/>
  <c r="D57" i="80"/>
  <c r="L57" i="80" s="1"/>
  <c r="B57" i="80"/>
  <c r="Z56" i="80"/>
  <c r="X56" i="80"/>
  <c r="L56" i="80"/>
  <c r="N56" i="80" s="1"/>
  <c r="J56" i="80"/>
  <c r="B56" i="80"/>
  <c r="T55" i="80"/>
  <c r="P55" i="80"/>
  <c r="H55" i="80"/>
  <c r="J55" i="80" s="1"/>
  <c r="D55" i="80"/>
  <c r="L55" i="80" s="1"/>
  <c r="N55" i="80" s="1"/>
  <c r="B55" i="80"/>
  <c r="Z54" i="80"/>
  <c r="X54" i="80"/>
  <c r="V54" i="80"/>
  <c r="N54" i="80"/>
  <c r="L54" i="80"/>
  <c r="B54" i="80"/>
  <c r="T53" i="80"/>
  <c r="Z53" i="80" s="1"/>
  <c r="P53" i="80"/>
  <c r="J53" i="80"/>
  <c r="H53" i="80"/>
  <c r="N53" i="80" s="1"/>
  <c r="D53" i="80"/>
  <c r="L53" i="80" s="1"/>
  <c r="B53" i="80"/>
  <c r="X52" i="80"/>
  <c r="Z52" i="80" s="1"/>
  <c r="N52" i="80"/>
  <c r="L52" i="80"/>
  <c r="B52" i="80"/>
  <c r="T51" i="80"/>
  <c r="P51" i="80"/>
  <c r="X51" i="80" s="1"/>
  <c r="Z51" i="80" s="1"/>
  <c r="N51" i="80"/>
  <c r="L51" i="80"/>
  <c r="H51" i="80"/>
  <c r="D51" i="80"/>
  <c r="B51" i="80"/>
  <c r="X50" i="80"/>
  <c r="Z50" i="80" s="1"/>
  <c r="L50" i="80"/>
  <c r="N50" i="80" s="1"/>
  <c r="J50" i="80"/>
  <c r="B50" i="80"/>
  <c r="T49" i="80"/>
  <c r="P49" i="80"/>
  <c r="X49" i="80" s="1"/>
  <c r="Z49" i="80" s="1"/>
  <c r="L49" i="80"/>
  <c r="J49" i="80"/>
  <c r="H49" i="80"/>
  <c r="D49" i="80"/>
  <c r="B49" i="80"/>
  <c r="Z48" i="80"/>
  <c r="X48" i="80"/>
  <c r="N48" i="80"/>
  <c r="L48" i="80"/>
  <c r="J48" i="80"/>
  <c r="B48" i="80"/>
  <c r="T47" i="80"/>
  <c r="Z47" i="80" s="1"/>
  <c r="P47" i="80"/>
  <c r="X47" i="80" s="1"/>
  <c r="H47" i="80"/>
  <c r="N47" i="80" s="1"/>
  <c r="D47" i="80"/>
  <c r="L47" i="80" s="1"/>
  <c r="B47" i="80"/>
  <c r="Z46" i="80"/>
  <c r="X46" i="80"/>
  <c r="N46" i="80"/>
  <c r="L46" i="80"/>
  <c r="B46" i="80"/>
  <c r="Z45" i="80"/>
  <c r="X45" i="80"/>
  <c r="T45" i="80"/>
  <c r="P45" i="80"/>
  <c r="N45" i="80"/>
  <c r="J45" i="80"/>
  <c r="H45" i="80"/>
  <c r="D45" i="80"/>
  <c r="L45" i="80" s="1"/>
  <c r="B45" i="80"/>
  <c r="Z44" i="80"/>
  <c r="X44" i="80"/>
  <c r="N44" i="80"/>
  <c r="L44" i="80"/>
  <c r="J44" i="80"/>
  <c r="B44" i="80"/>
  <c r="Z43" i="80"/>
  <c r="X43" i="80"/>
  <c r="R43" i="80"/>
  <c r="N43" i="80"/>
  <c r="L43" i="80"/>
  <c r="J43" i="80"/>
  <c r="B43" i="80"/>
  <c r="X42" i="80"/>
  <c r="Z42" i="80" s="1"/>
  <c r="L42" i="80"/>
  <c r="N42" i="80" s="1"/>
  <c r="J42" i="80"/>
  <c r="B42" i="80"/>
  <c r="Z41" i="80"/>
  <c r="X41" i="80"/>
  <c r="N41" i="80"/>
  <c r="L41" i="80"/>
  <c r="J41" i="80"/>
  <c r="F41" i="80"/>
  <c r="B41" i="80"/>
  <c r="Z40" i="80"/>
  <c r="X40" i="80"/>
  <c r="N40" i="80"/>
  <c r="L40" i="80"/>
  <c r="J40" i="80"/>
  <c r="B40" i="80"/>
  <c r="Z39" i="80"/>
  <c r="X39" i="80"/>
  <c r="V39" i="80"/>
  <c r="N39" i="80"/>
  <c r="L39" i="80"/>
  <c r="J39" i="80"/>
  <c r="B39" i="80"/>
  <c r="Z38" i="80"/>
  <c r="X38" i="80"/>
  <c r="R38" i="80"/>
  <c r="N38" i="80"/>
  <c r="L38" i="80"/>
  <c r="J38" i="80"/>
  <c r="B38" i="80"/>
  <c r="Z37" i="80"/>
  <c r="X37" i="80"/>
  <c r="N37" i="80"/>
  <c r="L37" i="80"/>
  <c r="J37" i="80"/>
  <c r="B37" i="80"/>
  <c r="Z36" i="80"/>
  <c r="X36" i="80"/>
  <c r="N36" i="80"/>
  <c r="L36" i="80"/>
  <c r="J36" i="80"/>
  <c r="B36" i="80"/>
  <c r="X35" i="80"/>
  <c r="Z35" i="80" s="1"/>
  <c r="L35" i="80"/>
  <c r="N35" i="80" s="1"/>
  <c r="J35" i="80"/>
  <c r="B35" i="80"/>
  <c r="T34" i="80"/>
  <c r="P34" i="80"/>
  <c r="X34" i="80" s="1"/>
  <c r="H34" i="80"/>
  <c r="D34" i="80"/>
  <c r="L34" i="80" s="1"/>
  <c r="N34" i="80" s="1"/>
  <c r="B34" i="80"/>
  <c r="Z33" i="80"/>
  <c r="X33" i="80"/>
  <c r="N33" i="80"/>
  <c r="L33" i="80"/>
  <c r="B33" i="80"/>
  <c r="X32" i="80"/>
  <c r="Z32" i="80" s="1"/>
  <c r="L32" i="80"/>
  <c r="N32" i="80" s="1"/>
  <c r="J32" i="80"/>
  <c r="F32" i="80"/>
  <c r="B32" i="80"/>
  <c r="Z31" i="80"/>
  <c r="X31" i="80"/>
  <c r="N31" i="80"/>
  <c r="L31" i="80"/>
  <c r="J31" i="80"/>
  <c r="B31" i="80"/>
  <c r="X30" i="80"/>
  <c r="Z30" i="80" s="1"/>
  <c r="V30" i="80"/>
  <c r="L30" i="80"/>
  <c r="N30" i="80" s="1"/>
  <c r="B30" i="80"/>
  <c r="Z29" i="80"/>
  <c r="X29" i="80"/>
  <c r="L29" i="80"/>
  <c r="N29" i="80" s="1"/>
  <c r="B29" i="80"/>
  <c r="X28" i="80"/>
  <c r="Z28" i="80" s="1"/>
  <c r="L28" i="80"/>
  <c r="N28" i="80" s="1"/>
  <c r="J28" i="80"/>
  <c r="B28" i="80"/>
  <c r="X27" i="80"/>
  <c r="Z27" i="80" s="1"/>
  <c r="L27" i="80"/>
  <c r="N27" i="80" s="1"/>
  <c r="J27" i="80"/>
  <c r="B27" i="80"/>
  <c r="X26" i="80"/>
  <c r="Z26" i="80" s="1"/>
  <c r="L26" i="80"/>
  <c r="N26" i="80" s="1"/>
  <c r="B26" i="80"/>
  <c r="V25" i="80"/>
  <c r="T25" i="80"/>
  <c r="P25" i="80"/>
  <c r="X25" i="80" s="1"/>
  <c r="J25" i="80"/>
  <c r="H25" i="80"/>
  <c r="D25" i="80"/>
  <c r="L25" i="80" s="1"/>
  <c r="B25" i="80"/>
  <c r="T24" i="80"/>
  <c r="R24" i="80"/>
  <c r="P24" i="80"/>
  <c r="H24" i="80"/>
  <c r="D24" i="80"/>
  <c r="L24" i="80" s="1"/>
  <c r="H22" i="80"/>
  <c r="Z20" i="80"/>
  <c r="X20" i="80"/>
  <c r="V20" i="80"/>
  <c r="N20" i="80"/>
  <c r="L20" i="80"/>
  <c r="B20" i="80"/>
  <c r="Z19" i="80"/>
  <c r="X19" i="80"/>
  <c r="N19" i="80"/>
  <c r="L19" i="80"/>
  <c r="J19" i="80"/>
  <c r="B19" i="80"/>
  <c r="X18" i="80"/>
  <c r="Z18" i="80" s="1"/>
  <c r="L18" i="80"/>
  <c r="N18" i="80" s="1"/>
  <c r="B18" i="80"/>
  <c r="Z17" i="80"/>
  <c r="X17" i="80"/>
  <c r="T17" i="80"/>
  <c r="P17" i="80"/>
  <c r="J17" i="80"/>
  <c r="H17" i="80"/>
  <c r="D17" i="80"/>
  <c r="L17" i="80" s="1"/>
  <c r="N17" i="80" s="1"/>
  <c r="Z15" i="80"/>
  <c r="X15" i="80"/>
  <c r="P15" i="80"/>
  <c r="N15" i="80"/>
  <c r="L15" i="80"/>
  <c r="D15" i="80"/>
  <c r="B15" i="80"/>
  <c r="X14" i="80"/>
  <c r="Z14" i="80" s="1"/>
  <c r="P14" i="80"/>
  <c r="D14" i="80"/>
  <c r="D12" i="80" s="1"/>
  <c r="F60" i="80" s="1"/>
  <c r="B14" i="80"/>
  <c r="Z13" i="80"/>
  <c r="P13" i="80"/>
  <c r="X13" i="80" s="1"/>
  <c r="N13" i="80"/>
  <c r="D13" i="80"/>
  <c r="L13" i="80" s="1"/>
  <c r="B13" i="80"/>
  <c r="T12" i="80"/>
  <c r="V55" i="80" s="1"/>
  <c r="P12" i="80"/>
  <c r="R53" i="80" s="1"/>
  <c r="H12" i="80"/>
  <c r="J73" i="80" s="1"/>
  <c r="D6" i="80"/>
  <c r="D4" i="80"/>
  <c r="X76" i="79"/>
  <c r="Z76" i="79" s="1"/>
  <c r="L76" i="79"/>
  <c r="N76" i="79" s="1"/>
  <c r="J76" i="79"/>
  <c r="Z72" i="79"/>
  <c r="X72" i="79"/>
  <c r="P72" i="79"/>
  <c r="N72" i="79"/>
  <c r="J72" i="79"/>
  <c r="D72" i="79"/>
  <c r="L72" i="79" s="1"/>
  <c r="B72" i="79"/>
  <c r="V71" i="79"/>
  <c r="P71" i="79"/>
  <c r="X71" i="79" s="1"/>
  <c r="Z71" i="79" s="1"/>
  <c r="D71" i="79"/>
  <c r="L71" i="79" s="1"/>
  <c r="N71" i="79" s="1"/>
  <c r="B71" i="79"/>
  <c r="Z70" i="79"/>
  <c r="X70" i="79"/>
  <c r="P70" i="79"/>
  <c r="N70" i="79"/>
  <c r="J70" i="79"/>
  <c r="D70" i="79"/>
  <c r="L70" i="79" s="1"/>
  <c r="B70" i="79"/>
  <c r="Z69" i="79"/>
  <c r="X69" i="79"/>
  <c r="P69" i="79"/>
  <c r="P67" i="79" s="1"/>
  <c r="X67" i="79" s="1"/>
  <c r="N69" i="79"/>
  <c r="L69" i="79"/>
  <c r="J69" i="79"/>
  <c r="D69" i="79"/>
  <c r="B69" i="79"/>
  <c r="Z68" i="79"/>
  <c r="X68" i="79"/>
  <c r="V68" i="79"/>
  <c r="P68" i="79"/>
  <c r="N68" i="79"/>
  <c r="J68" i="79"/>
  <c r="D68" i="79"/>
  <c r="B68" i="79"/>
  <c r="T67" i="79"/>
  <c r="Z67" i="79" s="1"/>
  <c r="H67" i="79"/>
  <c r="J67" i="79" s="1"/>
  <c r="Z65" i="79"/>
  <c r="X65" i="79"/>
  <c r="V65" i="79"/>
  <c r="N65" i="79"/>
  <c r="L65" i="79"/>
  <c r="J65" i="79"/>
  <c r="B65" i="79"/>
  <c r="T64" i="79"/>
  <c r="Z64" i="79" s="1"/>
  <c r="P64" i="79"/>
  <c r="X64" i="79" s="1"/>
  <c r="N64" i="79"/>
  <c r="H64" i="79"/>
  <c r="D64" i="79"/>
  <c r="L64" i="79" s="1"/>
  <c r="B64" i="79"/>
  <c r="Z63" i="79"/>
  <c r="X63" i="79"/>
  <c r="V63" i="79"/>
  <c r="L63" i="79"/>
  <c r="N63" i="79" s="1"/>
  <c r="B63" i="79"/>
  <c r="Z62" i="79"/>
  <c r="X62" i="79"/>
  <c r="V62" i="79"/>
  <c r="N62" i="79"/>
  <c r="L62" i="79"/>
  <c r="J62" i="79"/>
  <c r="B62" i="79"/>
  <c r="V61" i="79"/>
  <c r="T61" i="79"/>
  <c r="P61" i="79"/>
  <c r="X61" i="79" s="1"/>
  <c r="Z61" i="79" s="1"/>
  <c r="J61" i="79"/>
  <c r="H61" i="79"/>
  <c r="D61" i="79"/>
  <c r="L61" i="79" s="1"/>
  <c r="N61" i="79" s="1"/>
  <c r="B61" i="79"/>
  <c r="X60" i="79"/>
  <c r="Z60" i="79" s="1"/>
  <c r="L60" i="79"/>
  <c r="N60" i="79" s="1"/>
  <c r="B60" i="79"/>
  <c r="Z59" i="79"/>
  <c r="X59" i="79"/>
  <c r="T59" i="79"/>
  <c r="P59" i="79"/>
  <c r="J59" i="79"/>
  <c r="H59" i="79"/>
  <c r="D59" i="79"/>
  <c r="L59" i="79" s="1"/>
  <c r="N59" i="79" s="1"/>
  <c r="B59" i="79"/>
  <c r="Z58" i="79"/>
  <c r="X58" i="79"/>
  <c r="L58" i="79"/>
  <c r="N58" i="79" s="1"/>
  <c r="J58" i="79"/>
  <c r="B58" i="79"/>
  <c r="X57" i="79"/>
  <c r="Z57" i="79" s="1"/>
  <c r="T57" i="79"/>
  <c r="V57" i="79" s="1"/>
  <c r="P57" i="79"/>
  <c r="H57" i="79"/>
  <c r="J57" i="79" s="1"/>
  <c r="D57" i="79"/>
  <c r="B57" i="79"/>
  <c r="Z56" i="79"/>
  <c r="X56" i="79"/>
  <c r="V56" i="79"/>
  <c r="N56" i="79"/>
  <c r="L56" i="79"/>
  <c r="B56" i="79"/>
  <c r="Z55" i="79"/>
  <c r="X55" i="79"/>
  <c r="V55" i="79"/>
  <c r="L55" i="79"/>
  <c r="N55" i="79" s="1"/>
  <c r="B55" i="79"/>
  <c r="T54" i="79"/>
  <c r="P54" i="79"/>
  <c r="J54" i="79"/>
  <c r="H54" i="79"/>
  <c r="D54" i="79"/>
  <c r="L54" i="79" s="1"/>
  <c r="N54" i="79" s="1"/>
  <c r="B54" i="79"/>
  <c r="X53" i="79"/>
  <c r="Z53" i="79" s="1"/>
  <c r="V53" i="79"/>
  <c r="N53" i="79"/>
  <c r="L53" i="79"/>
  <c r="J53" i="79"/>
  <c r="B53" i="79"/>
  <c r="T52" i="79"/>
  <c r="P52" i="79"/>
  <c r="X52" i="79" s="1"/>
  <c r="H52" i="79"/>
  <c r="D52" i="79"/>
  <c r="B52" i="79"/>
  <c r="Z51" i="79"/>
  <c r="X51" i="79"/>
  <c r="V51" i="79"/>
  <c r="N51" i="79"/>
  <c r="L51" i="79"/>
  <c r="J51" i="79"/>
  <c r="B51" i="79"/>
  <c r="T50" i="79"/>
  <c r="P50" i="79"/>
  <c r="X50" i="79" s="1"/>
  <c r="Z50" i="79" s="1"/>
  <c r="N50" i="79"/>
  <c r="H50" i="79"/>
  <c r="D50" i="79"/>
  <c r="L50" i="79" s="1"/>
  <c r="B50" i="79"/>
  <c r="Z49" i="79"/>
  <c r="X49" i="79"/>
  <c r="V49" i="79"/>
  <c r="N49" i="79"/>
  <c r="L49" i="79"/>
  <c r="J49" i="79"/>
  <c r="B49" i="79"/>
  <c r="Z48" i="79"/>
  <c r="X48" i="79"/>
  <c r="V48" i="79"/>
  <c r="N48" i="79"/>
  <c r="L48" i="79"/>
  <c r="B48" i="79"/>
  <c r="Z47" i="79"/>
  <c r="X47" i="79"/>
  <c r="V47" i="79"/>
  <c r="N47" i="79"/>
  <c r="L47" i="79"/>
  <c r="B47" i="79"/>
  <c r="Z46" i="79"/>
  <c r="X46" i="79"/>
  <c r="V46" i="79"/>
  <c r="N46" i="79"/>
  <c r="L46" i="79"/>
  <c r="J46" i="79"/>
  <c r="B46" i="79"/>
  <c r="Z45" i="79"/>
  <c r="X45" i="79"/>
  <c r="V45" i="79"/>
  <c r="N45" i="79"/>
  <c r="L45" i="79"/>
  <c r="J45" i="79"/>
  <c r="B45" i="79"/>
  <c r="Z44" i="79"/>
  <c r="X44" i="79"/>
  <c r="V44" i="79"/>
  <c r="N44" i="79"/>
  <c r="L44" i="79"/>
  <c r="B44" i="79"/>
  <c r="Z43" i="79"/>
  <c r="X43" i="79"/>
  <c r="V43" i="79"/>
  <c r="N43" i="79"/>
  <c r="L43" i="79"/>
  <c r="B43" i="79"/>
  <c r="Z42" i="79"/>
  <c r="X42" i="79"/>
  <c r="V42" i="79"/>
  <c r="N42" i="79"/>
  <c r="L42" i="79"/>
  <c r="J42" i="79"/>
  <c r="B42" i="79"/>
  <c r="X41" i="79"/>
  <c r="Z41" i="79" s="1"/>
  <c r="V41" i="79"/>
  <c r="L41" i="79"/>
  <c r="N41" i="79" s="1"/>
  <c r="J41" i="79"/>
  <c r="B41" i="79"/>
  <c r="Z40" i="79"/>
  <c r="X40" i="79"/>
  <c r="V40" i="79"/>
  <c r="N40" i="79"/>
  <c r="L40" i="79"/>
  <c r="B40" i="79"/>
  <c r="T39" i="79"/>
  <c r="V39" i="79" s="1"/>
  <c r="P39" i="79"/>
  <c r="J39" i="79"/>
  <c r="H39" i="79"/>
  <c r="N39" i="79" s="1"/>
  <c r="D39" i="79"/>
  <c r="L39" i="79" s="1"/>
  <c r="B39" i="79"/>
  <c r="X38" i="79"/>
  <c r="Z38" i="79" s="1"/>
  <c r="V38" i="79"/>
  <c r="N38" i="79"/>
  <c r="L38" i="79"/>
  <c r="B38" i="79"/>
  <c r="X37" i="79"/>
  <c r="Z37" i="79" s="1"/>
  <c r="V37" i="79"/>
  <c r="L37" i="79"/>
  <c r="N37" i="79" s="1"/>
  <c r="J37" i="79"/>
  <c r="B37" i="79"/>
  <c r="Z36" i="79"/>
  <c r="X36" i="79"/>
  <c r="N36" i="79"/>
  <c r="L36" i="79"/>
  <c r="B36" i="79"/>
  <c r="X35" i="79"/>
  <c r="Z35" i="79" s="1"/>
  <c r="N35" i="79"/>
  <c r="L35" i="79"/>
  <c r="J35" i="79"/>
  <c r="B35" i="79"/>
  <c r="X34" i="79"/>
  <c r="Z34" i="79" s="1"/>
  <c r="V34" i="79"/>
  <c r="N34" i="79"/>
  <c r="L34" i="79"/>
  <c r="B34" i="79"/>
  <c r="X33" i="79"/>
  <c r="Z33" i="79" s="1"/>
  <c r="V33" i="79"/>
  <c r="L33" i="79"/>
  <c r="N33" i="79" s="1"/>
  <c r="J33" i="79"/>
  <c r="B33" i="79"/>
  <c r="X32" i="79"/>
  <c r="Z32" i="79" s="1"/>
  <c r="L32" i="79"/>
  <c r="N32" i="79" s="1"/>
  <c r="B32" i="79"/>
  <c r="Z31" i="79"/>
  <c r="X31" i="79"/>
  <c r="N31" i="79"/>
  <c r="L31" i="79"/>
  <c r="J31" i="79"/>
  <c r="B31" i="79"/>
  <c r="X30" i="79"/>
  <c r="T30" i="79"/>
  <c r="P30" i="79"/>
  <c r="H30" i="79"/>
  <c r="D30" i="79"/>
  <c r="L30" i="79" s="1"/>
  <c r="B30" i="79"/>
  <c r="T29" i="79"/>
  <c r="V29" i="79" s="1"/>
  <c r="P29" i="79"/>
  <c r="X29" i="79" s="1"/>
  <c r="Z29" i="79" s="1"/>
  <c r="H29" i="79"/>
  <c r="D29" i="79"/>
  <c r="T27" i="79"/>
  <c r="Z25" i="79"/>
  <c r="X25" i="79"/>
  <c r="V25" i="79"/>
  <c r="N25" i="79"/>
  <c r="L25" i="79"/>
  <c r="J25" i="79"/>
  <c r="B25" i="79"/>
  <c r="Z24" i="79"/>
  <c r="X24" i="79"/>
  <c r="N24" i="79"/>
  <c r="L24" i="79"/>
  <c r="J24" i="79"/>
  <c r="B24" i="79"/>
  <c r="Z23" i="79"/>
  <c r="X23" i="79"/>
  <c r="V23" i="79"/>
  <c r="N23" i="79"/>
  <c r="L23" i="79"/>
  <c r="J23" i="79"/>
  <c r="B23" i="79"/>
  <c r="Z22" i="79"/>
  <c r="X22" i="79"/>
  <c r="V22" i="79"/>
  <c r="N22" i="79"/>
  <c r="L22" i="79"/>
  <c r="J22" i="79"/>
  <c r="B22" i="79"/>
  <c r="Z21" i="79"/>
  <c r="X21" i="79"/>
  <c r="V21" i="79"/>
  <c r="N21" i="79"/>
  <c r="L21" i="79"/>
  <c r="J21" i="79"/>
  <c r="B21" i="79"/>
  <c r="X20" i="79"/>
  <c r="Z20" i="79" s="1"/>
  <c r="V20" i="79"/>
  <c r="N20" i="79"/>
  <c r="L20" i="79"/>
  <c r="J20" i="79"/>
  <c r="B20" i="79"/>
  <c r="T19" i="79"/>
  <c r="V19" i="79" s="1"/>
  <c r="P19" i="79"/>
  <c r="L19" i="79"/>
  <c r="N19" i="79" s="1"/>
  <c r="J19" i="79"/>
  <c r="H19" i="79"/>
  <c r="H27" i="79" s="1"/>
  <c r="J27" i="79" s="1"/>
  <c r="D19" i="79"/>
  <c r="Z17" i="79"/>
  <c r="P17" i="79"/>
  <c r="X17" i="79" s="1"/>
  <c r="N17" i="79"/>
  <c r="L17" i="79"/>
  <c r="D17" i="79"/>
  <c r="B17" i="79"/>
  <c r="P16" i="79"/>
  <c r="D16" i="79"/>
  <c r="L16" i="79" s="1"/>
  <c r="N16" i="79" s="1"/>
  <c r="B16" i="79"/>
  <c r="Z15" i="79"/>
  <c r="P15" i="79"/>
  <c r="X15" i="79" s="1"/>
  <c r="N15" i="79"/>
  <c r="D15" i="79"/>
  <c r="L15" i="79" s="1"/>
  <c r="B15" i="79"/>
  <c r="Z14" i="79"/>
  <c r="P14" i="79"/>
  <c r="X14" i="79" s="1"/>
  <c r="N14" i="79"/>
  <c r="D14" i="79"/>
  <c r="B14" i="79"/>
  <c r="P13" i="79"/>
  <c r="X13" i="79" s="1"/>
  <c r="Z13" i="79" s="1"/>
  <c r="L13" i="79"/>
  <c r="N13" i="79" s="1"/>
  <c r="D13" i="79"/>
  <c r="B13" i="79"/>
  <c r="T12" i="79"/>
  <c r="V69" i="79" s="1"/>
  <c r="H12" i="79"/>
  <c r="J63" i="79" s="1"/>
  <c r="D6" i="79"/>
  <c r="D4" i="79"/>
  <c r="F29" i="78"/>
  <c r="F26" i="78"/>
  <c r="Z24" i="78"/>
  <c r="X24" i="78"/>
  <c r="R24" i="78"/>
  <c r="N24" i="78"/>
  <c r="L24" i="78"/>
  <c r="J24" i="78"/>
  <c r="R22" i="78"/>
  <c r="F22" i="78"/>
  <c r="X20" i="78"/>
  <c r="T20" i="78"/>
  <c r="Z20" i="78" s="1"/>
  <c r="P20" i="78"/>
  <c r="H20" i="78"/>
  <c r="N20" i="78" s="1"/>
  <c r="F20" i="78"/>
  <c r="D20" i="78"/>
  <c r="L20" i="78" s="1"/>
  <c r="T18" i="78"/>
  <c r="R18" i="78"/>
  <c r="P18" i="78"/>
  <c r="H18" i="78"/>
  <c r="N18" i="78" s="1"/>
  <c r="D18" i="78"/>
  <c r="L18" i="78" s="1"/>
  <c r="R16" i="78"/>
  <c r="H16" i="78"/>
  <c r="F16" i="78"/>
  <c r="T14" i="78"/>
  <c r="Z14" i="78" s="1"/>
  <c r="R14" i="78"/>
  <c r="P14" i="78"/>
  <c r="H14" i="78"/>
  <c r="N14" i="78" s="1"/>
  <c r="D14" i="78"/>
  <c r="L14" i="78" s="1"/>
  <c r="X12" i="78"/>
  <c r="T12" i="78"/>
  <c r="P12" i="78"/>
  <c r="R20" i="78" s="1"/>
  <c r="N12" i="78"/>
  <c r="H12" i="78"/>
  <c r="J22" i="78" s="1"/>
  <c r="D12" i="78"/>
  <c r="L12" i="78" s="1"/>
  <c r="D6" i="78"/>
  <c r="D4" i="78"/>
  <c r="Z114" i="77"/>
  <c r="X114" i="77"/>
  <c r="L114" i="77"/>
  <c r="N114" i="77" s="1"/>
  <c r="X110" i="77"/>
  <c r="Z110" i="77" s="1"/>
  <c r="P110" i="77"/>
  <c r="J110" i="77"/>
  <c r="D110" i="77"/>
  <c r="L110" i="77" s="1"/>
  <c r="N110" i="77" s="1"/>
  <c r="B110" i="77"/>
  <c r="Z109" i="77"/>
  <c r="V109" i="77"/>
  <c r="P109" i="77"/>
  <c r="X109" i="77" s="1"/>
  <c r="N109" i="77"/>
  <c r="L109" i="77"/>
  <c r="D109" i="77"/>
  <c r="B109" i="77"/>
  <c r="Z108" i="77"/>
  <c r="X108" i="77"/>
  <c r="P108" i="77"/>
  <c r="N108" i="77"/>
  <c r="J108" i="77"/>
  <c r="D108" i="77"/>
  <c r="B108" i="77"/>
  <c r="Z107" i="77"/>
  <c r="P107" i="77"/>
  <c r="X107" i="77" s="1"/>
  <c r="N107" i="77"/>
  <c r="L107" i="77"/>
  <c r="D107" i="77"/>
  <c r="B107" i="77"/>
  <c r="T106" i="77"/>
  <c r="J106" i="77"/>
  <c r="H106" i="77"/>
  <c r="Z104" i="77"/>
  <c r="X104" i="77"/>
  <c r="V104" i="77"/>
  <c r="N104" i="77"/>
  <c r="L104" i="77"/>
  <c r="B104" i="77"/>
  <c r="T103" i="77"/>
  <c r="Z103" i="77" s="1"/>
  <c r="P103" i="77"/>
  <c r="N103" i="77"/>
  <c r="H103" i="77"/>
  <c r="F103" i="77"/>
  <c r="D103" i="77"/>
  <c r="L103" i="77" s="1"/>
  <c r="B103" i="77"/>
  <c r="X102" i="77"/>
  <c r="Z102" i="77" s="1"/>
  <c r="N102" i="77"/>
  <c r="L102" i="77"/>
  <c r="B102" i="77"/>
  <c r="X101" i="77"/>
  <c r="Z101" i="77" s="1"/>
  <c r="V101" i="77"/>
  <c r="T101" i="77"/>
  <c r="P101" i="77"/>
  <c r="L101" i="77"/>
  <c r="N101" i="77" s="1"/>
  <c r="H101" i="77"/>
  <c r="D101" i="77"/>
  <c r="B101" i="77"/>
  <c r="Z100" i="77"/>
  <c r="X100" i="77"/>
  <c r="N100" i="77"/>
  <c r="L100" i="77"/>
  <c r="B100" i="77"/>
  <c r="Z99" i="77"/>
  <c r="X99" i="77"/>
  <c r="N99" i="77"/>
  <c r="L99" i="77"/>
  <c r="J99" i="77"/>
  <c r="F99" i="77"/>
  <c r="B99" i="77"/>
  <c r="Z98" i="77"/>
  <c r="T98" i="77"/>
  <c r="P98" i="77"/>
  <c r="X98" i="77" s="1"/>
  <c r="H98" i="77"/>
  <c r="D98" i="77"/>
  <c r="L98" i="77" s="1"/>
  <c r="N98" i="77" s="1"/>
  <c r="B98" i="77"/>
  <c r="Z97" i="77"/>
  <c r="X97" i="77"/>
  <c r="V97" i="77"/>
  <c r="N97" i="77"/>
  <c r="L97" i="77"/>
  <c r="B97" i="77"/>
  <c r="Z96" i="77"/>
  <c r="X96" i="77"/>
  <c r="L96" i="77"/>
  <c r="N96" i="77" s="1"/>
  <c r="B96" i="77"/>
  <c r="V95" i="77"/>
  <c r="T95" i="77"/>
  <c r="P95" i="77"/>
  <c r="H95" i="77"/>
  <c r="N95" i="77" s="1"/>
  <c r="D95" i="77"/>
  <c r="L95" i="77" s="1"/>
  <c r="B95" i="77"/>
  <c r="Z94" i="77"/>
  <c r="X94" i="77"/>
  <c r="V94" i="77"/>
  <c r="N94" i="77"/>
  <c r="L94" i="77"/>
  <c r="B94" i="77"/>
  <c r="Z93" i="77"/>
  <c r="T93" i="77"/>
  <c r="P93" i="77"/>
  <c r="X93" i="77" s="1"/>
  <c r="N93" i="77"/>
  <c r="L93" i="77"/>
  <c r="H93" i="77"/>
  <c r="D93" i="77"/>
  <c r="B93" i="77"/>
  <c r="Z92" i="77"/>
  <c r="X92" i="77"/>
  <c r="N92" i="77"/>
  <c r="L92" i="77"/>
  <c r="J92" i="77"/>
  <c r="B92" i="77"/>
  <c r="Z91" i="77"/>
  <c r="T91" i="77"/>
  <c r="X91" i="77" s="1"/>
  <c r="P91" i="77"/>
  <c r="H91" i="77"/>
  <c r="N91" i="77" s="1"/>
  <c r="D91" i="77"/>
  <c r="B91" i="77"/>
  <c r="X90" i="77"/>
  <c r="Z90" i="77" s="1"/>
  <c r="V90" i="77"/>
  <c r="L90" i="77"/>
  <c r="N90" i="77" s="1"/>
  <c r="B90" i="77"/>
  <c r="T89" i="77"/>
  <c r="Z89" i="77" s="1"/>
  <c r="P89" i="77"/>
  <c r="X89" i="77" s="1"/>
  <c r="J89" i="77"/>
  <c r="H89" i="77"/>
  <c r="D89" i="77"/>
  <c r="B89" i="77"/>
  <c r="X88" i="77"/>
  <c r="Z88" i="77" s="1"/>
  <c r="L88" i="77"/>
  <c r="N88" i="77" s="1"/>
  <c r="B88" i="77"/>
  <c r="X87" i="77"/>
  <c r="Z87" i="77" s="1"/>
  <c r="T87" i="77"/>
  <c r="P87" i="77"/>
  <c r="J87" i="77"/>
  <c r="H87" i="77"/>
  <c r="D87" i="77"/>
  <c r="L87" i="77" s="1"/>
  <c r="N87" i="77" s="1"/>
  <c r="B87" i="77"/>
  <c r="Z86" i="77"/>
  <c r="X86" i="77"/>
  <c r="L86" i="77"/>
  <c r="N86" i="77" s="1"/>
  <c r="B86" i="77"/>
  <c r="T85" i="77"/>
  <c r="P85" i="77"/>
  <c r="H85" i="77"/>
  <c r="D85" i="77"/>
  <c r="B85" i="77"/>
  <c r="Z84" i="77"/>
  <c r="X84" i="77"/>
  <c r="N84" i="77"/>
  <c r="L84" i="77"/>
  <c r="B84" i="77"/>
  <c r="Z83" i="77"/>
  <c r="T83" i="77"/>
  <c r="P83" i="77"/>
  <c r="X83" i="77" s="1"/>
  <c r="J83" i="77"/>
  <c r="H83" i="77"/>
  <c r="N83" i="77" s="1"/>
  <c r="D83" i="77"/>
  <c r="L83" i="77" s="1"/>
  <c r="B83" i="77"/>
  <c r="X82" i="77"/>
  <c r="Z82" i="77" s="1"/>
  <c r="V82" i="77"/>
  <c r="N82" i="77"/>
  <c r="L82" i="77"/>
  <c r="B82" i="77"/>
  <c r="T81" i="77"/>
  <c r="P81" i="77"/>
  <c r="X81" i="77" s="1"/>
  <c r="Z81" i="77" s="1"/>
  <c r="L81" i="77"/>
  <c r="N81" i="77" s="1"/>
  <c r="H81" i="77"/>
  <c r="D81" i="77"/>
  <c r="B81" i="77"/>
  <c r="Z80" i="77"/>
  <c r="X80" i="77"/>
  <c r="N80" i="77"/>
  <c r="L80" i="77"/>
  <c r="J80" i="77"/>
  <c r="B80" i="77"/>
  <c r="Z79" i="77"/>
  <c r="X79" i="77"/>
  <c r="N79" i="77"/>
  <c r="L79" i="77"/>
  <c r="B79" i="77"/>
  <c r="Z78" i="77"/>
  <c r="X78" i="77"/>
  <c r="V78" i="77"/>
  <c r="N78" i="77"/>
  <c r="L78" i="77"/>
  <c r="B78" i="77"/>
  <c r="X77" i="77"/>
  <c r="Z77" i="77" s="1"/>
  <c r="V77" i="77"/>
  <c r="N77" i="77"/>
  <c r="L77" i="77"/>
  <c r="J77" i="77"/>
  <c r="B77" i="77"/>
  <c r="Z76" i="77"/>
  <c r="X76" i="77"/>
  <c r="V76" i="77"/>
  <c r="N76" i="77"/>
  <c r="L76" i="77"/>
  <c r="B76" i="77"/>
  <c r="Z75" i="77"/>
  <c r="X75" i="77"/>
  <c r="N75" i="77"/>
  <c r="L75" i="77"/>
  <c r="J75" i="77"/>
  <c r="B75" i="77"/>
  <c r="Z74" i="77"/>
  <c r="X74" i="77"/>
  <c r="V74" i="77"/>
  <c r="N74" i="77"/>
  <c r="L74" i="77"/>
  <c r="B74" i="77"/>
  <c r="Z73" i="77"/>
  <c r="X73" i="77"/>
  <c r="N73" i="77"/>
  <c r="L73" i="77"/>
  <c r="J73" i="77"/>
  <c r="F73" i="77"/>
  <c r="B73" i="77"/>
  <c r="Z72" i="77"/>
  <c r="X72" i="77"/>
  <c r="N72" i="77"/>
  <c r="L72" i="77"/>
  <c r="J72" i="77"/>
  <c r="B72" i="77"/>
  <c r="Z71" i="77"/>
  <c r="X71" i="77"/>
  <c r="L71" i="77"/>
  <c r="N71" i="77" s="1"/>
  <c r="J71" i="77"/>
  <c r="B71" i="77"/>
  <c r="T70" i="77"/>
  <c r="P70" i="77"/>
  <c r="H70" i="77"/>
  <c r="D70" i="77"/>
  <c r="L70" i="77" s="1"/>
  <c r="B70" i="77"/>
  <c r="Z69" i="77"/>
  <c r="X69" i="77"/>
  <c r="V69" i="77"/>
  <c r="N69" i="77"/>
  <c r="L69" i="77"/>
  <c r="B69" i="77"/>
  <c r="X68" i="77"/>
  <c r="Z68" i="77" s="1"/>
  <c r="V68" i="77"/>
  <c r="L68" i="77"/>
  <c r="N68" i="77" s="1"/>
  <c r="J68" i="77"/>
  <c r="B68" i="77"/>
  <c r="X67" i="77"/>
  <c r="Z67" i="77" s="1"/>
  <c r="V67" i="77"/>
  <c r="L67" i="77"/>
  <c r="N67" i="77" s="1"/>
  <c r="B67" i="77"/>
  <c r="Z66" i="77"/>
  <c r="X66" i="77"/>
  <c r="N66" i="77"/>
  <c r="L66" i="77"/>
  <c r="B66" i="77"/>
  <c r="Z65" i="77"/>
  <c r="X65" i="77"/>
  <c r="V65" i="77"/>
  <c r="N65" i="77"/>
  <c r="L65" i="77"/>
  <c r="B65" i="77"/>
  <c r="X64" i="77"/>
  <c r="Z64" i="77" s="1"/>
  <c r="V64" i="77"/>
  <c r="L64" i="77"/>
  <c r="N64" i="77" s="1"/>
  <c r="J64" i="77"/>
  <c r="B64" i="77"/>
  <c r="X63" i="77"/>
  <c r="Z63" i="77" s="1"/>
  <c r="V63" i="77"/>
  <c r="L63" i="77"/>
  <c r="N63" i="77" s="1"/>
  <c r="B63" i="77"/>
  <c r="Z62" i="77"/>
  <c r="X62" i="77"/>
  <c r="L62" i="77"/>
  <c r="N62" i="77" s="1"/>
  <c r="B62" i="77"/>
  <c r="X61" i="77"/>
  <c r="Z61" i="77" s="1"/>
  <c r="V61" i="77"/>
  <c r="N61" i="77"/>
  <c r="L61" i="77"/>
  <c r="B61" i="77"/>
  <c r="X60" i="77"/>
  <c r="Z60" i="77" s="1"/>
  <c r="V60" i="77"/>
  <c r="L60" i="77"/>
  <c r="N60" i="77" s="1"/>
  <c r="J60" i="77"/>
  <c r="B60" i="77"/>
  <c r="V59" i="77"/>
  <c r="T59" i="77"/>
  <c r="P59" i="77"/>
  <c r="X59" i="77" s="1"/>
  <c r="Z59" i="77" s="1"/>
  <c r="H59" i="77"/>
  <c r="D59" i="77"/>
  <c r="B59" i="77"/>
  <c r="T58" i="77"/>
  <c r="P58" i="77"/>
  <c r="X58" i="77" s="1"/>
  <c r="H58" i="77"/>
  <c r="J58" i="77" s="1"/>
  <c r="D58" i="77"/>
  <c r="L58" i="77" s="1"/>
  <c r="N58" i="77" s="1"/>
  <c r="T56" i="77"/>
  <c r="Z54" i="77"/>
  <c r="X54" i="77"/>
  <c r="N54" i="77"/>
  <c r="L54" i="77"/>
  <c r="J54" i="77"/>
  <c r="B54" i="77"/>
  <c r="Z53" i="77"/>
  <c r="X53" i="77"/>
  <c r="V53" i="77"/>
  <c r="N53" i="77"/>
  <c r="L53" i="77"/>
  <c r="J53" i="77"/>
  <c r="B53" i="77"/>
  <c r="Z52" i="77"/>
  <c r="X52" i="77"/>
  <c r="V52" i="77"/>
  <c r="N52" i="77"/>
  <c r="L52" i="77"/>
  <c r="J52" i="77"/>
  <c r="B52" i="77"/>
  <c r="Z51" i="77"/>
  <c r="X51" i="77"/>
  <c r="N51" i="77"/>
  <c r="L51" i="77"/>
  <c r="B51" i="77"/>
  <c r="Z50" i="77"/>
  <c r="X50" i="77"/>
  <c r="N50" i="77"/>
  <c r="L50" i="77"/>
  <c r="J50" i="77"/>
  <c r="B50" i="77"/>
  <c r="Z49" i="77"/>
  <c r="X49" i="77"/>
  <c r="V49" i="77"/>
  <c r="N49" i="77"/>
  <c r="L49" i="77"/>
  <c r="J49" i="77"/>
  <c r="B49" i="77"/>
  <c r="Z48" i="77"/>
  <c r="X48" i="77"/>
  <c r="V48" i="77"/>
  <c r="N48" i="77"/>
  <c r="L48" i="77"/>
  <c r="J48" i="77"/>
  <c r="B48" i="77"/>
  <c r="Z47" i="77"/>
  <c r="X47" i="77"/>
  <c r="N47" i="77"/>
  <c r="L47" i="77"/>
  <c r="B47" i="77"/>
  <c r="Z46" i="77"/>
  <c r="X46" i="77"/>
  <c r="N46" i="77"/>
  <c r="L46" i="77"/>
  <c r="J46" i="77"/>
  <c r="B46" i="77"/>
  <c r="Z45" i="77"/>
  <c r="X45" i="77"/>
  <c r="V45" i="77"/>
  <c r="N45" i="77"/>
  <c r="L45" i="77"/>
  <c r="J45" i="77"/>
  <c r="B45" i="77"/>
  <c r="Z44" i="77"/>
  <c r="X44" i="77"/>
  <c r="V44" i="77"/>
  <c r="N44" i="77"/>
  <c r="L44" i="77"/>
  <c r="J44" i="77"/>
  <c r="B44" i="77"/>
  <c r="Z43" i="77"/>
  <c r="X43" i="77"/>
  <c r="V43" i="77"/>
  <c r="N43" i="77"/>
  <c r="L43" i="77"/>
  <c r="J43" i="77"/>
  <c r="B43" i="77"/>
  <c r="Z42" i="77"/>
  <c r="X42" i="77"/>
  <c r="N42" i="77"/>
  <c r="L42" i="77"/>
  <c r="J42" i="77"/>
  <c r="B42" i="77"/>
  <c r="Z41" i="77"/>
  <c r="X41" i="77"/>
  <c r="V41" i="77"/>
  <c r="N41" i="77"/>
  <c r="L41" i="77"/>
  <c r="J41" i="77"/>
  <c r="B41" i="77"/>
  <c r="X40" i="77"/>
  <c r="Z40" i="77" s="1"/>
  <c r="V40" i="77"/>
  <c r="T40" i="77"/>
  <c r="P40" i="77"/>
  <c r="L40" i="77"/>
  <c r="H40" i="77"/>
  <c r="N40" i="77" s="1"/>
  <c r="D40" i="77"/>
  <c r="Z38" i="77"/>
  <c r="X38" i="77"/>
  <c r="P38" i="77"/>
  <c r="N38" i="77"/>
  <c r="D38" i="77"/>
  <c r="L38" i="77" s="1"/>
  <c r="B38" i="77"/>
  <c r="Z37" i="77"/>
  <c r="P37" i="77"/>
  <c r="X37" i="77" s="1"/>
  <c r="N37" i="77"/>
  <c r="D37" i="77"/>
  <c r="L37" i="77" s="1"/>
  <c r="B37" i="77"/>
  <c r="Z36" i="77"/>
  <c r="X36" i="77"/>
  <c r="P36" i="77"/>
  <c r="N36" i="77"/>
  <c r="D36" i="77"/>
  <c r="L36" i="77" s="1"/>
  <c r="B36" i="77"/>
  <c r="Z35" i="77"/>
  <c r="X35" i="77"/>
  <c r="P35" i="77"/>
  <c r="N35" i="77"/>
  <c r="D35" i="77"/>
  <c r="L35" i="77" s="1"/>
  <c r="B35" i="77"/>
  <c r="Z34" i="77"/>
  <c r="X34" i="77"/>
  <c r="P34" i="77"/>
  <c r="N34" i="77"/>
  <c r="D34" i="77"/>
  <c r="L34" i="77" s="1"/>
  <c r="B34" i="77"/>
  <c r="Z33" i="77"/>
  <c r="P33" i="77"/>
  <c r="X33" i="77" s="1"/>
  <c r="N33" i="77"/>
  <c r="L33" i="77"/>
  <c r="D33" i="77"/>
  <c r="B33" i="77"/>
  <c r="Z32" i="77"/>
  <c r="X32" i="77"/>
  <c r="P32" i="77"/>
  <c r="N32" i="77"/>
  <c r="L32" i="77"/>
  <c r="D32" i="77"/>
  <c r="B32" i="77"/>
  <c r="Z31" i="77"/>
  <c r="X31" i="77"/>
  <c r="P31" i="77"/>
  <c r="N31" i="77"/>
  <c r="L31" i="77"/>
  <c r="D31" i="77"/>
  <c r="B31" i="77"/>
  <c r="Z30" i="77"/>
  <c r="P30" i="77"/>
  <c r="X30" i="77" s="1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P28" i="77"/>
  <c r="X28" i="77" s="1"/>
  <c r="N28" i="77"/>
  <c r="L28" i="77"/>
  <c r="D28" i="77"/>
  <c r="B28" i="77"/>
  <c r="Z27" i="77"/>
  <c r="P27" i="77"/>
  <c r="X27" i="77" s="1"/>
  <c r="N27" i="77"/>
  <c r="D27" i="77"/>
  <c r="L27" i="77" s="1"/>
  <c r="B27" i="77"/>
  <c r="Z26" i="77"/>
  <c r="X26" i="77"/>
  <c r="P26" i="77"/>
  <c r="N26" i="77"/>
  <c r="D26" i="77"/>
  <c r="L26" i="77" s="1"/>
  <c r="B26" i="77"/>
  <c r="Z25" i="77"/>
  <c r="P25" i="77"/>
  <c r="X25" i="77" s="1"/>
  <c r="N25" i="77"/>
  <c r="D25" i="77"/>
  <c r="L25" i="77" s="1"/>
  <c r="B25" i="77"/>
  <c r="Z24" i="77"/>
  <c r="X24" i="77"/>
  <c r="P24" i="77"/>
  <c r="N24" i="77"/>
  <c r="D24" i="77"/>
  <c r="L24" i="77" s="1"/>
  <c r="B24" i="77"/>
  <c r="Z23" i="77"/>
  <c r="X23" i="77"/>
  <c r="P23" i="77"/>
  <c r="N23" i="77"/>
  <c r="D23" i="77"/>
  <c r="L23" i="77" s="1"/>
  <c r="B23" i="77"/>
  <c r="Z22" i="77"/>
  <c r="X22" i="77"/>
  <c r="P22" i="77"/>
  <c r="N22" i="77"/>
  <c r="D22" i="77"/>
  <c r="L22" i="77" s="1"/>
  <c r="B22" i="77"/>
  <c r="P21" i="77"/>
  <c r="X21" i="77" s="1"/>
  <c r="Z21" i="77" s="1"/>
  <c r="N21" i="77"/>
  <c r="L21" i="77"/>
  <c r="D21" i="77"/>
  <c r="B21" i="77"/>
  <c r="Z20" i="77"/>
  <c r="X20" i="77"/>
  <c r="P20" i="77"/>
  <c r="N20" i="77"/>
  <c r="L20" i="77"/>
  <c r="D20" i="77"/>
  <c r="B20" i="77"/>
  <c r="Z19" i="77"/>
  <c r="X19" i="77"/>
  <c r="P19" i="77"/>
  <c r="N19" i="77"/>
  <c r="L19" i="77"/>
  <c r="D19" i="77"/>
  <c r="B19" i="77"/>
  <c r="Z18" i="77"/>
  <c r="P18" i="77"/>
  <c r="X18" i="77" s="1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P16" i="77"/>
  <c r="X16" i="77" s="1"/>
  <c r="N16" i="77"/>
  <c r="L16" i="77"/>
  <c r="D16" i="77"/>
  <c r="B16" i="77"/>
  <c r="Z15" i="77"/>
  <c r="P15" i="77"/>
  <c r="X15" i="77" s="1"/>
  <c r="N15" i="77"/>
  <c r="D15" i="77"/>
  <c r="L15" i="77" s="1"/>
  <c r="B15" i="77"/>
  <c r="Z14" i="77"/>
  <c r="P14" i="77"/>
  <c r="N14" i="77"/>
  <c r="D14" i="77"/>
  <c r="L14" i="77" s="1"/>
  <c r="B14" i="77"/>
  <c r="P13" i="77"/>
  <c r="X13" i="77" s="1"/>
  <c r="Z13" i="77" s="1"/>
  <c r="D13" i="77"/>
  <c r="D12" i="77" s="1"/>
  <c r="B13" i="77"/>
  <c r="T12" i="77"/>
  <c r="V102" i="77" s="1"/>
  <c r="H12" i="77"/>
  <c r="J107" i="77" s="1"/>
  <c r="D6" i="77"/>
  <c r="D4" i="77"/>
  <c r="X91" i="76"/>
  <c r="Z91" i="76" s="1"/>
  <c r="V91" i="76"/>
  <c r="L91" i="76"/>
  <c r="N91" i="76" s="1"/>
  <c r="V87" i="76"/>
  <c r="P87" i="76"/>
  <c r="X87" i="76" s="1"/>
  <c r="Z87" i="76" s="1"/>
  <c r="L87" i="76"/>
  <c r="N87" i="76" s="1"/>
  <c r="D87" i="76"/>
  <c r="B87" i="76"/>
  <c r="P86" i="76"/>
  <c r="X86" i="76" s="1"/>
  <c r="Z86" i="76" s="1"/>
  <c r="N86" i="76"/>
  <c r="L86" i="76"/>
  <c r="J86" i="76"/>
  <c r="D86" i="76"/>
  <c r="B86" i="76"/>
  <c r="T85" i="76"/>
  <c r="L85" i="76"/>
  <c r="N85" i="76" s="1"/>
  <c r="J85" i="76"/>
  <c r="H85" i="76"/>
  <c r="D85" i="76"/>
  <c r="Z83" i="76"/>
  <c r="X83" i="76"/>
  <c r="N83" i="76"/>
  <c r="L83" i="76"/>
  <c r="J83" i="76"/>
  <c r="B83" i="76"/>
  <c r="T82" i="76"/>
  <c r="Z82" i="76" s="1"/>
  <c r="P82" i="76"/>
  <c r="H82" i="76"/>
  <c r="N82" i="76" s="1"/>
  <c r="D82" i="76"/>
  <c r="L82" i="76" s="1"/>
  <c r="B82" i="76"/>
  <c r="Z81" i="76"/>
  <c r="X81" i="76"/>
  <c r="N81" i="76"/>
  <c r="L81" i="76"/>
  <c r="J81" i="76"/>
  <c r="B81" i="76"/>
  <c r="Z80" i="76"/>
  <c r="X80" i="76"/>
  <c r="N80" i="76"/>
  <c r="L80" i="76"/>
  <c r="J80" i="76"/>
  <c r="B80" i="76"/>
  <c r="T79" i="76"/>
  <c r="P79" i="76"/>
  <c r="H79" i="76"/>
  <c r="D79" i="76"/>
  <c r="B79" i="76"/>
  <c r="X78" i="76"/>
  <c r="Z78" i="76" s="1"/>
  <c r="V78" i="76"/>
  <c r="N78" i="76"/>
  <c r="L78" i="76"/>
  <c r="B78" i="76"/>
  <c r="Z77" i="76"/>
  <c r="X77" i="76"/>
  <c r="V77" i="76"/>
  <c r="N77" i="76"/>
  <c r="L77" i="76"/>
  <c r="J77" i="76"/>
  <c r="B77" i="76"/>
  <c r="Z76" i="76"/>
  <c r="X76" i="76"/>
  <c r="V76" i="76"/>
  <c r="L76" i="76"/>
  <c r="N76" i="76" s="1"/>
  <c r="B76" i="76"/>
  <c r="Z75" i="76"/>
  <c r="X75" i="76"/>
  <c r="N75" i="76"/>
  <c r="L75" i="76"/>
  <c r="B75" i="76"/>
  <c r="Z74" i="76"/>
  <c r="X74" i="76"/>
  <c r="V74" i="76"/>
  <c r="N74" i="76"/>
  <c r="L74" i="76"/>
  <c r="B74" i="76"/>
  <c r="V73" i="76"/>
  <c r="T73" i="76"/>
  <c r="P73" i="76"/>
  <c r="X73" i="76" s="1"/>
  <c r="H73" i="76"/>
  <c r="D73" i="76"/>
  <c r="L73" i="76" s="1"/>
  <c r="N73" i="76" s="1"/>
  <c r="B73" i="76"/>
  <c r="Z72" i="76"/>
  <c r="X72" i="76"/>
  <c r="N72" i="76"/>
  <c r="L72" i="76"/>
  <c r="B72" i="76"/>
  <c r="X71" i="76"/>
  <c r="Z71" i="76" s="1"/>
  <c r="N71" i="76"/>
  <c r="L71" i="76"/>
  <c r="J71" i="76"/>
  <c r="B71" i="76"/>
  <c r="T70" i="76"/>
  <c r="P70" i="76"/>
  <c r="H70" i="76"/>
  <c r="N70" i="76" s="1"/>
  <c r="D70" i="76"/>
  <c r="L70" i="76" s="1"/>
  <c r="B70" i="76"/>
  <c r="Z69" i="76"/>
  <c r="X69" i="76"/>
  <c r="N69" i="76"/>
  <c r="L69" i="76"/>
  <c r="J69" i="76"/>
  <c r="B69" i="76"/>
  <c r="Z68" i="76"/>
  <c r="X68" i="76"/>
  <c r="N68" i="76"/>
  <c r="L68" i="76"/>
  <c r="J68" i="76"/>
  <c r="B68" i="76"/>
  <c r="T67" i="76"/>
  <c r="P67" i="76"/>
  <c r="H67" i="76"/>
  <c r="D67" i="76"/>
  <c r="B67" i="76"/>
  <c r="X66" i="76"/>
  <c r="Z66" i="76" s="1"/>
  <c r="V66" i="76"/>
  <c r="N66" i="76"/>
  <c r="L66" i="76"/>
  <c r="B66" i="76"/>
  <c r="V65" i="76"/>
  <c r="T65" i="76"/>
  <c r="P65" i="76"/>
  <c r="X65" i="76" s="1"/>
  <c r="N65" i="76"/>
  <c r="H65" i="76"/>
  <c r="D65" i="76"/>
  <c r="L65" i="76" s="1"/>
  <c r="B65" i="76"/>
  <c r="X64" i="76"/>
  <c r="Z64" i="76" s="1"/>
  <c r="L64" i="76"/>
  <c r="N64" i="76" s="1"/>
  <c r="B64" i="76"/>
  <c r="X63" i="76"/>
  <c r="T63" i="76"/>
  <c r="Z63" i="76" s="1"/>
  <c r="P63" i="76"/>
  <c r="L63" i="76"/>
  <c r="N63" i="76" s="1"/>
  <c r="J63" i="76"/>
  <c r="H63" i="76"/>
  <c r="D63" i="76"/>
  <c r="B63" i="76"/>
  <c r="Z62" i="76"/>
  <c r="X62" i="76"/>
  <c r="L62" i="76"/>
  <c r="N62" i="76" s="1"/>
  <c r="J62" i="76"/>
  <c r="B62" i="76"/>
  <c r="T61" i="76"/>
  <c r="P61" i="76"/>
  <c r="H61" i="76"/>
  <c r="D61" i="76"/>
  <c r="B61" i="76"/>
  <c r="Z60" i="76"/>
  <c r="X60" i="76"/>
  <c r="V60" i="76"/>
  <c r="L60" i="76"/>
  <c r="N60" i="76" s="1"/>
  <c r="B60" i="76"/>
  <c r="Z59" i="76"/>
  <c r="T59" i="76"/>
  <c r="P59" i="76"/>
  <c r="X59" i="76" s="1"/>
  <c r="J59" i="76"/>
  <c r="H59" i="76"/>
  <c r="N59" i="76" s="1"/>
  <c r="D59" i="76"/>
  <c r="L59" i="76" s="1"/>
  <c r="B59" i="76"/>
  <c r="Z58" i="76"/>
  <c r="X58" i="76"/>
  <c r="N58" i="76"/>
  <c r="L58" i="76"/>
  <c r="B58" i="76"/>
  <c r="X57" i="76"/>
  <c r="Z57" i="76" s="1"/>
  <c r="V57" i="76"/>
  <c r="T57" i="76"/>
  <c r="P57" i="76"/>
  <c r="L57" i="76"/>
  <c r="N57" i="76" s="1"/>
  <c r="H57" i="76"/>
  <c r="D57" i="76"/>
  <c r="B57" i="76"/>
  <c r="Z56" i="76"/>
  <c r="X56" i="76"/>
  <c r="N56" i="76"/>
  <c r="L56" i="76"/>
  <c r="J56" i="76"/>
  <c r="B56" i="76"/>
  <c r="Z55" i="76"/>
  <c r="T55" i="76"/>
  <c r="P55" i="76"/>
  <c r="H55" i="76"/>
  <c r="N55" i="76" s="1"/>
  <c r="D55" i="76"/>
  <c r="B55" i="76"/>
  <c r="X54" i="76"/>
  <c r="Z54" i="76" s="1"/>
  <c r="V54" i="76"/>
  <c r="N54" i="76"/>
  <c r="L54" i="76"/>
  <c r="J54" i="76"/>
  <c r="B54" i="76"/>
  <c r="V53" i="76"/>
  <c r="T53" i="76"/>
  <c r="Z53" i="76" s="1"/>
  <c r="P53" i="76"/>
  <c r="X53" i="76" s="1"/>
  <c r="N53" i="76"/>
  <c r="H53" i="76"/>
  <c r="D53" i="76"/>
  <c r="L53" i="76" s="1"/>
  <c r="B53" i="76"/>
  <c r="Z52" i="76"/>
  <c r="X52" i="76"/>
  <c r="N52" i="76"/>
  <c r="L52" i="76"/>
  <c r="B52" i="76"/>
  <c r="Z51" i="76"/>
  <c r="X51" i="76"/>
  <c r="N51" i="76"/>
  <c r="L51" i="76"/>
  <c r="J51" i="76"/>
  <c r="B51" i="76"/>
  <c r="Z50" i="76"/>
  <c r="X50" i="76"/>
  <c r="N50" i="76"/>
  <c r="L50" i="76"/>
  <c r="J50" i="76"/>
  <c r="B50" i="76"/>
  <c r="X49" i="76"/>
  <c r="Z49" i="76" s="1"/>
  <c r="V49" i="76"/>
  <c r="N49" i="76"/>
  <c r="L49" i="76"/>
  <c r="B49" i="76"/>
  <c r="Z48" i="76"/>
  <c r="X48" i="76"/>
  <c r="N48" i="76"/>
  <c r="L48" i="76"/>
  <c r="B48" i="76"/>
  <c r="Z47" i="76"/>
  <c r="X47" i="76"/>
  <c r="N47" i="76"/>
  <c r="L47" i="76"/>
  <c r="J47" i="76"/>
  <c r="B47" i="76"/>
  <c r="Z46" i="76"/>
  <c r="X46" i="76"/>
  <c r="N46" i="76"/>
  <c r="L46" i="76"/>
  <c r="J46" i="76"/>
  <c r="B46" i="76"/>
  <c r="Z45" i="76"/>
  <c r="X45" i="76"/>
  <c r="V45" i="76"/>
  <c r="N45" i="76"/>
  <c r="L45" i="76"/>
  <c r="J45" i="76"/>
  <c r="B45" i="76"/>
  <c r="X44" i="76"/>
  <c r="Z44" i="76" s="1"/>
  <c r="N44" i="76"/>
  <c r="L44" i="76"/>
  <c r="B44" i="76"/>
  <c r="X43" i="76"/>
  <c r="Z43" i="76" s="1"/>
  <c r="N43" i="76"/>
  <c r="L43" i="76"/>
  <c r="J43" i="76"/>
  <c r="B43" i="76"/>
  <c r="T42" i="76"/>
  <c r="Z42" i="76" s="1"/>
  <c r="P42" i="76"/>
  <c r="X42" i="76" s="1"/>
  <c r="H42" i="76"/>
  <c r="D42" i="76"/>
  <c r="L42" i="76" s="1"/>
  <c r="B42" i="76"/>
  <c r="X41" i="76"/>
  <c r="Z41" i="76" s="1"/>
  <c r="L41" i="76"/>
  <c r="N41" i="76" s="1"/>
  <c r="J41" i="76"/>
  <c r="B41" i="76"/>
  <c r="Z40" i="76"/>
  <c r="X40" i="76"/>
  <c r="N40" i="76"/>
  <c r="L40" i="76"/>
  <c r="J40" i="76"/>
  <c r="B40" i="76"/>
  <c r="Z39" i="76"/>
  <c r="X39" i="76"/>
  <c r="V39" i="76"/>
  <c r="N39" i="76"/>
  <c r="L39" i="76"/>
  <c r="B39" i="76"/>
  <c r="Z38" i="76"/>
  <c r="X38" i="76"/>
  <c r="N38" i="76"/>
  <c r="L38" i="76"/>
  <c r="J38" i="76"/>
  <c r="B38" i="76"/>
  <c r="X37" i="76"/>
  <c r="Z37" i="76" s="1"/>
  <c r="L37" i="76"/>
  <c r="N37" i="76" s="1"/>
  <c r="J37" i="76"/>
  <c r="B37" i="76"/>
  <c r="Z36" i="76"/>
  <c r="X36" i="76"/>
  <c r="N36" i="76"/>
  <c r="L36" i="76"/>
  <c r="J36" i="76"/>
  <c r="B36" i="76"/>
  <c r="Z35" i="76"/>
  <c r="X35" i="76"/>
  <c r="V35" i="76"/>
  <c r="N35" i="76"/>
  <c r="L35" i="76"/>
  <c r="B35" i="76"/>
  <c r="Z34" i="76"/>
  <c r="X34" i="76"/>
  <c r="L34" i="76"/>
  <c r="N34" i="76" s="1"/>
  <c r="J34" i="76"/>
  <c r="B34" i="76"/>
  <c r="X33" i="76"/>
  <c r="Z33" i="76" s="1"/>
  <c r="L33" i="76"/>
  <c r="N33" i="76" s="1"/>
  <c r="J33" i="76"/>
  <c r="B33" i="76"/>
  <c r="X32" i="76"/>
  <c r="Z32" i="76" s="1"/>
  <c r="T32" i="76"/>
  <c r="P32" i="76"/>
  <c r="H32" i="76"/>
  <c r="J32" i="76" s="1"/>
  <c r="D32" i="76"/>
  <c r="L32" i="76" s="1"/>
  <c r="N32" i="76" s="1"/>
  <c r="B32" i="76"/>
  <c r="T31" i="76"/>
  <c r="P31" i="76"/>
  <c r="X31" i="76" s="1"/>
  <c r="Z31" i="76" s="1"/>
  <c r="H31" i="76"/>
  <c r="J31" i="76" s="1"/>
  <c r="D31" i="76"/>
  <c r="L31" i="76" s="1"/>
  <c r="Z27" i="76"/>
  <c r="T27" i="76"/>
  <c r="T29" i="76" s="1"/>
  <c r="P27" i="76"/>
  <c r="X27" i="76" s="1"/>
  <c r="J27" i="76"/>
  <c r="H27" i="76"/>
  <c r="N27" i="76" s="1"/>
  <c r="D27" i="76"/>
  <c r="L27" i="76" s="1"/>
  <c r="Z25" i="76"/>
  <c r="X25" i="76"/>
  <c r="P25" i="76"/>
  <c r="N25" i="76"/>
  <c r="D25" i="76"/>
  <c r="L25" i="76" s="1"/>
  <c r="B25" i="76"/>
  <c r="Z24" i="76"/>
  <c r="X24" i="76"/>
  <c r="P24" i="76"/>
  <c r="N24" i="76"/>
  <c r="L24" i="76"/>
  <c r="D24" i="76"/>
  <c r="B24" i="76"/>
  <c r="Z23" i="76"/>
  <c r="X23" i="76"/>
  <c r="P23" i="76"/>
  <c r="N23" i="76"/>
  <c r="D23" i="76"/>
  <c r="L23" i="76" s="1"/>
  <c r="B23" i="76"/>
  <c r="Z22" i="76"/>
  <c r="P22" i="76"/>
  <c r="X22" i="76" s="1"/>
  <c r="N22" i="76"/>
  <c r="L22" i="76"/>
  <c r="D22" i="76"/>
  <c r="B22" i="76"/>
  <c r="Z21" i="76"/>
  <c r="X21" i="76"/>
  <c r="P21" i="76"/>
  <c r="N21" i="76"/>
  <c r="L21" i="76"/>
  <c r="D21" i="76"/>
  <c r="B21" i="76"/>
  <c r="Z20" i="76"/>
  <c r="X20" i="76"/>
  <c r="P20" i="76"/>
  <c r="N20" i="76"/>
  <c r="L20" i="76"/>
  <c r="D20" i="76"/>
  <c r="B20" i="76"/>
  <c r="Z19" i="76"/>
  <c r="P19" i="76"/>
  <c r="X19" i="76" s="1"/>
  <c r="N19" i="76"/>
  <c r="D19" i="76"/>
  <c r="L19" i="76" s="1"/>
  <c r="B19" i="76"/>
  <c r="P18" i="76"/>
  <c r="X18" i="76" s="1"/>
  <c r="Z18" i="76" s="1"/>
  <c r="L18" i="76"/>
  <c r="N18" i="76" s="1"/>
  <c r="D18" i="76"/>
  <c r="B18" i="76"/>
  <c r="Z17" i="76"/>
  <c r="P17" i="76"/>
  <c r="X17" i="76" s="1"/>
  <c r="N17" i="76"/>
  <c r="L17" i="76"/>
  <c r="D17" i="76"/>
  <c r="B17" i="76"/>
  <c r="Z16" i="76"/>
  <c r="P16" i="76"/>
  <c r="X16" i="76" s="1"/>
  <c r="N16" i="76"/>
  <c r="D16" i="76"/>
  <c r="L16" i="76" s="1"/>
  <c r="B16" i="76"/>
  <c r="Z15" i="76"/>
  <c r="P15" i="76"/>
  <c r="N15" i="76"/>
  <c r="D15" i="76"/>
  <c r="L15" i="76" s="1"/>
  <c r="B15" i="76"/>
  <c r="Z14" i="76"/>
  <c r="P14" i="76"/>
  <c r="X14" i="76" s="1"/>
  <c r="N14" i="76"/>
  <c r="D14" i="76"/>
  <c r="L14" i="76" s="1"/>
  <c r="B14" i="76"/>
  <c r="Z13" i="76"/>
  <c r="X13" i="76"/>
  <c r="P13" i="76"/>
  <c r="D13" i="76"/>
  <c r="B13" i="76"/>
  <c r="T12" i="76"/>
  <c r="V80" i="76" s="1"/>
  <c r="H12" i="76"/>
  <c r="J87" i="76" s="1"/>
  <c r="D6" i="76"/>
  <c r="D4" i="76"/>
  <c r="Z123" i="75"/>
  <c r="X123" i="75"/>
  <c r="L123" i="75"/>
  <c r="N123" i="75" s="1"/>
  <c r="P119" i="75"/>
  <c r="D119" i="75"/>
  <c r="L119" i="75" s="1"/>
  <c r="N119" i="75" s="1"/>
  <c r="B119" i="75"/>
  <c r="P118" i="75"/>
  <c r="X118" i="75" s="1"/>
  <c r="Z118" i="75" s="1"/>
  <c r="N118" i="75"/>
  <c r="D118" i="75"/>
  <c r="L118" i="75" s="1"/>
  <c r="B118" i="75"/>
  <c r="X117" i="75"/>
  <c r="Z117" i="75" s="1"/>
  <c r="P117" i="75"/>
  <c r="D117" i="75"/>
  <c r="D116" i="75" s="1"/>
  <c r="L116" i="75" s="1"/>
  <c r="N116" i="75" s="1"/>
  <c r="B117" i="75"/>
  <c r="T116" i="75"/>
  <c r="H116" i="75"/>
  <c r="X114" i="75"/>
  <c r="Z114" i="75" s="1"/>
  <c r="V114" i="75"/>
  <c r="L114" i="75"/>
  <c r="N114" i="75" s="1"/>
  <c r="B114" i="75"/>
  <c r="Z113" i="75"/>
  <c r="X113" i="75"/>
  <c r="N113" i="75"/>
  <c r="L113" i="75"/>
  <c r="B113" i="75"/>
  <c r="X112" i="75"/>
  <c r="Z112" i="75" s="1"/>
  <c r="T112" i="75"/>
  <c r="P112" i="75"/>
  <c r="L112" i="75"/>
  <c r="N112" i="75" s="1"/>
  <c r="H112" i="75"/>
  <c r="D112" i="75"/>
  <c r="B112" i="75"/>
  <c r="Z111" i="75"/>
  <c r="X111" i="75"/>
  <c r="L111" i="75"/>
  <c r="N111" i="75" s="1"/>
  <c r="B111" i="75"/>
  <c r="T110" i="75"/>
  <c r="P110" i="75"/>
  <c r="N110" i="75"/>
  <c r="H110" i="75"/>
  <c r="L110" i="75" s="1"/>
  <c r="D110" i="75"/>
  <c r="B110" i="75"/>
  <c r="Z109" i="75"/>
  <c r="X109" i="75"/>
  <c r="V109" i="75"/>
  <c r="L109" i="75"/>
  <c r="N109" i="75" s="1"/>
  <c r="B109" i="75"/>
  <c r="T108" i="75"/>
  <c r="P108" i="75"/>
  <c r="X108" i="75" s="1"/>
  <c r="Z108" i="75" s="1"/>
  <c r="H108" i="75"/>
  <c r="D108" i="75"/>
  <c r="L108" i="75" s="1"/>
  <c r="B108" i="75"/>
  <c r="Z107" i="75"/>
  <c r="X107" i="75"/>
  <c r="N107" i="75"/>
  <c r="L107" i="75"/>
  <c r="B107" i="75"/>
  <c r="Z106" i="75"/>
  <c r="X106" i="75"/>
  <c r="N106" i="75"/>
  <c r="L106" i="75"/>
  <c r="B106" i="75"/>
  <c r="X105" i="75"/>
  <c r="Z105" i="75" s="1"/>
  <c r="N105" i="75"/>
  <c r="L105" i="75"/>
  <c r="B105" i="75"/>
  <c r="X104" i="75"/>
  <c r="Z104" i="75" s="1"/>
  <c r="N104" i="75"/>
  <c r="L104" i="75"/>
  <c r="B104" i="75"/>
  <c r="Z103" i="75"/>
  <c r="X103" i="75"/>
  <c r="N103" i="75"/>
  <c r="L103" i="75"/>
  <c r="B103" i="75"/>
  <c r="X102" i="75"/>
  <c r="Z102" i="75" s="1"/>
  <c r="T102" i="75"/>
  <c r="P102" i="75"/>
  <c r="L102" i="75"/>
  <c r="N102" i="75" s="1"/>
  <c r="H102" i="75"/>
  <c r="D102" i="75"/>
  <c r="B102" i="75"/>
  <c r="X101" i="75"/>
  <c r="Z101" i="75" s="1"/>
  <c r="N101" i="75"/>
  <c r="L101" i="75"/>
  <c r="B101" i="75"/>
  <c r="Z100" i="75"/>
  <c r="X100" i="75"/>
  <c r="N100" i="75"/>
  <c r="L100" i="75"/>
  <c r="B100" i="75"/>
  <c r="Z99" i="75"/>
  <c r="T99" i="75"/>
  <c r="P99" i="75"/>
  <c r="X99" i="75" s="1"/>
  <c r="N99" i="75"/>
  <c r="L99" i="75"/>
  <c r="H99" i="75"/>
  <c r="D99" i="75"/>
  <c r="B99" i="75"/>
  <c r="X98" i="75"/>
  <c r="Z98" i="75" s="1"/>
  <c r="N98" i="75"/>
  <c r="L98" i="75"/>
  <c r="B98" i="75"/>
  <c r="Z97" i="75"/>
  <c r="X97" i="75"/>
  <c r="L97" i="75"/>
  <c r="N97" i="75" s="1"/>
  <c r="B97" i="75"/>
  <c r="Z96" i="75"/>
  <c r="X96" i="75"/>
  <c r="L96" i="75"/>
  <c r="N96" i="75" s="1"/>
  <c r="B96" i="75"/>
  <c r="T95" i="75"/>
  <c r="P95" i="75"/>
  <c r="H95" i="75"/>
  <c r="D95" i="75"/>
  <c r="L95" i="75" s="1"/>
  <c r="N95" i="75" s="1"/>
  <c r="B95" i="75"/>
  <c r="X94" i="75"/>
  <c r="Z94" i="75" s="1"/>
  <c r="L94" i="75"/>
  <c r="N94" i="75" s="1"/>
  <c r="B94" i="75"/>
  <c r="X93" i="75"/>
  <c r="T93" i="75"/>
  <c r="P93" i="75"/>
  <c r="H93" i="75"/>
  <c r="D93" i="75"/>
  <c r="L93" i="75" s="1"/>
  <c r="B93" i="75"/>
  <c r="Z92" i="75"/>
  <c r="X92" i="75"/>
  <c r="V92" i="75"/>
  <c r="N92" i="75"/>
  <c r="L92" i="75"/>
  <c r="B92" i="75"/>
  <c r="Z91" i="75"/>
  <c r="T91" i="75"/>
  <c r="P91" i="75"/>
  <c r="X91" i="75" s="1"/>
  <c r="N91" i="75"/>
  <c r="L91" i="75"/>
  <c r="H91" i="75"/>
  <c r="D91" i="75"/>
  <c r="B91" i="75"/>
  <c r="X90" i="75"/>
  <c r="Z90" i="75" s="1"/>
  <c r="V90" i="75"/>
  <c r="N90" i="75"/>
  <c r="L90" i="75"/>
  <c r="B90" i="75"/>
  <c r="T89" i="75"/>
  <c r="P89" i="75"/>
  <c r="X89" i="75" s="1"/>
  <c r="Z89" i="75" s="1"/>
  <c r="H89" i="75"/>
  <c r="D89" i="75"/>
  <c r="B89" i="75"/>
  <c r="Z88" i="75"/>
  <c r="X88" i="75"/>
  <c r="N88" i="75"/>
  <c r="L88" i="75"/>
  <c r="B88" i="75"/>
  <c r="T87" i="75"/>
  <c r="Z87" i="75" s="1"/>
  <c r="P87" i="75"/>
  <c r="H87" i="75"/>
  <c r="N87" i="75" s="1"/>
  <c r="D87" i="75"/>
  <c r="B87" i="75"/>
  <c r="Z86" i="75"/>
  <c r="X86" i="75"/>
  <c r="N86" i="75"/>
  <c r="L86" i="75"/>
  <c r="B86" i="75"/>
  <c r="X85" i="75"/>
  <c r="Z85" i="75" s="1"/>
  <c r="N85" i="75"/>
  <c r="L85" i="75"/>
  <c r="B85" i="75"/>
  <c r="T84" i="75"/>
  <c r="X84" i="75" s="1"/>
  <c r="P84" i="75"/>
  <c r="H84" i="75"/>
  <c r="D84" i="75"/>
  <c r="B84" i="75"/>
  <c r="X83" i="75"/>
  <c r="Z83" i="75" s="1"/>
  <c r="L83" i="75"/>
  <c r="N83" i="75" s="1"/>
  <c r="B83" i="75"/>
  <c r="T82" i="75"/>
  <c r="Z82" i="75" s="1"/>
  <c r="P82" i="75"/>
  <c r="X82" i="75" s="1"/>
  <c r="H82" i="75"/>
  <c r="D82" i="75"/>
  <c r="L82" i="75" s="1"/>
  <c r="N82" i="75" s="1"/>
  <c r="B82" i="75"/>
  <c r="Z81" i="75"/>
  <c r="X81" i="75"/>
  <c r="N81" i="75"/>
  <c r="L81" i="75"/>
  <c r="B81" i="75"/>
  <c r="X80" i="75"/>
  <c r="Z80" i="75" s="1"/>
  <c r="N80" i="75"/>
  <c r="L80" i="75"/>
  <c r="B80" i="75"/>
  <c r="T79" i="75"/>
  <c r="P79" i="75"/>
  <c r="H79" i="75"/>
  <c r="D79" i="75"/>
  <c r="B79" i="75"/>
  <c r="X78" i="75"/>
  <c r="Z78" i="75" s="1"/>
  <c r="L78" i="75"/>
  <c r="N78" i="75" s="1"/>
  <c r="B78" i="75"/>
  <c r="Z77" i="75"/>
  <c r="X77" i="75"/>
  <c r="T77" i="75"/>
  <c r="P77" i="75"/>
  <c r="H77" i="75"/>
  <c r="D77" i="75"/>
  <c r="B77" i="75"/>
  <c r="Z76" i="75"/>
  <c r="X76" i="75"/>
  <c r="N76" i="75"/>
  <c r="L76" i="75"/>
  <c r="B76" i="75"/>
  <c r="Z75" i="75"/>
  <c r="X75" i="75"/>
  <c r="V75" i="75"/>
  <c r="N75" i="75"/>
  <c r="L75" i="75"/>
  <c r="B75" i="75"/>
  <c r="X74" i="75"/>
  <c r="Z74" i="75" s="1"/>
  <c r="V74" i="75"/>
  <c r="N74" i="75"/>
  <c r="L74" i="75"/>
  <c r="B74" i="75"/>
  <c r="Z73" i="75"/>
  <c r="X73" i="75"/>
  <c r="V73" i="75"/>
  <c r="N73" i="75"/>
  <c r="L73" i="75"/>
  <c r="B73" i="75"/>
  <c r="Z72" i="75"/>
  <c r="X72" i="75"/>
  <c r="N72" i="75"/>
  <c r="L72" i="75"/>
  <c r="B72" i="75"/>
  <c r="Z71" i="75"/>
  <c r="X71" i="75"/>
  <c r="N71" i="75"/>
  <c r="L71" i="75"/>
  <c r="J71" i="75"/>
  <c r="B71" i="75"/>
  <c r="X70" i="75"/>
  <c r="Z70" i="75" s="1"/>
  <c r="L70" i="75"/>
  <c r="N70" i="75" s="1"/>
  <c r="B70" i="75"/>
  <c r="Z69" i="75"/>
  <c r="X69" i="75"/>
  <c r="V69" i="75"/>
  <c r="N69" i="75"/>
  <c r="L69" i="75"/>
  <c r="B69" i="75"/>
  <c r="Z68" i="75"/>
  <c r="X68" i="75"/>
  <c r="L68" i="75"/>
  <c r="N68" i="75" s="1"/>
  <c r="B68" i="75"/>
  <c r="Z67" i="75"/>
  <c r="X67" i="75"/>
  <c r="V67" i="75"/>
  <c r="N67" i="75"/>
  <c r="L67" i="75"/>
  <c r="B67" i="75"/>
  <c r="T66" i="75"/>
  <c r="P66" i="75"/>
  <c r="X66" i="75" s="1"/>
  <c r="H66" i="75"/>
  <c r="D66" i="75"/>
  <c r="L66" i="75" s="1"/>
  <c r="N66" i="75" s="1"/>
  <c r="B66" i="75"/>
  <c r="Z65" i="75"/>
  <c r="X65" i="75"/>
  <c r="N65" i="75"/>
  <c r="L65" i="75"/>
  <c r="B65" i="75"/>
  <c r="X64" i="75"/>
  <c r="Z64" i="75" s="1"/>
  <c r="N64" i="75"/>
  <c r="L64" i="75"/>
  <c r="B64" i="75"/>
  <c r="X63" i="75"/>
  <c r="Z63" i="75" s="1"/>
  <c r="N63" i="75"/>
  <c r="L63" i="75"/>
  <c r="B63" i="75"/>
  <c r="Z62" i="75"/>
  <c r="X62" i="75"/>
  <c r="N62" i="75"/>
  <c r="L62" i="75"/>
  <c r="B62" i="75"/>
  <c r="X61" i="75"/>
  <c r="Z61" i="75" s="1"/>
  <c r="N61" i="75"/>
  <c r="L61" i="75"/>
  <c r="B61" i="75"/>
  <c r="X60" i="75"/>
  <c r="Z60" i="75" s="1"/>
  <c r="N60" i="75"/>
  <c r="L60" i="75"/>
  <c r="B60" i="75"/>
  <c r="X59" i="75"/>
  <c r="Z59" i="75" s="1"/>
  <c r="N59" i="75"/>
  <c r="L59" i="75"/>
  <c r="B59" i="75"/>
  <c r="X58" i="75"/>
  <c r="Z58" i="75" s="1"/>
  <c r="L58" i="75"/>
  <c r="N58" i="75" s="1"/>
  <c r="B58" i="75"/>
  <c r="X57" i="75"/>
  <c r="Z57" i="75" s="1"/>
  <c r="L57" i="75"/>
  <c r="N57" i="75" s="1"/>
  <c r="B57" i="75"/>
  <c r="X56" i="75"/>
  <c r="Z56" i="75" s="1"/>
  <c r="T56" i="75"/>
  <c r="P56" i="75"/>
  <c r="L56" i="75"/>
  <c r="N56" i="75" s="1"/>
  <c r="H56" i="75"/>
  <c r="D56" i="75"/>
  <c r="B56" i="75"/>
  <c r="T55" i="75"/>
  <c r="P55" i="75"/>
  <c r="X55" i="75" s="1"/>
  <c r="Z55" i="75" s="1"/>
  <c r="H55" i="75"/>
  <c r="D55" i="75"/>
  <c r="L55" i="75" s="1"/>
  <c r="N55" i="75" s="1"/>
  <c r="T53" i="75"/>
  <c r="Z51" i="75"/>
  <c r="X51" i="75"/>
  <c r="N51" i="75"/>
  <c r="L51" i="75"/>
  <c r="B51" i="75"/>
  <c r="Z50" i="75"/>
  <c r="X50" i="75"/>
  <c r="N50" i="75"/>
  <c r="L50" i="75"/>
  <c r="B50" i="75"/>
  <c r="Z49" i="75"/>
  <c r="X49" i="75"/>
  <c r="N49" i="75"/>
  <c r="L49" i="75"/>
  <c r="B49" i="75"/>
  <c r="Z48" i="75"/>
  <c r="X48" i="75"/>
  <c r="V48" i="75"/>
  <c r="N48" i="75"/>
  <c r="L48" i="75"/>
  <c r="B48" i="75"/>
  <c r="Z47" i="75"/>
  <c r="X47" i="75"/>
  <c r="N47" i="75"/>
  <c r="L47" i="75"/>
  <c r="B47" i="75"/>
  <c r="Z46" i="75"/>
  <c r="X46" i="75"/>
  <c r="V46" i="75"/>
  <c r="N46" i="75"/>
  <c r="L46" i="75"/>
  <c r="B46" i="75"/>
  <c r="Z45" i="75"/>
  <c r="X45" i="75"/>
  <c r="N45" i="75"/>
  <c r="L45" i="75"/>
  <c r="B45" i="75"/>
  <c r="Z44" i="75"/>
  <c r="X44" i="75"/>
  <c r="V44" i="75"/>
  <c r="N44" i="75"/>
  <c r="L44" i="75"/>
  <c r="B44" i="75"/>
  <c r="Z43" i="75"/>
  <c r="X43" i="75"/>
  <c r="N43" i="75"/>
  <c r="L43" i="75"/>
  <c r="B43" i="75"/>
  <c r="Z42" i="75"/>
  <c r="X42" i="75"/>
  <c r="V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V38" i="75"/>
  <c r="N38" i="75"/>
  <c r="L38" i="75"/>
  <c r="B38" i="75"/>
  <c r="Z37" i="75"/>
  <c r="X37" i="75"/>
  <c r="N37" i="75"/>
  <c r="L37" i="75"/>
  <c r="B37" i="75"/>
  <c r="Z36" i="75"/>
  <c r="X36" i="75"/>
  <c r="V36" i="75"/>
  <c r="N36" i="75"/>
  <c r="L36" i="75"/>
  <c r="B36" i="75"/>
  <c r="V35" i="75"/>
  <c r="T35" i="75"/>
  <c r="P35" i="75"/>
  <c r="H35" i="75"/>
  <c r="D35" i="75"/>
  <c r="Z33" i="75"/>
  <c r="P33" i="75"/>
  <c r="X33" i="75" s="1"/>
  <c r="N33" i="75"/>
  <c r="L33" i="75"/>
  <c r="D33" i="75"/>
  <c r="B33" i="75"/>
  <c r="Z32" i="75"/>
  <c r="P32" i="75"/>
  <c r="X32" i="75" s="1"/>
  <c r="N32" i="75"/>
  <c r="L32" i="75"/>
  <c r="D32" i="75"/>
  <c r="B32" i="75"/>
  <c r="Z31" i="75"/>
  <c r="P31" i="75"/>
  <c r="X31" i="75" s="1"/>
  <c r="N31" i="75"/>
  <c r="D31" i="75"/>
  <c r="L31" i="75" s="1"/>
  <c r="B31" i="75"/>
  <c r="Z30" i="75"/>
  <c r="P30" i="75"/>
  <c r="X30" i="75" s="1"/>
  <c r="N30" i="75"/>
  <c r="D30" i="75"/>
  <c r="L30" i="75" s="1"/>
  <c r="B30" i="75"/>
  <c r="Z29" i="75"/>
  <c r="X29" i="75"/>
  <c r="P29" i="75"/>
  <c r="N29" i="75"/>
  <c r="D29" i="75"/>
  <c r="L29" i="75" s="1"/>
  <c r="B29" i="75"/>
  <c r="Z28" i="75"/>
  <c r="X28" i="75"/>
  <c r="P28" i="75"/>
  <c r="N28" i="75"/>
  <c r="D28" i="75"/>
  <c r="L28" i="75" s="1"/>
  <c r="B28" i="75"/>
  <c r="Z27" i="75"/>
  <c r="X27" i="75"/>
  <c r="P27" i="75"/>
  <c r="N27" i="75"/>
  <c r="D27" i="75"/>
  <c r="L27" i="75" s="1"/>
  <c r="B27" i="75"/>
  <c r="Z26" i="75"/>
  <c r="X26" i="75"/>
  <c r="P26" i="75"/>
  <c r="N26" i="75"/>
  <c r="D26" i="75"/>
  <c r="L26" i="75" s="1"/>
  <c r="B26" i="75"/>
  <c r="Z25" i="75"/>
  <c r="X25" i="75"/>
  <c r="P25" i="75"/>
  <c r="N25" i="75"/>
  <c r="L25" i="75"/>
  <c r="D25" i="75"/>
  <c r="B25" i="75"/>
  <c r="Z24" i="75"/>
  <c r="X24" i="75"/>
  <c r="P24" i="75"/>
  <c r="N24" i="75"/>
  <c r="L24" i="75"/>
  <c r="D24" i="75"/>
  <c r="B24" i="75"/>
  <c r="Z23" i="75"/>
  <c r="X23" i="75"/>
  <c r="P23" i="75"/>
  <c r="N23" i="75"/>
  <c r="L23" i="75"/>
  <c r="D23" i="75"/>
  <c r="B23" i="75"/>
  <c r="Z22" i="75"/>
  <c r="X22" i="75"/>
  <c r="P22" i="75"/>
  <c r="N22" i="75"/>
  <c r="L22" i="75"/>
  <c r="D22" i="75"/>
  <c r="B22" i="75"/>
  <c r="Z21" i="75"/>
  <c r="P21" i="75"/>
  <c r="X21" i="75" s="1"/>
  <c r="N21" i="75"/>
  <c r="D21" i="75"/>
  <c r="L21" i="75" s="1"/>
  <c r="B21" i="75"/>
  <c r="Z20" i="75"/>
  <c r="P20" i="75"/>
  <c r="X20" i="75" s="1"/>
  <c r="N20" i="75"/>
  <c r="L20" i="75"/>
  <c r="D20" i="75"/>
  <c r="B20" i="75"/>
  <c r="Z19" i="75"/>
  <c r="X19" i="75"/>
  <c r="P19" i="75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X17" i="75"/>
  <c r="P17" i="75"/>
  <c r="N17" i="75"/>
  <c r="D17" i="75"/>
  <c r="L17" i="75" s="1"/>
  <c r="B17" i="75"/>
  <c r="Z16" i="75"/>
  <c r="X16" i="75"/>
  <c r="P16" i="75"/>
  <c r="N16" i="75"/>
  <c r="D16" i="75"/>
  <c r="B16" i="75"/>
  <c r="Z15" i="75"/>
  <c r="X15" i="75"/>
  <c r="P15" i="75"/>
  <c r="N15" i="75"/>
  <c r="L15" i="75"/>
  <c r="D15" i="75"/>
  <c r="B15" i="75"/>
  <c r="Z14" i="75"/>
  <c r="X14" i="75"/>
  <c r="P14" i="75"/>
  <c r="N14" i="75"/>
  <c r="L14" i="75"/>
  <c r="D14" i="75"/>
  <c r="B14" i="75"/>
  <c r="X13" i="75"/>
  <c r="Z13" i="75" s="1"/>
  <c r="P13" i="75"/>
  <c r="L13" i="75"/>
  <c r="N13" i="75" s="1"/>
  <c r="D13" i="75"/>
  <c r="B13" i="75"/>
  <c r="T12" i="75"/>
  <c r="V95" i="75" s="1"/>
  <c r="H12" i="75"/>
  <c r="D6" i="75"/>
  <c r="D4" i="75"/>
  <c r="X99" i="74"/>
  <c r="Z99" i="74" s="1"/>
  <c r="N99" i="74"/>
  <c r="L99" i="74"/>
  <c r="J99" i="74"/>
  <c r="T95" i="74"/>
  <c r="P95" i="74"/>
  <c r="N95" i="74"/>
  <c r="J95" i="74"/>
  <c r="H95" i="74"/>
  <c r="D95" i="74"/>
  <c r="L95" i="74" s="1"/>
  <c r="Z93" i="74"/>
  <c r="X93" i="74"/>
  <c r="N93" i="74"/>
  <c r="L93" i="74"/>
  <c r="J93" i="74"/>
  <c r="B93" i="74"/>
  <c r="Z92" i="74"/>
  <c r="X92" i="74"/>
  <c r="T92" i="74"/>
  <c r="P92" i="74"/>
  <c r="N92" i="74"/>
  <c r="H92" i="74"/>
  <c r="D92" i="74"/>
  <c r="L92" i="74" s="1"/>
  <c r="B92" i="74"/>
  <c r="Z91" i="74"/>
  <c r="X91" i="74"/>
  <c r="L91" i="74"/>
  <c r="N91" i="74" s="1"/>
  <c r="J91" i="74"/>
  <c r="B91" i="74"/>
  <c r="T90" i="74"/>
  <c r="P90" i="74"/>
  <c r="N90" i="74"/>
  <c r="J90" i="74"/>
  <c r="H90" i="74"/>
  <c r="D90" i="74"/>
  <c r="L90" i="74" s="1"/>
  <c r="B90" i="74"/>
  <c r="Z89" i="74"/>
  <c r="X89" i="74"/>
  <c r="N89" i="74"/>
  <c r="L89" i="74"/>
  <c r="B89" i="74"/>
  <c r="T88" i="74"/>
  <c r="Z88" i="74" s="1"/>
  <c r="P88" i="74"/>
  <c r="X88" i="74" s="1"/>
  <c r="N88" i="74"/>
  <c r="J88" i="74"/>
  <c r="H88" i="74"/>
  <c r="D88" i="74"/>
  <c r="L88" i="74" s="1"/>
  <c r="B88" i="74"/>
  <c r="Z87" i="74"/>
  <c r="X87" i="74"/>
  <c r="N87" i="74"/>
  <c r="L87" i="74"/>
  <c r="B87" i="74"/>
  <c r="Z86" i="74"/>
  <c r="T86" i="74"/>
  <c r="P86" i="74"/>
  <c r="X86" i="74" s="1"/>
  <c r="N86" i="74"/>
  <c r="L86" i="74"/>
  <c r="H86" i="74"/>
  <c r="D86" i="74"/>
  <c r="B86" i="74"/>
  <c r="Z85" i="74"/>
  <c r="X85" i="74"/>
  <c r="N85" i="74"/>
  <c r="L85" i="74"/>
  <c r="J85" i="74"/>
  <c r="B85" i="74"/>
  <c r="Z84" i="74"/>
  <c r="T84" i="74"/>
  <c r="P84" i="74"/>
  <c r="X84" i="74" s="1"/>
  <c r="H84" i="74"/>
  <c r="N84" i="74" s="1"/>
  <c r="D84" i="74"/>
  <c r="B84" i="74"/>
  <c r="X83" i="74"/>
  <c r="Z83" i="74" s="1"/>
  <c r="N83" i="74"/>
  <c r="L83" i="74"/>
  <c r="J83" i="74"/>
  <c r="B83" i="74"/>
  <c r="V82" i="74"/>
  <c r="T82" i="74"/>
  <c r="P82" i="74"/>
  <c r="X82" i="74" s="1"/>
  <c r="Z82" i="74" s="1"/>
  <c r="H82" i="74"/>
  <c r="D82" i="74"/>
  <c r="L82" i="74" s="1"/>
  <c r="B82" i="74"/>
  <c r="Z81" i="74"/>
  <c r="X81" i="74"/>
  <c r="N81" i="74"/>
  <c r="L81" i="74"/>
  <c r="J81" i="74"/>
  <c r="B81" i="74"/>
  <c r="X80" i="74"/>
  <c r="Z80" i="74" s="1"/>
  <c r="N80" i="74"/>
  <c r="L80" i="74"/>
  <c r="J80" i="74"/>
  <c r="B80" i="74"/>
  <c r="T79" i="74"/>
  <c r="P79" i="74"/>
  <c r="X79" i="74" s="1"/>
  <c r="Z79" i="74" s="1"/>
  <c r="H79" i="74"/>
  <c r="D79" i="74"/>
  <c r="B79" i="74"/>
  <c r="X78" i="74"/>
  <c r="Z78" i="74" s="1"/>
  <c r="N78" i="74"/>
  <c r="L78" i="74"/>
  <c r="J78" i="74"/>
  <c r="B78" i="74"/>
  <c r="T77" i="74"/>
  <c r="P77" i="74"/>
  <c r="X77" i="74" s="1"/>
  <c r="Z77" i="74" s="1"/>
  <c r="H77" i="74"/>
  <c r="D77" i="74"/>
  <c r="B77" i="74"/>
  <c r="Z76" i="74"/>
  <c r="X76" i="74"/>
  <c r="N76" i="74"/>
  <c r="L76" i="74"/>
  <c r="B76" i="74"/>
  <c r="Z75" i="74"/>
  <c r="X75" i="74"/>
  <c r="N75" i="74"/>
  <c r="L75" i="74"/>
  <c r="J75" i="74"/>
  <c r="B75" i="74"/>
  <c r="Z74" i="74"/>
  <c r="X74" i="74"/>
  <c r="V74" i="74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Z71" i="74"/>
  <c r="X71" i="74"/>
  <c r="N71" i="74"/>
  <c r="L71" i="74"/>
  <c r="J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N68" i="74"/>
  <c r="L68" i="74"/>
  <c r="B68" i="74"/>
  <c r="X67" i="74"/>
  <c r="Z67" i="74" s="1"/>
  <c r="N67" i="74"/>
  <c r="L67" i="74"/>
  <c r="J67" i="74"/>
  <c r="B67" i="74"/>
  <c r="V66" i="74"/>
  <c r="T66" i="74"/>
  <c r="P66" i="74"/>
  <c r="X66" i="74" s="1"/>
  <c r="Z66" i="74" s="1"/>
  <c r="H66" i="74"/>
  <c r="D66" i="74"/>
  <c r="L66" i="74" s="1"/>
  <c r="B66" i="74"/>
  <c r="X65" i="74"/>
  <c r="Z65" i="74" s="1"/>
  <c r="N65" i="74"/>
  <c r="L65" i="74"/>
  <c r="J65" i="74"/>
  <c r="B65" i="74"/>
  <c r="X64" i="74"/>
  <c r="Z64" i="74" s="1"/>
  <c r="N64" i="74"/>
  <c r="L64" i="74"/>
  <c r="J64" i="74"/>
  <c r="B64" i="74"/>
  <c r="Z63" i="74"/>
  <c r="X63" i="74"/>
  <c r="N63" i="74"/>
  <c r="L63" i="74"/>
  <c r="B63" i="74"/>
  <c r="Z62" i="74"/>
  <c r="X62" i="74"/>
  <c r="L62" i="74"/>
  <c r="N62" i="74" s="1"/>
  <c r="J62" i="74"/>
  <c r="B62" i="74"/>
  <c r="X61" i="74"/>
  <c r="Z61" i="74" s="1"/>
  <c r="N61" i="74"/>
  <c r="L61" i="74"/>
  <c r="J61" i="74"/>
  <c r="B61" i="74"/>
  <c r="X60" i="74"/>
  <c r="Z60" i="74" s="1"/>
  <c r="N60" i="74"/>
  <c r="L60" i="74"/>
  <c r="J60" i="74"/>
  <c r="B60" i="74"/>
  <c r="Z59" i="74"/>
  <c r="X59" i="74"/>
  <c r="N59" i="74"/>
  <c r="L59" i="74"/>
  <c r="B59" i="74"/>
  <c r="Z58" i="74"/>
  <c r="X58" i="74"/>
  <c r="L58" i="74"/>
  <c r="N58" i="74" s="1"/>
  <c r="J58" i="74"/>
  <c r="B58" i="74"/>
  <c r="X57" i="74"/>
  <c r="T57" i="74"/>
  <c r="P57" i="74"/>
  <c r="J57" i="74"/>
  <c r="H57" i="74"/>
  <c r="D57" i="74"/>
  <c r="L57" i="74" s="1"/>
  <c r="N57" i="74" s="1"/>
  <c r="B57" i="74"/>
  <c r="T56" i="74"/>
  <c r="Z56" i="74" s="1"/>
  <c r="P56" i="74"/>
  <c r="X56" i="74" s="1"/>
  <c r="H56" i="74"/>
  <c r="D56" i="74"/>
  <c r="Z52" i="74"/>
  <c r="X52" i="74"/>
  <c r="V52" i="74"/>
  <c r="N52" i="74"/>
  <c r="L52" i="74"/>
  <c r="B52" i="74"/>
  <c r="Z51" i="74"/>
  <c r="X51" i="74"/>
  <c r="N51" i="74"/>
  <c r="L51" i="74"/>
  <c r="J51" i="74"/>
  <c r="B51" i="74"/>
  <c r="Z50" i="74"/>
  <c r="X50" i="74"/>
  <c r="N50" i="74"/>
  <c r="L50" i="74"/>
  <c r="J50" i="74"/>
  <c r="B50" i="74"/>
  <c r="Z49" i="74"/>
  <c r="X49" i="74"/>
  <c r="N49" i="74"/>
  <c r="L49" i="74"/>
  <c r="J49" i="74"/>
  <c r="B49" i="74"/>
  <c r="Z48" i="74"/>
  <c r="X48" i="74"/>
  <c r="V48" i="74"/>
  <c r="N48" i="74"/>
  <c r="L48" i="74"/>
  <c r="B48" i="74"/>
  <c r="Z47" i="74"/>
  <c r="X47" i="74"/>
  <c r="N47" i="74"/>
  <c r="L47" i="74"/>
  <c r="J47" i="74"/>
  <c r="B47" i="74"/>
  <c r="Z46" i="74"/>
  <c r="X46" i="74"/>
  <c r="N46" i="74"/>
  <c r="L46" i="74"/>
  <c r="J46" i="74"/>
  <c r="B46" i="74"/>
  <c r="Z45" i="74"/>
  <c r="X45" i="74"/>
  <c r="N45" i="74"/>
  <c r="L45" i="74"/>
  <c r="J45" i="74"/>
  <c r="B45" i="74"/>
  <c r="Z44" i="74"/>
  <c r="X44" i="74"/>
  <c r="V44" i="74"/>
  <c r="N44" i="74"/>
  <c r="L44" i="74"/>
  <c r="B44" i="74"/>
  <c r="Z43" i="74"/>
  <c r="X43" i="74"/>
  <c r="N43" i="74"/>
  <c r="L43" i="74"/>
  <c r="J43" i="74"/>
  <c r="B43" i="74"/>
  <c r="Z42" i="74"/>
  <c r="X42" i="74"/>
  <c r="N42" i="74"/>
  <c r="L42" i="74"/>
  <c r="J42" i="74"/>
  <c r="B42" i="74"/>
  <c r="Z41" i="74"/>
  <c r="X41" i="74"/>
  <c r="N41" i="74"/>
  <c r="L41" i="74"/>
  <c r="J41" i="74"/>
  <c r="B41" i="74"/>
  <c r="Z40" i="74"/>
  <c r="X40" i="74"/>
  <c r="V40" i="74"/>
  <c r="N40" i="74"/>
  <c r="L40" i="74"/>
  <c r="B40" i="74"/>
  <c r="Z39" i="74"/>
  <c r="X39" i="74"/>
  <c r="N39" i="74"/>
  <c r="L39" i="74"/>
  <c r="J39" i="74"/>
  <c r="B39" i="74"/>
  <c r="Z38" i="74"/>
  <c r="X38" i="74"/>
  <c r="N38" i="74"/>
  <c r="L38" i="74"/>
  <c r="J38" i="74"/>
  <c r="B38" i="74"/>
  <c r="Z37" i="74"/>
  <c r="X37" i="74"/>
  <c r="N37" i="74"/>
  <c r="L37" i="74"/>
  <c r="J37" i="74"/>
  <c r="B37" i="74"/>
  <c r="Z36" i="74"/>
  <c r="V36" i="74"/>
  <c r="T36" i="74"/>
  <c r="P36" i="74"/>
  <c r="X36" i="74" s="1"/>
  <c r="H36" i="74"/>
  <c r="D36" i="74"/>
  <c r="Z34" i="74"/>
  <c r="P34" i="74"/>
  <c r="X34" i="74" s="1"/>
  <c r="N34" i="74"/>
  <c r="D34" i="74"/>
  <c r="L34" i="74" s="1"/>
  <c r="B34" i="74"/>
  <c r="Z33" i="74"/>
  <c r="P33" i="74"/>
  <c r="X33" i="74" s="1"/>
  <c r="N33" i="74"/>
  <c r="D33" i="74"/>
  <c r="L33" i="74" s="1"/>
  <c r="B33" i="74"/>
  <c r="Z32" i="74"/>
  <c r="X32" i="74"/>
  <c r="P32" i="74"/>
  <c r="N32" i="74"/>
  <c r="D32" i="74"/>
  <c r="L32" i="74" s="1"/>
  <c r="B32" i="74"/>
  <c r="Z31" i="74"/>
  <c r="X31" i="74"/>
  <c r="P31" i="74"/>
  <c r="N31" i="74"/>
  <c r="D31" i="74"/>
  <c r="L31" i="74" s="1"/>
  <c r="B31" i="74"/>
  <c r="Z30" i="74"/>
  <c r="X30" i="74"/>
  <c r="P30" i="74"/>
  <c r="N30" i="74"/>
  <c r="D30" i="74"/>
  <c r="L30" i="74" s="1"/>
  <c r="B30" i="74"/>
  <c r="Z29" i="74"/>
  <c r="X29" i="74"/>
  <c r="P29" i="74"/>
  <c r="N29" i="74"/>
  <c r="L29" i="74"/>
  <c r="D29" i="74"/>
  <c r="B29" i="74"/>
  <c r="Z28" i="74"/>
  <c r="X28" i="74"/>
  <c r="P28" i="74"/>
  <c r="N28" i="74"/>
  <c r="L28" i="74"/>
  <c r="D28" i="74"/>
  <c r="B28" i="74"/>
  <c r="Z27" i="74"/>
  <c r="X27" i="74"/>
  <c r="P27" i="74"/>
  <c r="N27" i="74"/>
  <c r="L27" i="74"/>
  <c r="D27" i="74"/>
  <c r="B27" i="74"/>
  <c r="Z26" i="74"/>
  <c r="X26" i="74"/>
  <c r="P26" i="74"/>
  <c r="N26" i="74"/>
  <c r="L26" i="74"/>
  <c r="D26" i="74"/>
  <c r="B26" i="74"/>
  <c r="Z25" i="74"/>
  <c r="P25" i="74"/>
  <c r="X25" i="74" s="1"/>
  <c r="N25" i="74"/>
  <c r="L25" i="74"/>
  <c r="D25" i="74"/>
  <c r="B25" i="74"/>
  <c r="Z24" i="74"/>
  <c r="P24" i="74"/>
  <c r="X24" i="74" s="1"/>
  <c r="N24" i="74"/>
  <c r="L24" i="74"/>
  <c r="D24" i="74"/>
  <c r="B24" i="74"/>
  <c r="Z23" i="74"/>
  <c r="P23" i="74"/>
  <c r="X23" i="74" s="1"/>
  <c r="N23" i="74"/>
  <c r="L23" i="74"/>
  <c r="D23" i="74"/>
  <c r="B23" i="74"/>
  <c r="Z22" i="74"/>
  <c r="P22" i="74"/>
  <c r="X22" i="74" s="1"/>
  <c r="N22" i="74"/>
  <c r="D22" i="74"/>
  <c r="L22" i="74" s="1"/>
  <c r="B22" i="74"/>
  <c r="P21" i="74"/>
  <c r="X21" i="74" s="1"/>
  <c r="Z21" i="74" s="1"/>
  <c r="D21" i="74"/>
  <c r="L21" i="74" s="1"/>
  <c r="N21" i="74" s="1"/>
  <c r="B21" i="74"/>
  <c r="Z20" i="74"/>
  <c r="X20" i="74"/>
  <c r="P20" i="74"/>
  <c r="N20" i="74"/>
  <c r="D20" i="74"/>
  <c r="L20" i="74" s="1"/>
  <c r="B20" i="74"/>
  <c r="Z19" i="74"/>
  <c r="X19" i="74"/>
  <c r="P19" i="74"/>
  <c r="N19" i="74"/>
  <c r="D19" i="74"/>
  <c r="L19" i="74" s="1"/>
  <c r="B19" i="74"/>
  <c r="Z18" i="74"/>
  <c r="X18" i="74"/>
  <c r="P18" i="74"/>
  <c r="N18" i="74"/>
  <c r="D18" i="74"/>
  <c r="B18" i="74"/>
  <c r="Z17" i="74"/>
  <c r="X17" i="74"/>
  <c r="P17" i="74"/>
  <c r="N17" i="74"/>
  <c r="L17" i="74"/>
  <c r="D17" i="74"/>
  <c r="B17" i="74"/>
  <c r="Z16" i="74"/>
  <c r="X16" i="74"/>
  <c r="P16" i="74"/>
  <c r="N16" i="74"/>
  <c r="L16" i="74"/>
  <c r="D16" i="74"/>
  <c r="B16" i="74"/>
  <c r="Z15" i="74"/>
  <c r="X15" i="74"/>
  <c r="P15" i="74"/>
  <c r="N15" i="74"/>
  <c r="L15" i="74"/>
  <c r="D15" i="74"/>
  <c r="B15" i="74"/>
  <c r="Z14" i="74"/>
  <c r="X14" i="74"/>
  <c r="P14" i="74"/>
  <c r="N14" i="74"/>
  <c r="L14" i="74"/>
  <c r="D14" i="74"/>
  <c r="B14" i="74"/>
  <c r="P13" i="74"/>
  <c r="X13" i="74" s="1"/>
  <c r="Z13" i="74" s="1"/>
  <c r="L13" i="74"/>
  <c r="N13" i="74" s="1"/>
  <c r="D13" i="74"/>
  <c r="B13" i="74"/>
  <c r="T12" i="74"/>
  <c r="V84" i="74" s="1"/>
  <c r="H12" i="74"/>
  <c r="J92" i="74" s="1"/>
  <c r="D6" i="74"/>
  <c r="D4" i="74"/>
  <c r="X86" i="73"/>
  <c r="Z86" i="73" s="1"/>
  <c r="N86" i="73"/>
  <c r="L86" i="73"/>
  <c r="J86" i="73"/>
  <c r="T82" i="73"/>
  <c r="Z82" i="73" s="1"/>
  <c r="P82" i="73"/>
  <c r="X82" i="73" s="1"/>
  <c r="N82" i="73"/>
  <c r="J82" i="73"/>
  <c r="H82" i="73"/>
  <c r="D82" i="73"/>
  <c r="L82" i="73" s="1"/>
  <c r="X80" i="73"/>
  <c r="Z80" i="73" s="1"/>
  <c r="N80" i="73"/>
  <c r="L80" i="73"/>
  <c r="B80" i="73"/>
  <c r="X79" i="73"/>
  <c r="T79" i="73"/>
  <c r="Z79" i="73" s="1"/>
  <c r="P79" i="73"/>
  <c r="N79" i="73"/>
  <c r="J79" i="73"/>
  <c r="H79" i="73"/>
  <c r="D79" i="73"/>
  <c r="L79" i="73" s="1"/>
  <c r="B79" i="73"/>
  <c r="Z78" i="73"/>
  <c r="X78" i="73"/>
  <c r="L78" i="73"/>
  <c r="N78" i="73" s="1"/>
  <c r="B78" i="73"/>
  <c r="T77" i="73"/>
  <c r="P77" i="73"/>
  <c r="J77" i="73"/>
  <c r="H77" i="73"/>
  <c r="D77" i="73"/>
  <c r="L77" i="73" s="1"/>
  <c r="N77" i="73" s="1"/>
  <c r="B77" i="73"/>
  <c r="Z76" i="73"/>
  <c r="X76" i="73"/>
  <c r="V76" i="73"/>
  <c r="L76" i="73"/>
  <c r="N76" i="73" s="1"/>
  <c r="B76" i="73"/>
  <c r="Z75" i="73"/>
  <c r="X75" i="73"/>
  <c r="N75" i="73"/>
  <c r="L75" i="73"/>
  <c r="J75" i="73"/>
  <c r="B75" i="73"/>
  <c r="Z74" i="73"/>
  <c r="X74" i="73"/>
  <c r="N74" i="73"/>
  <c r="L74" i="73"/>
  <c r="J74" i="73"/>
  <c r="B74" i="73"/>
  <c r="Z73" i="73"/>
  <c r="X73" i="73"/>
  <c r="V73" i="73"/>
  <c r="N73" i="73"/>
  <c r="L73" i="73"/>
  <c r="J73" i="73"/>
  <c r="B73" i="73"/>
  <c r="Z72" i="73"/>
  <c r="X72" i="73"/>
  <c r="N72" i="73"/>
  <c r="L72" i="73"/>
  <c r="B72" i="73"/>
  <c r="T71" i="73"/>
  <c r="P71" i="73"/>
  <c r="J71" i="73"/>
  <c r="H71" i="73"/>
  <c r="D71" i="73"/>
  <c r="L71" i="73" s="1"/>
  <c r="N71" i="73" s="1"/>
  <c r="B71" i="73"/>
  <c r="Z70" i="73"/>
  <c r="X70" i="73"/>
  <c r="N70" i="73"/>
  <c r="L70" i="73"/>
  <c r="B70" i="73"/>
  <c r="Z69" i="73"/>
  <c r="T69" i="73"/>
  <c r="P69" i="73"/>
  <c r="X69" i="73" s="1"/>
  <c r="L69" i="73"/>
  <c r="J69" i="73"/>
  <c r="H69" i="73"/>
  <c r="N69" i="73" s="1"/>
  <c r="D69" i="73"/>
  <c r="B69" i="73"/>
  <c r="X68" i="73"/>
  <c r="Z68" i="73" s="1"/>
  <c r="N68" i="73"/>
  <c r="L68" i="73"/>
  <c r="J68" i="73"/>
  <c r="B68" i="73"/>
  <c r="Z67" i="73"/>
  <c r="X67" i="73"/>
  <c r="N67" i="73"/>
  <c r="L67" i="73"/>
  <c r="B67" i="73"/>
  <c r="Z66" i="73"/>
  <c r="X66" i="73"/>
  <c r="N66" i="73"/>
  <c r="L66" i="73"/>
  <c r="J66" i="73"/>
  <c r="B66" i="73"/>
  <c r="T65" i="73"/>
  <c r="P65" i="73"/>
  <c r="N65" i="73"/>
  <c r="J65" i="73"/>
  <c r="H65" i="73"/>
  <c r="D65" i="73"/>
  <c r="L65" i="73" s="1"/>
  <c r="B65" i="73"/>
  <c r="Z64" i="73"/>
  <c r="X64" i="73"/>
  <c r="V64" i="73"/>
  <c r="L64" i="73"/>
  <c r="N64" i="73" s="1"/>
  <c r="B64" i="73"/>
  <c r="T63" i="73"/>
  <c r="P63" i="73"/>
  <c r="J63" i="73"/>
  <c r="H63" i="73"/>
  <c r="D63" i="73"/>
  <c r="L63" i="73" s="1"/>
  <c r="N63" i="73" s="1"/>
  <c r="B63" i="73"/>
  <c r="Z62" i="73"/>
  <c r="X62" i="73"/>
  <c r="V62" i="73"/>
  <c r="N62" i="73"/>
  <c r="L62" i="73"/>
  <c r="B62" i="73"/>
  <c r="Z61" i="73"/>
  <c r="T61" i="73"/>
  <c r="P61" i="73"/>
  <c r="X61" i="73" s="1"/>
  <c r="L61" i="73"/>
  <c r="J61" i="73"/>
  <c r="H61" i="73"/>
  <c r="N61" i="73" s="1"/>
  <c r="D61" i="73"/>
  <c r="B61" i="73"/>
  <c r="Z60" i="73"/>
  <c r="X60" i="73"/>
  <c r="N60" i="73"/>
  <c r="L60" i="73"/>
  <c r="J60" i="73"/>
  <c r="B60" i="73"/>
  <c r="Z59" i="73"/>
  <c r="T59" i="73"/>
  <c r="P59" i="73"/>
  <c r="X59" i="73" s="1"/>
  <c r="L59" i="73"/>
  <c r="H59" i="73"/>
  <c r="N59" i="73" s="1"/>
  <c r="D59" i="73"/>
  <c r="B59" i="73"/>
  <c r="Z58" i="73"/>
  <c r="X58" i="73"/>
  <c r="N58" i="73"/>
  <c r="L58" i="73"/>
  <c r="J58" i="73"/>
  <c r="B58" i="73"/>
  <c r="Z57" i="73"/>
  <c r="V57" i="73"/>
  <c r="T57" i="73"/>
  <c r="P57" i="73"/>
  <c r="X57" i="73" s="1"/>
  <c r="H57" i="73"/>
  <c r="N57" i="73" s="1"/>
  <c r="D57" i="73"/>
  <c r="B57" i="73"/>
  <c r="X56" i="73"/>
  <c r="Z56" i="73" s="1"/>
  <c r="L56" i="73"/>
  <c r="N56" i="73" s="1"/>
  <c r="B56" i="73"/>
  <c r="X55" i="73"/>
  <c r="T55" i="73"/>
  <c r="Z55" i="73" s="1"/>
  <c r="P55" i="73"/>
  <c r="J55" i="73"/>
  <c r="H55" i="73"/>
  <c r="D55" i="73"/>
  <c r="L55" i="73" s="1"/>
  <c r="N55" i="73" s="1"/>
  <c r="B55" i="73"/>
  <c r="Z54" i="73"/>
  <c r="X54" i="73"/>
  <c r="L54" i="73"/>
  <c r="N54" i="73" s="1"/>
  <c r="J54" i="73"/>
  <c r="B54" i="73"/>
  <c r="X53" i="73"/>
  <c r="T53" i="73"/>
  <c r="P53" i="73"/>
  <c r="N53" i="73"/>
  <c r="J53" i="73"/>
  <c r="H53" i="73"/>
  <c r="D53" i="73"/>
  <c r="L53" i="73" s="1"/>
  <c r="B53" i="73"/>
  <c r="Z52" i="73"/>
  <c r="X52" i="73"/>
  <c r="N52" i="73"/>
  <c r="L52" i="73"/>
  <c r="B52" i="73"/>
  <c r="Z51" i="73"/>
  <c r="T51" i="73"/>
  <c r="P51" i="73"/>
  <c r="N51" i="73"/>
  <c r="J51" i="73"/>
  <c r="H51" i="73"/>
  <c r="D51" i="73"/>
  <c r="L51" i="73" s="1"/>
  <c r="B51" i="73"/>
  <c r="Z50" i="73"/>
  <c r="X50" i="73"/>
  <c r="V50" i="73"/>
  <c r="N50" i="73"/>
  <c r="L50" i="73"/>
  <c r="B50" i="73"/>
  <c r="Z49" i="73"/>
  <c r="V49" i="73"/>
  <c r="T49" i="73"/>
  <c r="P49" i="73"/>
  <c r="X49" i="73" s="1"/>
  <c r="L49" i="73"/>
  <c r="J49" i="73"/>
  <c r="H49" i="73"/>
  <c r="N49" i="73" s="1"/>
  <c r="D49" i="73"/>
  <c r="B49" i="73"/>
  <c r="Z48" i="73"/>
  <c r="X48" i="73"/>
  <c r="N48" i="73"/>
  <c r="L48" i="73"/>
  <c r="J48" i="73"/>
  <c r="B48" i="73"/>
  <c r="Z47" i="73"/>
  <c r="X47" i="73"/>
  <c r="N47" i="73"/>
  <c r="L47" i="73"/>
  <c r="B47" i="73"/>
  <c r="Z46" i="73"/>
  <c r="X46" i="73"/>
  <c r="L46" i="73"/>
  <c r="N46" i="73" s="1"/>
  <c r="J46" i="73"/>
  <c r="B46" i="73"/>
  <c r="X45" i="73"/>
  <c r="Z45" i="73" s="1"/>
  <c r="N45" i="73"/>
  <c r="L45" i="73"/>
  <c r="J45" i="73"/>
  <c r="B45" i="73"/>
  <c r="Z44" i="73"/>
  <c r="X44" i="73"/>
  <c r="N44" i="73"/>
  <c r="L44" i="73"/>
  <c r="J44" i="73"/>
  <c r="B44" i="73"/>
  <c r="Z43" i="73"/>
  <c r="X43" i="73"/>
  <c r="N43" i="73"/>
  <c r="L43" i="73"/>
  <c r="B43" i="73"/>
  <c r="Z42" i="73"/>
  <c r="X42" i="73"/>
  <c r="L42" i="73"/>
  <c r="N42" i="73" s="1"/>
  <c r="J42" i="73"/>
  <c r="B42" i="73"/>
  <c r="Z41" i="73"/>
  <c r="X41" i="73"/>
  <c r="N41" i="73"/>
  <c r="L41" i="73"/>
  <c r="J41" i="73"/>
  <c r="B41" i="73"/>
  <c r="Z40" i="73"/>
  <c r="X40" i="73"/>
  <c r="N40" i="73"/>
  <c r="L40" i="73"/>
  <c r="J40" i="73"/>
  <c r="B40" i="73"/>
  <c r="Z39" i="73"/>
  <c r="X39" i="73"/>
  <c r="N39" i="73"/>
  <c r="L39" i="73"/>
  <c r="B39" i="73"/>
  <c r="T38" i="73"/>
  <c r="P38" i="73"/>
  <c r="L38" i="73"/>
  <c r="N38" i="73" s="1"/>
  <c r="J38" i="73"/>
  <c r="H38" i="73"/>
  <c r="D38" i="73"/>
  <c r="B38" i="73"/>
  <c r="Z37" i="73"/>
  <c r="X37" i="73"/>
  <c r="V37" i="73"/>
  <c r="N37" i="73"/>
  <c r="L37" i="73"/>
  <c r="J37" i="73"/>
  <c r="B37" i="73"/>
  <c r="Z36" i="73"/>
  <c r="X36" i="73"/>
  <c r="V36" i="73"/>
  <c r="L36" i="73"/>
  <c r="N36" i="73" s="1"/>
  <c r="B36" i="73"/>
  <c r="Z35" i="73"/>
  <c r="X35" i="73"/>
  <c r="L35" i="73"/>
  <c r="N35" i="73" s="1"/>
  <c r="J35" i="73"/>
  <c r="B35" i="73"/>
  <c r="Z34" i="73"/>
  <c r="X34" i="73"/>
  <c r="N34" i="73"/>
  <c r="L34" i="73"/>
  <c r="J34" i="73"/>
  <c r="B34" i="73"/>
  <c r="Z33" i="73"/>
  <c r="X33" i="73"/>
  <c r="V33" i="73"/>
  <c r="N33" i="73"/>
  <c r="L33" i="73"/>
  <c r="J33" i="73"/>
  <c r="B33" i="73"/>
  <c r="Z32" i="73"/>
  <c r="X32" i="73"/>
  <c r="V32" i="73"/>
  <c r="L32" i="73"/>
  <c r="N32" i="73" s="1"/>
  <c r="B32" i="73"/>
  <c r="Z31" i="73"/>
  <c r="X31" i="73"/>
  <c r="L31" i="73"/>
  <c r="N31" i="73" s="1"/>
  <c r="J31" i="73"/>
  <c r="B31" i="73"/>
  <c r="X30" i="73"/>
  <c r="Z30" i="73" s="1"/>
  <c r="N30" i="73"/>
  <c r="L30" i="73"/>
  <c r="J30" i="73"/>
  <c r="B30" i="73"/>
  <c r="Z29" i="73"/>
  <c r="X29" i="73"/>
  <c r="V29" i="73"/>
  <c r="N29" i="73"/>
  <c r="L29" i="73"/>
  <c r="J29" i="73"/>
  <c r="B29" i="73"/>
  <c r="V28" i="73"/>
  <c r="T28" i="73"/>
  <c r="P28" i="73"/>
  <c r="X28" i="73" s="1"/>
  <c r="Z28" i="73" s="1"/>
  <c r="H28" i="73"/>
  <c r="D28" i="73"/>
  <c r="B28" i="73"/>
  <c r="T27" i="73"/>
  <c r="P27" i="73"/>
  <c r="H27" i="73"/>
  <c r="J27" i="73" s="1"/>
  <c r="D27" i="73"/>
  <c r="J25" i="73"/>
  <c r="H25" i="73"/>
  <c r="Z23" i="73"/>
  <c r="X23" i="73"/>
  <c r="N23" i="73"/>
  <c r="L23" i="73"/>
  <c r="J23" i="73"/>
  <c r="B23" i="73"/>
  <c r="Z22" i="73"/>
  <c r="X22" i="73"/>
  <c r="V22" i="73"/>
  <c r="N22" i="73"/>
  <c r="L22" i="73"/>
  <c r="B22" i="73"/>
  <c r="Z21" i="73"/>
  <c r="X21" i="73"/>
  <c r="V21" i="73"/>
  <c r="L21" i="73"/>
  <c r="N21" i="73" s="1"/>
  <c r="B21" i="73"/>
  <c r="T20" i="73"/>
  <c r="Z20" i="73" s="1"/>
  <c r="P20" i="73"/>
  <c r="X20" i="73" s="1"/>
  <c r="J20" i="73"/>
  <c r="H20" i="73"/>
  <c r="D20" i="73"/>
  <c r="L20" i="73" s="1"/>
  <c r="N20" i="73" s="1"/>
  <c r="Z18" i="73"/>
  <c r="X18" i="73"/>
  <c r="P18" i="73"/>
  <c r="N18" i="73"/>
  <c r="D18" i="73"/>
  <c r="B18" i="73"/>
  <c r="Z17" i="73"/>
  <c r="X17" i="73"/>
  <c r="P17" i="73"/>
  <c r="N17" i="73"/>
  <c r="L17" i="73"/>
  <c r="D17" i="73"/>
  <c r="B17" i="73"/>
  <c r="Z16" i="73"/>
  <c r="X16" i="73"/>
  <c r="P16" i="73"/>
  <c r="N16" i="73"/>
  <c r="L16" i="73"/>
  <c r="D16" i="73"/>
  <c r="B16" i="73"/>
  <c r="X15" i="73"/>
  <c r="Z15" i="73" s="1"/>
  <c r="P15" i="73"/>
  <c r="L15" i="73"/>
  <c r="N15" i="73" s="1"/>
  <c r="D15" i="73"/>
  <c r="B15" i="73"/>
  <c r="Z14" i="73"/>
  <c r="X14" i="73"/>
  <c r="P14" i="73"/>
  <c r="N14" i="73"/>
  <c r="L14" i="73"/>
  <c r="D14" i="73"/>
  <c r="B14" i="73"/>
  <c r="Z13" i="73"/>
  <c r="P13" i="73"/>
  <c r="N13" i="73"/>
  <c r="L13" i="73"/>
  <c r="D13" i="73"/>
  <c r="B13" i="73"/>
  <c r="T12" i="73"/>
  <c r="H12" i="73"/>
  <c r="D6" i="73"/>
  <c r="D4" i="73"/>
  <c r="Z128" i="71"/>
  <c r="X128" i="71"/>
  <c r="L128" i="71"/>
  <c r="N128" i="71" s="1"/>
  <c r="V124" i="71"/>
  <c r="P124" i="71"/>
  <c r="X124" i="71" s="1"/>
  <c r="Z124" i="71" s="1"/>
  <c r="J124" i="71"/>
  <c r="D124" i="71"/>
  <c r="L124" i="71" s="1"/>
  <c r="N124" i="71" s="1"/>
  <c r="B124" i="71"/>
  <c r="Z123" i="71"/>
  <c r="X123" i="71"/>
  <c r="P123" i="71"/>
  <c r="N123" i="71"/>
  <c r="L123" i="71"/>
  <c r="D123" i="71"/>
  <c r="B123" i="71"/>
  <c r="Z122" i="71"/>
  <c r="P122" i="71"/>
  <c r="N122" i="71"/>
  <c r="L122" i="71"/>
  <c r="D122" i="71"/>
  <c r="B122" i="71"/>
  <c r="Z121" i="71"/>
  <c r="X121" i="71"/>
  <c r="V121" i="71"/>
  <c r="P121" i="71"/>
  <c r="N121" i="71"/>
  <c r="J121" i="71"/>
  <c r="D121" i="71"/>
  <c r="L121" i="71" s="1"/>
  <c r="B121" i="71"/>
  <c r="T120" i="71"/>
  <c r="J120" i="71"/>
  <c r="H120" i="71"/>
  <c r="D120" i="71"/>
  <c r="L120" i="71" s="1"/>
  <c r="N120" i="71" s="1"/>
  <c r="X118" i="71"/>
  <c r="Z118" i="71" s="1"/>
  <c r="N118" i="71"/>
  <c r="L118" i="71"/>
  <c r="J118" i="71"/>
  <c r="B118" i="71"/>
  <c r="Z117" i="71"/>
  <c r="X117" i="71"/>
  <c r="N117" i="71"/>
  <c r="L117" i="71"/>
  <c r="J117" i="71"/>
  <c r="B117" i="71"/>
  <c r="Z116" i="71"/>
  <c r="V116" i="71"/>
  <c r="T116" i="71"/>
  <c r="P116" i="71"/>
  <c r="X116" i="71" s="1"/>
  <c r="L116" i="71"/>
  <c r="H116" i="71"/>
  <c r="N116" i="71" s="1"/>
  <c r="D116" i="71"/>
  <c r="B116" i="71"/>
  <c r="X115" i="71"/>
  <c r="Z115" i="71" s="1"/>
  <c r="N115" i="71"/>
  <c r="L115" i="71"/>
  <c r="J115" i="71"/>
  <c r="B115" i="71"/>
  <c r="V114" i="71"/>
  <c r="T114" i="71"/>
  <c r="P114" i="71"/>
  <c r="X114" i="71" s="1"/>
  <c r="Z114" i="71" s="1"/>
  <c r="H114" i="71"/>
  <c r="D114" i="71"/>
  <c r="B114" i="71"/>
  <c r="X113" i="71"/>
  <c r="Z113" i="71" s="1"/>
  <c r="N113" i="71"/>
  <c r="L113" i="71"/>
  <c r="J113" i="71"/>
  <c r="B113" i="71"/>
  <c r="X112" i="71"/>
  <c r="Z112" i="71" s="1"/>
  <c r="N112" i="71"/>
  <c r="L112" i="71"/>
  <c r="J112" i="71"/>
  <c r="B112" i="71"/>
  <c r="T111" i="71"/>
  <c r="P111" i="71"/>
  <c r="X111" i="71" s="1"/>
  <c r="Z111" i="71" s="1"/>
  <c r="L111" i="71"/>
  <c r="H111" i="71"/>
  <c r="D111" i="71"/>
  <c r="B111" i="71"/>
  <c r="X110" i="71"/>
  <c r="Z110" i="71" s="1"/>
  <c r="N110" i="71"/>
  <c r="L110" i="71"/>
  <c r="J110" i="71"/>
  <c r="B110" i="71"/>
  <c r="Z109" i="71"/>
  <c r="X109" i="71"/>
  <c r="V109" i="71"/>
  <c r="N109" i="71"/>
  <c r="L109" i="71"/>
  <c r="J109" i="71"/>
  <c r="B109" i="71"/>
  <c r="Z108" i="71"/>
  <c r="X108" i="71"/>
  <c r="V108" i="71"/>
  <c r="L108" i="71"/>
  <c r="N108" i="71" s="1"/>
  <c r="B108" i="71"/>
  <c r="T107" i="71"/>
  <c r="P107" i="71"/>
  <c r="J107" i="71"/>
  <c r="H107" i="71"/>
  <c r="D107" i="71"/>
  <c r="L107" i="71" s="1"/>
  <c r="N107" i="71" s="1"/>
  <c r="B107" i="71"/>
  <c r="Z106" i="71"/>
  <c r="X106" i="71"/>
  <c r="V106" i="71"/>
  <c r="N106" i="71"/>
  <c r="L106" i="71"/>
  <c r="B106" i="71"/>
  <c r="V105" i="71"/>
  <c r="T105" i="71"/>
  <c r="P105" i="71"/>
  <c r="X105" i="71" s="1"/>
  <c r="Z105" i="71" s="1"/>
  <c r="L105" i="71"/>
  <c r="H105" i="71"/>
  <c r="N105" i="71" s="1"/>
  <c r="D105" i="71"/>
  <c r="B105" i="71"/>
  <c r="X104" i="71"/>
  <c r="Z104" i="71" s="1"/>
  <c r="N104" i="71"/>
  <c r="L104" i="71"/>
  <c r="J104" i="71"/>
  <c r="B104" i="71"/>
  <c r="Z103" i="71"/>
  <c r="X103" i="71"/>
  <c r="N103" i="71"/>
  <c r="L103" i="71"/>
  <c r="B103" i="71"/>
  <c r="Z102" i="71"/>
  <c r="X102" i="71"/>
  <c r="L102" i="71"/>
  <c r="N102" i="71" s="1"/>
  <c r="B102" i="71"/>
  <c r="X101" i="71"/>
  <c r="T101" i="71"/>
  <c r="P101" i="71"/>
  <c r="J101" i="71"/>
  <c r="H101" i="71"/>
  <c r="D101" i="71"/>
  <c r="L101" i="71" s="1"/>
  <c r="N101" i="71" s="1"/>
  <c r="B101" i="71"/>
  <c r="Z100" i="71"/>
  <c r="X100" i="71"/>
  <c r="V100" i="71"/>
  <c r="L100" i="71"/>
  <c r="N100" i="71" s="1"/>
  <c r="B100" i="71"/>
  <c r="T99" i="71"/>
  <c r="P99" i="71"/>
  <c r="J99" i="71"/>
  <c r="H99" i="71"/>
  <c r="D99" i="71"/>
  <c r="L99" i="71" s="1"/>
  <c r="N99" i="71" s="1"/>
  <c r="B99" i="71"/>
  <c r="Z98" i="71"/>
  <c r="X98" i="71"/>
  <c r="N98" i="71"/>
  <c r="L98" i="71"/>
  <c r="B98" i="71"/>
  <c r="Z97" i="71"/>
  <c r="V97" i="71"/>
  <c r="T97" i="71"/>
  <c r="P97" i="71"/>
  <c r="X97" i="71" s="1"/>
  <c r="L97" i="71"/>
  <c r="H97" i="71"/>
  <c r="N97" i="71" s="1"/>
  <c r="D97" i="71"/>
  <c r="B97" i="71"/>
  <c r="Z96" i="71"/>
  <c r="X96" i="71"/>
  <c r="N96" i="71"/>
  <c r="L96" i="71"/>
  <c r="J96" i="71"/>
  <c r="B96" i="71"/>
  <c r="Z95" i="71"/>
  <c r="X95" i="71"/>
  <c r="V95" i="71"/>
  <c r="N95" i="71"/>
  <c r="L95" i="71"/>
  <c r="B95" i="71"/>
  <c r="T94" i="71"/>
  <c r="P94" i="71"/>
  <c r="L94" i="71"/>
  <c r="N94" i="71" s="1"/>
  <c r="J94" i="71"/>
  <c r="H94" i="71"/>
  <c r="D94" i="71"/>
  <c r="B94" i="71"/>
  <c r="Z93" i="71"/>
  <c r="X93" i="71"/>
  <c r="N93" i="71"/>
  <c r="L93" i="71"/>
  <c r="J93" i="71"/>
  <c r="B93" i="71"/>
  <c r="V92" i="71"/>
  <c r="T92" i="71"/>
  <c r="P92" i="71"/>
  <c r="X92" i="71" s="1"/>
  <c r="Z92" i="71" s="1"/>
  <c r="H92" i="71"/>
  <c r="D92" i="71"/>
  <c r="B92" i="71"/>
  <c r="X91" i="71"/>
  <c r="Z91" i="71" s="1"/>
  <c r="N91" i="71"/>
  <c r="L91" i="71"/>
  <c r="J91" i="71"/>
  <c r="B91" i="71"/>
  <c r="Z90" i="71"/>
  <c r="V90" i="71"/>
  <c r="T90" i="71"/>
  <c r="P90" i="71"/>
  <c r="X90" i="71" s="1"/>
  <c r="L90" i="71"/>
  <c r="H90" i="71"/>
  <c r="D90" i="71"/>
  <c r="B90" i="71"/>
  <c r="Z89" i="71"/>
  <c r="X89" i="71"/>
  <c r="N89" i="71"/>
  <c r="L89" i="71"/>
  <c r="J89" i="71"/>
  <c r="B89" i="71"/>
  <c r="X88" i="71"/>
  <c r="Z88" i="71" s="1"/>
  <c r="V88" i="71"/>
  <c r="N88" i="71"/>
  <c r="L88" i="71"/>
  <c r="J88" i="71"/>
  <c r="B88" i="71"/>
  <c r="Z87" i="71"/>
  <c r="V87" i="71"/>
  <c r="T87" i="71"/>
  <c r="P87" i="71"/>
  <c r="X87" i="71" s="1"/>
  <c r="L87" i="71"/>
  <c r="H87" i="71"/>
  <c r="D87" i="71"/>
  <c r="B87" i="71"/>
  <c r="X86" i="71"/>
  <c r="Z86" i="71" s="1"/>
  <c r="N86" i="71"/>
  <c r="L86" i="71"/>
  <c r="J86" i="71"/>
  <c r="B86" i="71"/>
  <c r="V85" i="71"/>
  <c r="T85" i="71"/>
  <c r="P85" i="71"/>
  <c r="X85" i="71" s="1"/>
  <c r="Z85" i="71" s="1"/>
  <c r="H85" i="71"/>
  <c r="D85" i="71"/>
  <c r="L85" i="71" s="1"/>
  <c r="N85" i="71" s="1"/>
  <c r="B85" i="71"/>
  <c r="Z84" i="71"/>
  <c r="X84" i="71"/>
  <c r="N84" i="71"/>
  <c r="L84" i="71"/>
  <c r="J84" i="71"/>
  <c r="B84" i="71"/>
  <c r="Z83" i="71"/>
  <c r="X83" i="71"/>
  <c r="N83" i="71"/>
  <c r="L83" i="71"/>
  <c r="J83" i="71"/>
  <c r="B83" i="71"/>
  <c r="Z82" i="71"/>
  <c r="X82" i="71"/>
  <c r="V82" i="71"/>
  <c r="N82" i="71"/>
  <c r="L82" i="71"/>
  <c r="B82" i="71"/>
  <c r="Z81" i="71"/>
  <c r="X81" i="71"/>
  <c r="V81" i="71"/>
  <c r="N81" i="71"/>
  <c r="L81" i="71"/>
  <c r="B81" i="71"/>
  <c r="Z80" i="71"/>
  <c r="X80" i="71"/>
  <c r="N80" i="71"/>
  <c r="L80" i="71"/>
  <c r="J80" i="71"/>
  <c r="B80" i="71"/>
  <c r="X79" i="71"/>
  <c r="Z79" i="71" s="1"/>
  <c r="N79" i="71"/>
  <c r="L79" i="71"/>
  <c r="J79" i="71"/>
  <c r="B79" i="71"/>
  <c r="Z78" i="71"/>
  <c r="X78" i="71"/>
  <c r="N78" i="71"/>
  <c r="L78" i="71"/>
  <c r="B78" i="71"/>
  <c r="Z77" i="71"/>
  <c r="X77" i="71"/>
  <c r="V77" i="71"/>
  <c r="N77" i="71"/>
  <c r="L77" i="71"/>
  <c r="B77" i="71"/>
  <c r="X76" i="71"/>
  <c r="Z76" i="71" s="1"/>
  <c r="L76" i="71"/>
  <c r="N76" i="71" s="1"/>
  <c r="J76" i="71"/>
  <c r="B76" i="71"/>
  <c r="Z75" i="71"/>
  <c r="X75" i="71"/>
  <c r="N75" i="71"/>
  <c r="L75" i="71"/>
  <c r="J75" i="71"/>
  <c r="B75" i="71"/>
  <c r="V74" i="71"/>
  <c r="T74" i="71"/>
  <c r="P74" i="71"/>
  <c r="X74" i="71" s="1"/>
  <c r="Z74" i="71" s="1"/>
  <c r="L74" i="71"/>
  <c r="H74" i="71"/>
  <c r="D74" i="71"/>
  <c r="B74" i="71"/>
  <c r="X73" i="71"/>
  <c r="Z73" i="71" s="1"/>
  <c r="N73" i="71"/>
  <c r="L73" i="71"/>
  <c r="J73" i="71"/>
  <c r="B73" i="71"/>
  <c r="X72" i="71"/>
  <c r="Z72" i="71" s="1"/>
  <c r="V72" i="71"/>
  <c r="N72" i="71"/>
  <c r="L72" i="71"/>
  <c r="J72" i="71"/>
  <c r="B72" i="71"/>
  <c r="Z71" i="71"/>
  <c r="X71" i="71"/>
  <c r="V71" i="71"/>
  <c r="L71" i="71"/>
  <c r="N71" i="71" s="1"/>
  <c r="B71" i="71"/>
  <c r="Z70" i="71"/>
  <c r="X70" i="71"/>
  <c r="N70" i="71"/>
  <c r="L70" i="71"/>
  <c r="J70" i="71"/>
  <c r="B70" i="71"/>
  <c r="Z69" i="71"/>
  <c r="X69" i="71"/>
  <c r="N69" i="71"/>
  <c r="L69" i="71"/>
  <c r="J69" i="71"/>
  <c r="B69" i="71"/>
  <c r="X68" i="71"/>
  <c r="Z68" i="71" s="1"/>
  <c r="V68" i="71"/>
  <c r="N68" i="71"/>
  <c r="L68" i="71"/>
  <c r="J68" i="71"/>
  <c r="B68" i="71"/>
  <c r="Z67" i="71"/>
  <c r="X67" i="71"/>
  <c r="V67" i="71"/>
  <c r="N67" i="71"/>
  <c r="L67" i="71"/>
  <c r="B67" i="71"/>
  <c r="Z66" i="71"/>
  <c r="X66" i="71"/>
  <c r="L66" i="71"/>
  <c r="N66" i="71" s="1"/>
  <c r="J66" i="71"/>
  <c r="B66" i="71"/>
  <c r="X65" i="71"/>
  <c r="Z65" i="71" s="1"/>
  <c r="N65" i="71"/>
  <c r="L65" i="71"/>
  <c r="J65" i="71"/>
  <c r="B65" i="71"/>
  <c r="Z64" i="71"/>
  <c r="X64" i="71"/>
  <c r="V64" i="71"/>
  <c r="N64" i="71"/>
  <c r="L64" i="71"/>
  <c r="J64" i="71"/>
  <c r="B64" i="71"/>
  <c r="T63" i="71"/>
  <c r="V63" i="71" s="1"/>
  <c r="P63" i="71"/>
  <c r="H63" i="71"/>
  <c r="D63" i="71"/>
  <c r="B63" i="71"/>
  <c r="T62" i="71"/>
  <c r="X62" i="71" s="1"/>
  <c r="P62" i="71"/>
  <c r="H62" i="71"/>
  <c r="J62" i="71" s="1"/>
  <c r="D62" i="71"/>
  <c r="Z58" i="71"/>
  <c r="X58" i="71"/>
  <c r="N58" i="71"/>
  <c r="L58" i="71"/>
  <c r="J58" i="71"/>
  <c r="B58" i="71"/>
  <c r="Z57" i="71"/>
  <c r="X57" i="71"/>
  <c r="V57" i="71"/>
  <c r="N57" i="71"/>
  <c r="L57" i="71"/>
  <c r="J57" i="71"/>
  <c r="B57" i="71"/>
  <c r="Z56" i="71"/>
  <c r="X56" i="71"/>
  <c r="V56" i="71"/>
  <c r="N56" i="71"/>
  <c r="L56" i="71"/>
  <c r="B56" i="71"/>
  <c r="Z55" i="71"/>
  <c r="X55" i="71"/>
  <c r="N55" i="71"/>
  <c r="L55" i="71"/>
  <c r="J55" i="71"/>
  <c r="B55" i="71"/>
  <c r="Z54" i="71"/>
  <c r="X54" i="71"/>
  <c r="V54" i="71"/>
  <c r="N54" i="71"/>
  <c r="L54" i="71"/>
  <c r="J54" i="71"/>
  <c r="B54" i="71"/>
  <c r="Z53" i="71"/>
  <c r="X53" i="71"/>
  <c r="V53" i="71"/>
  <c r="N53" i="71"/>
  <c r="L53" i="71"/>
  <c r="J53" i="71"/>
  <c r="B53" i="71"/>
  <c r="Z52" i="71"/>
  <c r="X52" i="71"/>
  <c r="V52" i="71"/>
  <c r="N52" i="71"/>
  <c r="L52" i="71"/>
  <c r="B52" i="71"/>
  <c r="Z51" i="71"/>
  <c r="X51" i="71"/>
  <c r="N51" i="71"/>
  <c r="L51" i="71"/>
  <c r="J51" i="71"/>
  <c r="B51" i="71"/>
  <c r="Z50" i="71"/>
  <c r="X50" i="71"/>
  <c r="N50" i="71"/>
  <c r="L50" i="71"/>
  <c r="J50" i="71"/>
  <c r="B50" i="71"/>
  <c r="Z49" i="71"/>
  <c r="X49" i="71"/>
  <c r="V49" i="71"/>
  <c r="N49" i="71"/>
  <c r="L49" i="71"/>
  <c r="J49" i="71"/>
  <c r="B49" i="71"/>
  <c r="Z48" i="71"/>
  <c r="X48" i="71"/>
  <c r="V48" i="71"/>
  <c r="N48" i="71"/>
  <c r="L48" i="71"/>
  <c r="B48" i="71"/>
  <c r="Z47" i="71"/>
  <c r="X47" i="71"/>
  <c r="N47" i="71"/>
  <c r="L47" i="71"/>
  <c r="J47" i="71"/>
  <c r="B47" i="71"/>
  <c r="Z46" i="71"/>
  <c r="X46" i="71"/>
  <c r="V46" i="71"/>
  <c r="N46" i="71"/>
  <c r="L46" i="71"/>
  <c r="J46" i="71"/>
  <c r="B46" i="71"/>
  <c r="Z45" i="71"/>
  <c r="X45" i="71"/>
  <c r="V45" i="71"/>
  <c r="N45" i="71"/>
  <c r="L45" i="71"/>
  <c r="J45" i="71"/>
  <c r="B45" i="71"/>
  <c r="Z44" i="71"/>
  <c r="X44" i="71"/>
  <c r="V44" i="71"/>
  <c r="N44" i="71"/>
  <c r="L44" i="71"/>
  <c r="B44" i="71"/>
  <c r="Z43" i="71"/>
  <c r="X43" i="71"/>
  <c r="L43" i="71"/>
  <c r="N43" i="71" s="1"/>
  <c r="J43" i="71"/>
  <c r="B43" i="71"/>
  <c r="T42" i="71"/>
  <c r="P42" i="71"/>
  <c r="N42" i="71"/>
  <c r="J42" i="71"/>
  <c r="H42" i="71"/>
  <c r="H60" i="71" s="1"/>
  <c r="J60" i="71" s="1"/>
  <c r="D42" i="71"/>
  <c r="L42" i="71" s="1"/>
  <c r="Z40" i="71"/>
  <c r="X40" i="71"/>
  <c r="P40" i="71"/>
  <c r="N40" i="71"/>
  <c r="L40" i="71"/>
  <c r="D40" i="71"/>
  <c r="B40" i="71"/>
  <c r="Z39" i="71"/>
  <c r="X39" i="71"/>
  <c r="P39" i="71"/>
  <c r="N39" i="71"/>
  <c r="L39" i="71"/>
  <c r="D39" i="71"/>
  <c r="B39" i="71"/>
  <c r="Z38" i="71"/>
  <c r="X38" i="71"/>
  <c r="P38" i="71"/>
  <c r="N38" i="71"/>
  <c r="L38" i="71"/>
  <c r="D38" i="71"/>
  <c r="B38" i="71"/>
  <c r="Z37" i="71"/>
  <c r="P37" i="71"/>
  <c r="X37" i="71" s="1"/>
  <c r="N37" i="71"/>
  <c r="D37" i="71"/>
  <c r="L37" i="71" s="1"/>
  <c r="B37" i="71"/>
  <c r="Z36" i="71"/>
  <c r="P36" i="71"/>
  <c r="X36" i="71" s="1"/>
  <c r="N36" i="71"/>
  <c r="L36" i="71"/>
  <c r="D36" i="71"/>
  <c r="B36" i="71"/>
  <c r="Z35" i="71"/>
  <c r="P35" i="71"/>
  <c r="X35" i="71" s="1"/>
  <c r="N35" i="71"/>
  <c r="D35" i="71"/>
  <c r="L35" i="71" s="1"/>
  <c r="B35" i="71"/>
  <c r="Z34" i="71"/>
  <c r="P34" i="71"/>
  <c r="X34" i="71" s="1"/>
  <c r="N34" i="71"/>
  <c r="D34" i="71"/>
  <c r="L34" i="71" s="1"/>
  <c r="B34" i="71"/>
  <c r="Z33" i="71"/>
  <c r="X33" i="71"/>
  <c r="P33" i="71"/>
  <c r="N33" i="71"/>
  <c r="D33" i="71"/>
  <c r="L33" i="71" s="1"/>
  <c r="B33" i="71"/>
  <c r="Z32" i="71"/>
  <c r="X32" i="71"/>
  <c r="P32" i="71"/>
  <c r="N32" i="71"/>
  <c r="D32" i="71"/>
  <c r="L32" i="71" s="1"/>
  <c r="B32" i="71"/>
  <c r="Z31" i="71"/>
  <c r="X31" i="71"/>
  <c r="P31" i="71"/>
  <c r="N31" i="71"/>
  <c r="D31" i="71"/>
  <c r="L31" i="71" s="1"/>
  <c r="B31" i="71"/>
  <c r="Z30" i="71"/>
  <c r="X30" i="71"/>
  <c r="P30" i="71"/>
  <c r="N30" i="71"/>
  <c r="L30" i="71"/>
  <c r="D30" i="71"/>
  <c r="B30" i="71"/>
  <c r="Z29" i="71"/>
  <c r="X29" i="71"/>
  <c r="P29" i="71"/>
  <c r="N29" i="71"/>
  <c r="L29" i="71"/>
  <c r="D29" i="71"/>
  <c r="B29" i="71"/>
  <c r="Z28" i="71"/>
  <c r="X28" i="71"/>
  <c r="P28" i="71"/>
  <c r="N28" i="71"/>
  <c r="L28" i="71"/>
  <c r="D28" i="71"/>
  <c r="B28" i="71"/>
  <c r="Z27" i="71"/>
  <c r="P27" i="71"/>
  <c r="X27" i="71" s="1"/>
  <c r="N27" i="71"/>
  <c r="L27" i="71"/>
  <c r="D27" i="71"/>
  <c r="B27" i="71"/>
  <c r="Z26" i="71"/>
  <c r="P26" i="71"/>
  <c r="X26" i="71" s="1"/>
  <c r="N26" i="71"/>
  <c r="L26" i="71"/>
  <c r="D26" i="71"/>
  <c r="B26" i="71"/>
  <c r="Z25" i="71"/>
  <c r="P25" i="71"/>
  <c r="X25" i="71" s="1"/>
  <c r="N25" i="71"/>
  <c r="D25" i="71"/>
  <c r="L25" i="71" s="1"/>
  <c r="B25" i="71"/>
  <c r="Z24" i="71"/>
  <c r="P24" i="71"/>
  <c r="X24" i="71" s="1"/>
  <c r="N24" i="71"/>
  <c r="D24" i="71"/>
  <c r="L24" i="71" s="1"/>
  <c r="B24" i="71"/>
  <c r="Z23" i="71"/>
  <c r="P23" i="71"/>
  <c r="X23" i="71" s="1"/>
  <c r="N23" i="71"/>
  <c r="D23" i="71"/>
  <c r="L23" i="71" s="1"/>
  <c r="B23" i="71"/>
  <c r="Z22" i="71"/>
  <c r="P22" i="71"/>
  <c r="X22" i="71" s="1"/>
  <c r="N22" i="71"/>
  <c r="D22" i="71"/>
  <c r="L22" i="71" s="1"/>
  <c r="B22" i="71"/>
  <c r="X21" i="71"/>
  <c r="Z21" i="71" s="1"/>
  <c r="P21" i="71"/>
  <c r="D21" i="71"/>
  <c r="L21" i="71" s="1"/>
  <c r="N21" i="71" s="1"/>
  <c r="B21" i="71"/>
  <c r="Z20" i="71"/>
  <c r="X20" i="71"/>
  <c r="P20" i="71"/>
  <c r="N20" i="71"/>
  <c r="D20" i="71"/>
  <c r="L20" i="71" s="1"/>
  <c r="B20" i="71"/>
  <c r="Z19" i="71"/>
  <c r="P19" i="71"/>
  <c r="X19" i="71" s="1"/>
  <c r="N19" i="71"/>
  <c r="D19" i="71"/>
  <c r="B19" i="71"/>
  <c r="Z18" i="71"/>
  <c r="X18" i="71"/>
  <c r="P18" i="71"/>
  <c r="N18" i="71"/>
  <c r="L18" i="71"/>
  <c r="D18" i="71"/>
  <c r="B18" i="71"/>
  <c r="Z17" i="71"/>
  <c r="X17" i="71"/>
  <c r="P17" i="71"/>
  <c r="N17" i="71"/>
  <c r="L17" i="71"/>
  <c r="D17" i="71"/>
  <c r="B17" i="71"/>
  <c r="Z16" i="71"/>
  <c r="P16" i="71"/>
  <c r="X16" i="71" s="1"/>
  <c r="N16" i="71"/>
  <c r="L16" i="71"/>
  <c r="D16" i="71"/>
  <c r="B16" i="71"/>
  <c r="Z15" i="71"/>
  <c r="P15" i="71"/>
  <c r="X15" i="71" s="1"/>
  <c r="N15" i="71"/>
  <c r="L15" i="71"/>
  <c r="D15" i="71"/>
  <c r="B15" i="71"/>
  <c r="Z14" i="71"/>
  <c r="P14" i="71"/>
  <c r="X14" i="71" s="1"/>
  <c r="N14" i="71"/>
  <c r="L14" i="71"/>
  <c r="D14" i="71"/>
  <c r="B14" i="71"/>
  <c r="Z13" i="71"/>
  <c r="P13" i="71"/>
  <c r="N13" i="71"/>
  <c r="L13" i="71"/>
  <c r="D13" i="71"/>
  <c r="B13" i="71"/>
  <c r="T12" i="71"/>
  <c r="V111" i="71" s="1"/>
  <c r="H12" i="71"/>
  <c r="J122" i="71" s="1"/>
  <c r="D6" i="71"/>
  <c r="D4" i="71"/>
  <c r="Z81" i="70"/>
  <c r="X81" i="70"/>
  <c r="N81" i="70"/>
  <c r="L81" i="70"/>
  <c r="X77" i="70"/>
  <c r="T77" i="70"/>
  <c r="Z77" i="70" s="1"/>
  <c r="P77" i="70"/>
  <c r="N77" i="70"/>
  <c r="H77" i="70"/>
  <c r="D77" i="70"/>
  <c r="L77" i="70" s="1"/>
  <c r="X75" i="70"/>
  <c r="Z75" i="70" s="1"/>
  <c r="N75" i="70"/>
  <c r="L75" i="70"/>
  <c r="B75" i="70"/>
  <c r="T74" i="70"/>
  <c r="P74" i="70"/>
  <c r="N74" i="70"/>
  <c r="J74" i="70"/>
  <c r="H74" i="70"/>
  <c r="D74" i="70"/>
  <c r="L74" i="70" s="1"/>
  <c r="B74" i="70"/>
  <c r="Z73" i="70"/>
  <c r="X73" i="70"/>
  <c r="L73" i="70"/>
  <c r="N73" i="70" s="1"/>
  <c r="J73" i="70"/>
  <c r="B73" i="70"/>
  <c r="T72" i="70"/>
  <c r="P72" i="70"/>
  <c r="X72" i="70" s="1"/>
  <c r="Z72" i="70" s="1"/>
  <c r="H72" i="70"/>
  <c r="D72" i="70"/>
  <c r="L72" i="70" s="1"/>
  <c r="N72" i="70" s="1"/>
  <c r="B72" i="70"/>
  <c r="Z71" i="70"/>
  <c r="X71" i="70"/>
  <c r="L71" i="70"/>
  <c r="N71" i="70" s="1"/>
  <c r="B71" i="70"/>
  <c r="Z70" i="70"/>
  <c r="X70" i="70"/>
  <c r="N70" i="70"/>
  <c r="L70" i="70"/>
  <c r="B70" i="70"/>
  <c r="Z69" i="70"/>
  <c r="X69" i="70"/>
  <c r="N69" i="70"/>
  <c r="L69" i="70"/>
  <c r="B69" i="70"/>
  <c r="Z68" i="70"/>
  <c r="X68" i="70"/>
  <c r="T68" i="70"/>
  <c r="P68" i="70"/>
  <c r="H68" i="70"/>
  <c r="D68" i="70"/>
  <c r="B68" i="70"/>
  <c r="Z67" i="70"/>
  <c r="X67" i="70"/>
  <c r="N67" i="70"/>
  <c r="L67" i="70"/>
  <c r="B67" i="70"/>
  <c r="Z66" i="70"/>
  <c r="X66" i="70"/>
  <c r="N66" i="70"/>
  <c r="L66" i="70"/>
  <c r="B66" i="70"/>
  <c r="X65" i="70"/>
  <c r="Z65" i="70" s="1"/>
  <c r="N65" i="70"/>
  <c r="L65" i="70"/>
  <c r="B65" i="70"/>
  <c r="T64" i="70"/>
  <c r="P64" i="70"/>
  <c r="X64" i="70" s="1"/>
  <c r="L64" i="70"/>
  <c r="J64" i="70"/>
  <c r="H64" i="70"/>
  <c r="F64" i="70"/>
  <c r="D64" i="70"/>
  <c r="B64" i="70"/>
  <c r="Z63" i="70"/>
  <c r="X63" i="70"/>
  <c r="N63" i="70"/>
  <c r="L63" i="70"/>
  <c r="J63" i="70"/>
  <c r="B63" i="70"/>
  <c r="Z62" i="70"/>
  <c r="X62" i="70"/>
  <c r="N62" i="70"/>
  <c r="L62" i="70"/>
  <c r="B62" i="70"/>
  <c r="Z61" i="70"/>
  <c r="X61" i="70"/>
  <c r="T61" i="70"/>
  <c r="P61" i="70"/>
  <c r="N61" i="70"/>
  <c r="L61" i="70"/>
  <c r="H61" i="70"/>
  <c r="D61" i="70"/>
  <c r="B61" i="70"/>
  <c r="Z60" i="70"/>
  <c r="X60" i="70"/>
  <c r="L60" i="70"/>
  <c r="N60" i="70" s="1"/>
  <c r="B60" i="70"/>
  <c r="T59" i="70"/>
  <c r="P59" i="70"/>
  <c r="H59" i="70"/>
  <c r="L59" i="70" s="1"/>
  <c r="N59" i="70" s="1"/>
  <c r="D59" i="70"/>
  <c r="B59" i="70"/>
  <c r="Z58" i="70"/>
  <c r="X58" i="70"/>
  <c r="N58" i="70"/>
  <c r="L58" i="70"/>
  <c r="B58" i="70"/>
  <c r="Z57" i="70"/>
  <c r="T57" i="70"/>
  <c r="P57" i="70"/>
  <c r="X57" i="70" s="1"/>
  <c r="N57" i="70"/>
  <c r="L57" i="70"/>
  <c r="J57" i="70"/>
  <c r="H57" i="70"/>
  <c r="D57" i="70"/>
  <c r="B57" i="70"/>
  <c r="Z56" i="70"/>
  <c r="X56" i="70"/>
  <c r="N56" i="70"/>
  <c r="L56" i="70"/>
  <c r="J56" i="70"/>
  <c r="B56" i="70"/>
  <c r="Z55" i="70"/>
  <c r="X55" i="70"/>
  <c r="T55" i="70"/>
  <c r="P55" i="70"/>
  <c r="N55" i="70"/>
  <c r="L55" i="70"/>
  <c r="H55" i="70"/>
  <c r="D55" i="70"/>
  <c r="B55" i="70"/>
  <c r="X54" i="70"/>
  <c r="Z54" i="70" s="1"/>
  <c r="L54" i="70"/>
  <c r="N54" i="70" s="1"/>
  <c r="J54" i="70"/>
  <c r="B54" i="70"/>
  <c r="Z53" i="70"/>
  <c r="X53" i="70"/>
  <c r="N53" i="70"/>
  <c r="L53" i="70"/>
  <c r="J53" i="70"/>
  <c r="B53" i="70"/>
  <c r="T52" i="70"/>
  <c r="P52" i="70"/>
  <c r="X52" i="70" s="1"/>
  <c r="Z52" i="70" s="1"/>
  <c r="H52" i="70"/>
  <c r="D52" i="70"/>
  <c r="L52" i="70" s="1"/>
  <c r="B52" i="70"/>
  <c r="X51" i="70"/>
  <c r="Z51" i="70" s="1"/>
  <c r="N51" i="70"/>
  <c r="L51" i="70"/>
  <c r="B51" i="70"/>
  <c r="X50" i="70"/>
  <c r="T50" i="70"/>
  <c r="P50" i="70"/>
  <c r="L50" i="70"/>
  <c r="H50" i="70"/>
  <c r="N50" i="70" s="1"/>
  <c r="D50" i="70"/>
  <c r="B50" i="70"/>
  <c r="Z49" i="70"/>
  <c r="X49" i="70"/>
  <c r="R49" i="70"/>
  <c r="N49" i="70"/>
  <c r="L49" i="70"/>
  <c r="J49" i="70"/>
  <c r="B49" i="70"/>
  <c r="T48" i="70"/>
  <c r="P48" i="70"/>
  <c r="N48" i="70"/>
  <c r="H48" i="70"/>
  <c r="L48" i="70" s="1"/>
  <c r="D48" i="70"/>
  <c r="B48" i="70"/>
  <c r="Z47" i="70"/>
  <c r="X47" i="70"/>
  <c r="N47" i="70"/>
  <c r="L47" i="70"/>
  <c r="J47" i="70"/>
  <c r="B47" i="70"/>
  <c r="T46" i="70"/>
  <c r="Z46" i="70" s="1"/>
  <c r="P46" i="70"/>
  <c r="X46" i="70" s="1"/>
  <c r="N46" i="70"/>
  <c r="J46" i="70"/>
  <c r="H46" i="70"/>
  <c r="D46" i="70"/>
  <c r="L46" i="70" s="1"/>
  <c r="B46" i="70"/>
  <c r="Z45" i="70"/>
  <c r="X45" i="70"/>
  <c r="N45" i="70"/>
  <c r="L45" i="70"/>
  <c r="F45" i="70"/>
  <c r="B45" i="70"/>
  <c r="Z44" i="70"/>
  <c r="X44" i="70"/>
  <c r="N44" i="70"/>
  <c r="L44" i="70"/>
  <c r="F44" i="70"/>
  <c r="B44" i="70"/>
  <c r="X43" i="70"/>
  <c r="Z43" i="70" s="1"/>
  <c r="N43" i="70"/>
  <c r="L43" i="70"/>
  <c r="B43" i="70"/>
  <c r="X42" i="70"/>
  <c r="Z42" i="70" s="1"/>
  <c r="N42" i="70"/>
  <c r="L42" i="70"/>
  <c r="B42" i="70"/>
  <c r="Z41" i="70"/>
  <c r="X41" i="70"/>
  <c r="N41" i="70"/>
  <c r="L41" i="70"/>
  <c r="B41" i="70"/>
  <c r="Z40" i="70"/>
  <c r="X40" i="70"/>
  <c r="N40" i="70"/>
  <c r="L40" i="70"/>
  <c r="F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N37" i="70"/>
  <c r="L37" i="70"/>
  <c r="J37" i="70"/>
  <c r="B37" i="70"/>
  <c r="X36" i="70"/>
  <c r="Z36" i="70" s="1"/>
  <c r="L36" i="70"/>
  <c r="N36" i="70" s="1"/>
  <c r="B36" i="70"/>
  <c r="X35" i="70"/>
  <c r="Z35" i="70" s="1"/>
  <c r="T35" i="70"/>
  <c r="P35" i="70"/>
  <c r="J35" i="70"/>
  <c r="H35" i="70"/>
  <c r="F35" i="70"/>
  <c r="D35" i="70"/>
  <c r="L35" i="70" s="1"/>
  <c r="N35" i="70" s="1"/>
  <c r="B35" i="70"/>
  <c r="Z34" i="70"/>
  <c r="X34" i="70"/>
  <c r="N34" i="70"/>
  <c r="L34" i="70"/>
  <c r="B34" i="70"/>
  <c r="Z33" i="70"/>
  <c r="X33" i="70"/>
  <c r="N33" i="70"/>
  <c r="L33" i="70"/>
  <c r="J33" i="70"/>
  <c r="B33" i="70"/>
  <c r="X32" i="70"/>
  <c r="Z32" i="70" s="1"/>
  <c r="N32" i="70"/>
  <c r="L32" i="70"/>
  <c r="J32" i="70"/>
  <c r="B32" i="70"/>
  <c r="Z31" i="70"/>
  <c r="X31" i="70"/>
  <c r="N31" i="70"/>
  <c r="L31" i="70"/>
  <c r="J31" i="70"/>
  <c r="B31" i="70"/>
  <c r="Z30" i="70"/>
  <c r="X30" i="70"/>
  <c r="L30" i="70"/>
  <c r="N30" i="70" s="1"/>
  <c r="B30" i="70"/>
  <c r="X29" i="70"/>
  <c r="Z29" i="70" s="1"/>
  <c r="N29" i="70"/>
  <c r="L29" i="70"/>
  <c r="J29" i="70"/>
  <c r="B29" i="70"/>
  <c r="X28" i="70"/>
  <c r="Z28" i="70" s="1"/>
  <c r="N28" i="70"/>
  <c r="L28" i="70"/>
  <c r="J28" i="70"/>
  <c r="B28" i="70"/>
  <c r="Z27" i="70"/>
  <c r="X27" i="70"/>
  <c r="N27" i="70"/>
  <c r="L27" i="70"/>
  <c r="J27" i="70"/>
  <c r="B27" i="70"/>
  <c r="Z26" i="70"/>
  <c r="X26" i="70"/>
  <c r="L26" i="70"/>
  <c r="N26" i="70" s="1"/>
  <c r="B26" i="70"/>
  <c r="Z25" i="70"/>
  <c r="X25" i="70"/>
  <c r="T25" i="70"/>
  <c r="P25" i="70"/>
  <c r="N25" i="70"/>
  <c r="L25" i="70"/>
  <c r="J25" i="70"/>
  <c r="H25" i="70"/>
  <c r="D25" i="70"/>
  <c r="B25" i="70"/>
  <c r="T24" i="70"/>
  <c r="Z24" i="70" s="1"/>
  <c r="P24" i="70"/>
  <c r="X24" i="70" s="1"/>
  <c r="H24" i="70"/>
  <c r="D24" i="70"/>
  <c r="L24" i="70" s="1"/>
  <c r="Z20" i="70"/>
  <c r="X20" i="70"/>
  <c r="N20" i="70"/>
  <c r="L20" i="70"/>
  <c r="B20" i="70"/>
  <c r="Z19" i="70"/>
  <c r="X19" i="70"/>
  <c r="N19" i="70"/>
  <c r="L19" i="70"/>
  <c r="J19" i="70"/>
  <c r="B19" i="70"/>
  <c r="X18" i="70"/>
  <c r="Z18" i="70" s="1"/>
  <c r="L18" i="70"/>
  <c r="N18" i="70" s="1"/>
  <c r="J18" i="70"/>
  <c r="B18" i="70"/>
  <c r="T17" i="70"/>
  <c r="X17" i="70" s="1"/>
  <c r="Z17" i="70" s="1"/>
  <c r="P17" i="70"/>
  <c r="H17" i="70"/>
  <c r="D17" i="70"/>
  <c r="Z15" i="70"/>
  <c r="P15" i="70"/>
  <c r="X15" i="70" s="1"/>
  <c r="N15" i="70"/>
  <c r="L15" i="70"/>
  <c r="D15" i="70"/>
  <c r="B15" i="70"/>
  <c r="X14" i="70"/>
  <c r="Z14" i="70" s="1"/>
  <c r="P14" i="70"/>
  <c r="P12" i="70" s="1"/>
  <c r="L14" i="70"/>
  <c r="N14" i="70" s="1"/>
  <c r="D14" i="70"/>
  <c r="D12" i="70" s="1"/>
  <c r="F41" i="70" s="1"/>
  <c r="B14" i="70"/>
  <c r="Z13" i="70"/>
  <c r="P13" i="70"/>
  <c r="X13" i="70" s="1"/>
  <c r="N13" i="70"/>
  <c r="L13" i="70"/>
  <c r="D13" i="70"/>
  <c r="B13" i="70"/>
  <c r="T12" i="70"/>
  <c r="H12" i="70"/>
  <c r="J61" i="70" s="1"/>
  <c r="D6" i="70"/>
  <c r="D4" i="70"/>
  <c r="X124" i="69"/>
  <c r="Z124" i="69" s="1"/>
  <c r="V124" i="69"/>
  <c r="N124" i="69"/>
  <c r="L124" i="69"/>
  <c r="Z120" i="69"/>
  <c r="X120" i="69"/>
  <c r="P120" i="69"/>
  <c r="N120" i="69"/>
  <c r="L120" i="69"/>
  <c r="D120" i="69"/>
  <c r="D119" i="69" s="1"/>
  <c r="L119" i="69" s="1"/>
  <c r="B120" i="69"/>
  <c r="Z119" i="69"/>
  <c r="X119" i="69"/>
  <c r="T119" i="69"/>
  <c r="P119" i="69"/>
  <c r="N119" i="69"/>
  <c r="H119" i="69"/>
  <c r="Z117" i="69"/>
  <c r="X117" i="69"/>
  <c r="N117" i="69"/>
  <c r="L117" i="69"/>
  <c r="J117" i="69"/>
  <c r="B117" i="69"/>
  <c r="T116" i="69"/>
  <c r="X116" i="69" s="1"/>
  <c r="Z116" i="69" s="1"/>
  <c r="P116" i="69"/>
  <c r="H116" i="69"/>
  <c r="D116" i="69"/>
  <c r="B116" i="69"/>
  <c r="Z115" i="69"/>
  <c r="X115" i="69"/>
  <c r="N115" i="69"/>
  <c r="L115" i="69"/>
  <c r="J115" i="69"/>
  <c r="B115" i="69"/>
  <c r="Z114" i="69"/>
  <c r="T114" i="69"/>
  <c r="P114" i="69"/>
  <c r="X114" i="69" s="1"/>
  <c r="H114" i="69"/>
  <c r="N114" i="69" s="1"/>
  <c r="D114" i="69"/>
  <c r="L114" i="69" s="1"/>
  <c r="B114" i="69"/>
  <c r="Z113" i="69"/>
  <c r="X113" i="69"/>
  <c r="N113" i="69"/>
  <c r="L113" i="69"/>
  <c r="B113" i="69"/>
  <c r="X112" i="69"/>
  <c r="Z112" i="69" s="1"/>
  <c r="N112" i="69"/>
  <c r="L112" i="69"/>
  <c r="B112" i="69"/>
  <c r="T111" i="69"/>
  <c r="P111" i="69"/>
  <c r="X111" i="69" s="1"/>
  <c r="Z111" i="69" s="1"/>
  <c r="L111" i="69"/>
  <c r="N111" i="69" s="1"/>
  <c r="H111" i="69"/>
  <c r="D111" i="69"/>
  <c r="B111" i="69"/>
  <c r="X110" i="69"/>
  <c r="Z110" i="69" s="1"/>
  <c r="N110" i="69"/>
  <c r="L110" i="69"/>
  <c r="J110" i="69"/>
  <c r="B110" i="69"/>
  <c r="Z109" i="69"/>
  <c r="X109" i="69"/>
  <c r="N109" i="69"/>
  <c r="L109" i="69"/>
  <c r="J109" i="69"/>
  <c r="B109" i="69"/>
  <c r="T108" i="69"/>
  <c r="X108" i="69" s="1"/>
  <c r="Z108" i="69" s="1"/>
  <c r="P108" i="69"/>
  <c r="H108" i="69"/>
  <c r="D108" i="69"/>
  <c r="B108" i="69"/>
  <c r="Z107" i="69"/>
  <c r="X107" i="69"/>
  <c r="N107" i="69"/>
  <c r="L107" i="69"/>
  <c r="J107" i="69"/>
  <c r="B107" i="69"/>
  <c r="Z106" i="69"/>
  <c r="X106" i="69"/>
  <c r="V106" i="69"/>
  <c r="N106" i="69"/>
  <c r="L106" i="69"/>
  <c r="B106" i="69"/>
  <c r="T105" i="69"/>
  <c r="P105" i="69"/>
  <c r="N105" i="69"/>
  <c r="L105" i="69"/>
  <c r="J105" i="69"/>
  <c r="H105" i="69"/>
  <c r="D105" i="69"/>
  <c r="B105" i="69"/>
  <c r="X104" i="69"/>
  <c r="Z104" i="69" s="1"/>
  <c r="V104" i="69"/>
  <c r="N104" i="69"/>
  <c r="L104" i="69"/>
  <c r="B104" i="69"/>
  <c r="T103" i="69"/>
  <c r="P103" i="69"/>
  <c r="X103" i="69" s="1"/>
  <c r="Z103" i="69" s="1"/>
  <c r="L103" i="69"/>
  <c r="N103" i="69" s="1"/>
  <c r="H103" i="69"/>
  <c r="D103" i="69"/>
  <c r="B103" i="69"/>
  <c r="X102" i="69"/>
  <c r="Z102" i="69" s="1"/>
  <c r="N102" i="69"/>
  <c r="L102" i="69"/>
  <c r="J102" i="69"/>
  <c r="B102" i="69"/>
  <c r="Z101" i="69"/>
  <c r="X101" i="69"/>
  <c r="T101" i="69"/>
  <c r="P101" i="69"/>
  <c r="L101" i="69"/>
  <c r="H101" i="69"/>
  <c r="N101" i="69" s="1"/>
  <c r="D101" i="69"/>
  <c r="B101" i="69"/>
  <c r="X100" i="69"/>
  <c r="Z100" i="69" s="1"/>
  <c r="L100" i="69"/>
  <c r="N100" i="69" s="1"/>
  <c r="J100" i="69"/>
  <c r="B100" i="69"/>
  <c r="Z99" i="69"/>
  <c r="X99" i="69"/>
  <c r="T99" i="69"/>
  <c r="P99" i="69"/>
  <c r="J99" i="69"/>
  <c r="H99" i="69"/>
  <c r="D99" i="69"/>
  <c r="L99" i="69" s="1"/>
  <c r="B99" i="69"/>
  <c r="Z98" i="69"/>
  <c r="X98" i="69"/>
  <c r="N98" i="69"/>
  <c r="L98" i="69"/>
  <c r="B98" i="69"/>
  <c r="X97" i="69"/>
  <c r="Z97" i="69" s="1"/>
  <c r="N97" i="69"/>
  <c r="L97" i="69"/>
  <c r="B97" i="69"/>
  <c r="X96" i="69"/>
  <c r="V96" i="69"/>
  <c r="T96" i="69"/>
  <c r="P96" i="69"/>
  <c r="L96" i="69"/>
  <c r="H96" i="69"/>
  <c r="N96" i="69" s="1"/>
  <c r="D96" i="69"/>
  <c r="B96" i="69"/>
  <c r="Z95" i="69"/>
  <c r="X95" i="69"/>
  <c r="N95" i="69"/>
  <c r="L95" i="69"/>
  <c r="J95" i="69"/>
  <c r="B95" i="69"/>
  <c r="T94" i="69"/>
  <c r="P94" i="69"/>
  <c r="N94" i="69"/>
  <c r="H94" i="69"/>
  <c r="L94" i="69" s="1"/>
  <c r="D94" i="69"/>
  <c r="B94" i="69"/>
  <c r="Z93" i="69"/>
  <c r="X93" i="69"/>
  <c r="V93" i="69"/>
  <c r="L93" i="69"/>
  <c r="N93" i="69" s="1"/>
  <c r="J93" i="69"/>
  <c r="B93" i="69"/>
  <c r="T92" i="69"/>
  <c r="Z92" i="69" s="1"/>
  <c r="P92" i="69"/>
  <c r="X92" i="69" s="1"/>
  <c r="N92" i="69"/>
  <c r="J92" i="69"/>
  <c r="H92" i="69"/>
  <c r="D92" i="69"/>
  <c r="L92" i="69" s="1"/>
  <c r="B92" i="69"/>
  <c r="Z91" i="69"/>
  <c r="X91" i="69"/>
  <c r="N91" i="69"/>
  <c r="L91" i="69"/>
  <c r="B91" i="69"/>
  <c r="Z90" i="69"/>
  <c r="X90" i="69"/>
  <c r="N90" i="69"/>
  <c r="L90" i="69"/>
  <c r="B90" i="69"/>
  <c r="X89" i="69"/>
  <c r="Z89" i="69" s="1"/>
  <c r="N89" i="69"/>
  <c r="L89" i="69"/>
  <c r="B89" i="69"/>
  <c r="X88" i="69"/>
  <c r="Z88" i="69" s="1"/>
  <c r="V88" i="69"/>
  <c r="N88" i="69"/>
  <c r="L88" i="69"/>
  <c r="B88" i="69"/>
  <c r="Z87" i="69"/>
  <c r="X87" i="69"/>
  <c r="N87" i="69"/>
  <c r="L87" i="69"/>
  <c r="B87" i="69"/>
  <c r="Z86" i="69"/>
  <c r="X86" i="69"/>
  <c r="N86" i="69"/>
  <c r="L86" i="69"/>
  <c r="B86" i="69"/>
  <c r="Z85" i="69"/>
  <c r="X85" i="69"/>
  <c r="N85" i="69"/>
  <c r="L85" i="69"/>
  <c r="B85" i="69"/>
  <c r="Z84" i="69"/>
  <c r="X84" i="69"/>
  <c r="V84" i="69"/>
  <c r="N84" i="69"/>
  <c r="L84" i="69"/>
  <c r="B84" i="69"/>
  <c r="Z83" i="69"/>
  <c r="X83" i="69"/>
  <c r="N83" i="69"/>
  <c r="L83" i="69"/>
  <c r="B83" i="69"/>
  <c r="X82" i="69"/>
  <c r="Z82" i="69" s="1"/>
  <c r="L82" i="69"/>
  <c r="N82" i="69" s="1"/>
  <c r="B82" i="69"/>
  <c r="X81" i="69"/>
  <c r="Z81" i="69" s="1"/>
  <c r="T81" i="69"/>
  <c r="P81" i="69"/>
  <c r="J81" i="69"/>
  <c r="H81" i="69"/>
  <c r="D81" i="69"/>
  <c r="L81" i="69" s="1"/>
  <c r="N81" i="69" s="1"/>
  <c r="B81" i="69"/>
  <c r="Z80" i="69"/>
  <c r="X80" i="69"/>
  <c r="N80" i="69"/>
  <c r="L80" i="69"/>
  <c r="B80" i="69"/>
  <c r="X79" i="69"/>
  <c r="Z79" i="69" s="1"/>
  <c r="N79" i="69"/>
  <c r="L79" i="69"/>
  <c r="J79" i="69"/>
  <c r="B79" i="69"/>
  <c r="X78" i="69"/>
  <c r="Z78" i="69" s="1"/>
  <c r="N78" i="69"/>
  <c r="L78" i="69"/>
  <c r="J78" i="69"/>
  <c r="B78" i="69"/>
  <c r="Z77" i="69"/>
  <c r="X77" i="69"/>
  <c r="N77" i="69"/>
  <c r="L77" i="69"/>
  <c r="J77" i="69"/>
  <c r="B77" i="69"/>
  <c r="Z76" i="69"/>
  <c r="X76" i="69"/>
  <c r="L76" i="69"/>
  <c r="N76" i="69" s="1"/>
  <c r="B76" i="69"/>
  <c r="Z75" i="69"/>
  <c r="X75" i="69"/>
  <c r="N75" i="69"/>
  <c r="L75" i="69"/>
  <c r="J75" i="69"/>
  <c r="B75" i="69"/>
  <c r="X74" i="69"/>
  <c r="Z74" i="69" s="1"/>
  <c r="N74" i="69"/>
  <c r="L74" i="69"/>
  <c r="J74" i="69"/>
  <c r="B74" i="69"/>
  <c r="Z73" i="69"/>
  <c r="X73" i="69"/>
  <c r="N73" i="69"/>
  <c r="L73" i="69"/>
  <c r="J73" i="69"/>
  <c r="B73" i="69"/>
  <c r="Z72" i="69"/>
  <c r="X72" i="69"/>
  <c r="L72" i="69"/>
  <c r="N72" i="69" s="1"/>
  <c r="B72" i="69"/>
  <c r="Z71" i="69"/>
  <c r="X71" i="69"/>
  <c r="T71" i="69"/>
  <c r="P71" i="69"/>
  <c r="N71" i="69"/>
  <c r="L71" i="69"/>
  <c r="H71" i="69"/>
  <c r="D71" i="69"/>
  <c r="B71" i="69"/>
  <c r="T70" i="69"/>
  <c r="V70" i="69" s="1"/>
  <c r="P70" i="69"/>
  <c r="X70" i="69" s="1"/>
  <c r="Z70" i="69" s="1"/>
  <c r="H70" i="69"/>
  <c r="D70" i="69"/>
  <c r="L70" i="69" s="1"/>
  <c r="H68" i="69"/>
  <c r="Z66" i="69"/>
  <c r="X66" i="69"/>
  <c r="V66" i="69"/>
  <c r="N66" i="69"/>
  <c r="L66" i="69"/>
  <c r="B66" i="69"/>
  <c r="Z65" i="69"/>
  <c r="X65" i="69"/>
  <c r="V65" i="69"/>
  <c r="N65" i="69"/>
  <c r="L65" i="69"/>
  <c r="J65" i="69"/>
  <c r="B65" i="69"/>
  <c r="Z64" i="69"/>
  <c r="X64" i="69"/>
  <c r="N64" i="69"/>
  <c r="L64" i="69"/>
  <c r="J64" i="69"/>
  <c r="B64" i="69"/>
  <c r="Z63" i="69"/>
  <c r="X63" i="69"/>
  <c r="V63" i="69"/>
  <c r="N63" i="69"/>
  <c r="L63" i="69"/>
  <c r="J63" i="69"/>
  <c r="B63" i="69"/>
  <c r="Z62" i="69"/>
  <c r="X62" i="69"/>
  <c r="V62" i="69"/>
  <c r="N62" i="69"/>
  <c r="L62" i="69"/>
  <c r="B62" i="69"/>
  <c r="Z61" i="69"/>
  <c r="X61" i="69"/>
  <c r="N61" i="69"/>
  <c r="L61" i="69"/>
  <c r="J61" i="69"/>
  <c r="B61" i="69"/>
  <c r="Z60" i="69"/>
  <c r="X60" i="69"/>
  <c r="N60" i="69"/>
  <c r="L60" i="69"/>
  <c r="J60" i="69"/>
  <c r="B60" i="69"/>
  <c r="Z59" i="69"/>
  <c r="X59" i="69"/>
  <c r="N59" i="69"/>
  <c r="L59" i="69"/>
  <c r="J59" i="69"/>
  <c r="B59" i="69"/>
  <c r="Z58" i="69"/>
  <c r="X58" i="69"/>
  <c r="V58" i="69"/>
  <c r="N58" i="69"/>
  <c r="L58" i="69"/>
  <c r="B58" i="69"/>
  <c r="Z57" i="69"/>
  <c r="X57" i="69"/>
  <c r="V57" i="69"/>
  <c r="N57" i="69"/>
  <c r="L57" i="69"/>
  <c r="J57" i="69"/>
  <c r="B57" i="69"/>
  <c r="Z56" i="69"/>
  <c r="X56" i="69"/>
  <c r="N56" i="69"/>
  <c r="L56" i="69"/>
  <c r="J56" i="69"/>
  <c r="B56" i="69"/>
  <c r="Z55" i="69"/>
  <c r="X55" i="69"/>
  <c r="V55" i="69"/>
  <c r="N55" i="69"/>
  <c r="L55" i="69"/>
  <c r="J55" i="69"/>
  <c r="B55" i="69"/>
  <c r="Z54" i="69"/>
  <c r="X54" i="69"/>
  <c r="N54" i="69"/>
  <c r="L54" i="69"/>
  <c r="B54" i="69"/>
  <c r="Z53" i="69"/>
  <c r="X53" i="69"/>
  <c r="V53" i="69"/>
  <c r="N53" i="69"/>
  <c r="L53" i="69"/>
  <c r="J53" i="69"/>
  <c r="B53" i="69"/>
  <c r="Z52" i="69"/>
  <c r="X52" i="69"/>
  <c r="N52" i="69"/>
  <c r="L52" i="69"/>
  <c r="J52" i="69"/>
  <c r="B52" i="69"/>
  <c r="Z51" i="69"/>
  <c r="X51" i="69"/>
  <c r="V51" i="69"/>
  <c r="N51" i="69"/>
  <c r="L51" i="69"/>
  <c r="J51" i="69"/>
  <c r="B51" i="69"/>
  <c r="Z50" i="69"/>
  <c r="X50" i="69"/>
  <c r="V50" i="69"/>
  <c r="N50" i="69"/>
  <c r="L50" i="69"/>
  <c r="B50" i="69"/>
  <c r="Z49" i="69"/>
  <c r="X49" i="69"/>
  <c r="V49" i="69"/>
  <c r="N49" i="69"/>
  <c r="L49" i="69"/>
  <c r="J49" i="69"/>
  <c r="B49" i="69"/>
  <c r="Z48" i="69"/>
  <c r="X48" i="69"/>
  <c r="N48" i="69"/>
  <c r="L48" i="69"/>
  <c r="J48" i="69"/>
  <c r="B48" i="69"/>
  <c r="Z47" i="69"/>
  <c r="X47" i="69"/>
  <c r="V47" i="69"/>
  <c r="N47" i="69"/>
  <c r="L47" i="69"/>
  <c r="J47" i="69"/>
  <c r="B47" i="69"/>
  <c r="Z46" i="69"/>
  <c r="X46" i="69"/>
  <c r="V46" i="69"/>
  <c r="L46" i="69"/>
  <c r="N46" i="69" s="1"/>
  <c r="B46" i="69"/>
  <c r="V45" i="69"/>
  <c r="T45" i="69"/>
  <c r="P45" i="69"/>
  <c r="X45" i="69" s="1"/>
  <c r="J45" i="69"/>
  <c r="H45" i="69"/>
  <c r="L45" i="69" s="1"/>
  <c r="N45" i="69" s="1"/>
  <c r="D45" i="69"/>
  <c r="Z43" i="69"/>
  <c r="P43" i="69"/>
  <c r="X43" i="69" s="1"/>
  <c r="N43" i="69"/>
  <c r="D43" i="69"/>
  <c r="L43" i="69" s="1"/>
  <c r="B43" i="69"/>
  <c r="Z42" i="69"/>
  <c r="X42" i="69"/>
  <c r="P42" i="69"/>
  <c r="N42" i="69"/>
  <c r="D42" i="69"/>
  <c r="L42" i="69" s="1"/>
  <c r="B42" i="69"/>
  <c r="Z41" i="69"/>
  <c r="X41" i="69"/>
  <c r="P41" i="69"/>
  <c r="N41" i="69"/>
  <c r="L41" i="69"/>
  <c r="D41" i="69"/>
  <c r="B41" i="69"/>
  <c r="Z40" i="69"/>
  <c r="X40" i="69"/>
  <c r="P40" i="69"/>
  <c r="N40" i="69"/>
  <c r="D40" i="69"/>
  <c r="L40" i="69" s="1"/>
  <c r="B40" i="69"/>
  <c r="Z39" i="69"/>
  <c r="X39" i="69"/>
  <c r="P39" i="69"/>
  <c r="N39" i="69"/>
  <c r="L39" i="69"/>
  <c r="D39" i="69"/>
  <c r="B39" i="69"/>
  <c r="Z38" i="69"/>
  <c r="X38" i="69"/>
  <c r="P38" i="69"/>
  <c r="N38" i="69"/>
  <c r="L38" i="69"/>
  <c r="D38" i="69"/>
  <c r="B38" i="69"/>
  <c r="Z37" i="69"/>
  <c r="P37" i="69"/>
  <c r="X37" i="69" s="1"/>
  <c r="N37" i="69"/>
  <c r="L37" i="69"/>
  <c r="D37" i="69"/>
  <c r="B37" i="69"/>
  <c r="Z36" i="69"/>
  <c r="P36" i="69"/>
  <c r="X36" i="69" s="1"/>
  <c r="N36" i="69"/>
  <c r="L36" i="69"/>
  <c r="D36" i="69"/>
  <c r="B36" i="69"/>
  <c r="Z35" i="69"/>
  <c r="P35" i="69"/>
  <c r="X35" i="69" s="1"/>
  <c r="N35" i="69"/>
  <c r="L35" i="69"/>
  <c r="D35" i="69"/>
  <c r="B35" i="69"/>
  <c r="Z34" i="69"/>
  <c r="P34" i="69"/>
  <c r="X34" i="69" s="1"/>
  <c r="N34" i="69"/>
  <c r="D34" i="69"/>
  <c r="L34" i="69" s="1"/>
  <c r="B34" i="69"/>
  <c r="Z33" i="69"/>
  <c r="P33" i="69"/>
  <c r="X33" i="69" s="1"/>
  <c r="N33" i="69"/>
  <c r="D33" i="69"/>
  <c r="L33" i="69" s="1"/>
  <c r="B33" i="69"/>
  <c r="Z32" i="69"/>
  <c r="X32" i="69"/>
  <c r="P32" i="69"/>
  <c r="N32" i="69"/>
  <c r="D32" i="69"/>
  <c r="L32" i="69" s="1"/>
  <c r="B32" i="69"/>
  <c r="Z31" i="69"/>
  <c r="P31" i="69"/>
  <c r="X31" i="69" s="1"/>
  <c r="N31" i="69"/>
  <c r="D31" i="69"/>
  <c r="L31" i="69" s="1"/>
  <c r="B31" i="69"/>
  <c r="Z30" i="69"/>
  <c r="X30" i="69"/>
  <c r="P30" i="69"/>
  <c r="N30" i="69"/>
  <c r="D30" i="69"/>
  <c r="L30" i="69" s="1"/>
  <c r="B30" i="69"/>
  <c r="X29" i="69"/>
  <c r="Z29" i="69" s="1"/>
  <c r="P29" i="69"/>
  <c r="N29" i="69"/>
  <c r="L29" i="69"/>
  <c r="D29" i="69"/>
  <c r="B29" i="69"/>
  <c r="Z28" i="69"/>
  <c r="X28" i="69"/>
  <c r="P28" i="69"/>
  <c r="N28" i="69"/>
  <c r="D28" i="69"/>
  <c r="L28" i="69" s="1"/>
  <c r="B28" i="69"/>
  <c r="Z27" i="69"/>
  <c r="X27" i="69"/>
  <c r="P27" i="69"/>
  <c r="N27" i="69"/>
  <c r="L27" i="69"/>
  <c r="D27" i="69"/>
  <c r="B27" i="69"/>
  <c r="Z26" i="69"/>
  <c r="X26" i="69"/>
  <c r="P26" i="69"/>
  <c r="N26" i="69"/>
  <c r="L26" i="69"/>
  <c r="D26" i="69"/>
  <c r="B26" i="69"/>
  <c r="Z25" i="69"/>
  <c r="P25" i="69"/>
  <c r="X25" i="69" s="1"/>
  <c r="N25" i="69"/>
  <c r="L25" i="69"/>
  <c r="D25" i="69"/>
  <c r="B25" i="69"/>
  <c r="Z24" i="69"/>
  <c r="P24" i="69"/>
  <c r="X24" i="69" s="1"/>
  <c r="N24" i="69"/>
  <c r="L24" i="69"/>
  <c r="D24" i="69"/>
  <c r="B24" i="69"/>
  <c r="Z23" i="69"/>
  <c r="P23" i="69"/>
  <c r="X23" i="69" s="1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P21" i="69"/>
  <c r="X21" i="69" s="1"/>
  <c r="N21" i="69"/>
  <c r="D21" i="69"/>
  <c r="L21" i="69" s="1"/>
  <c r="B21" i="69"/>
  <c r="Z20" i="69"/>
  <c r="X20" i="69"/>
  <c r="P20" i="69"/>
  <c r="N20" i="69"/>
  <c r="D20" i="69"/>
  <c r="L20" i="69" s="1"/>
  <c r="B20" i="69"/>
  <c r="Z19" i="69"/>
  <c r="P19" i="69"/>
  <c r="X19" i="69" s="1"/>
  <c r="N19" i="69"/>
  <c r="D19" i="69"/>
  <c r="L19" i="69" s="1"/>
  <c r="B19" i="69"/>
  <c r="Z18" i="69"/>
  <c r="X18" i="69"/>
  <c r="P18" i="69"/>
  <c r="N18" i="69"/>
  <c r="D18" i="69"/>
  <c r="L18" i="69" s="1"/>
  <c r="B18" i="69"/>
  <c r="Z17" i="69"/>
  <c r="X17" i="69"/>
  <c r="P17" i="69"/>
  <c r="N17" i="69"/>
  <c r="L17" i="69"/>
  <c r="D17" i="69"/>
  <c r="B17" i="69"/>
  <c r="Z16" i="69"/>
  <c r="X16" i="69"/>
  <c r="P16" i="69"/>
  <c r="N16" i="69"/>
  <c r="D16" i="69"/>
  <c r="B16" i="69"/>
  <c r="Z15" i="69"/>
  <c r="X15" i="69"/>
  <c r="P15" i="69"/>
  <c r="N15" i="69"/>
  <c r="L15" i="69"/>
  <c r="D15" i="69"/>
  <c r="B15" i="69"/>
  <c r="Z14" i="69"/>
  <c r="X14" i="69"/>
  <c r="P14" i="69"/>
  <c r="N14" i="69"/>
  <c r="L14" i="69"/>
  <c r="D14" i="69"/>
  <c r="B14" i="69"/>
  <c r="P13" i="69"/>
  <c r="L13" i="69"/>
  <c r="N13" i="69" s="1"/>
  <c r="D13" i="69"/>
  <c r="B13" i="69"/>
  <c r="T12" i="69"/>
  <c r="H12" i="69"/>
  <c r="J111" i="69" s="1"/>
  <c r="D6" i="69"/>
  <c r="D4" i="69"/>
  <c r="R72" i="68"/>
  <c r="R69" i="68"/>
  <c r="Z67" i="68"/>
  <c r="X67" i="68"/>
  <c r="R67" i="68"/>
  <c r="N67" i="68"/>
  <c r="L67" i="68"/>
  <c r="J67" i="68"/>
  <c r="F67" i="68"/>
  <c r="J65" i="68"/>
  <c r="F65" i="68"/>
  <c r="X63" i="68"/>
  <c r="T63" i="68"/>
  <c r="Z63" i="68" s="1"/>
  <c r="P63" i="68"/>
  <c r="L63" i="68"/>
  <c r="J63" i="68"/>
  <c r="H63" i="68"/>
  <c r="N63" i="68" s="1"/>
  <c r="F63" i="68"/>
  <c r="D63" i="68"/>
  <c r="X61" i="68"/>
  <c r="Z61" i="68" s="1"/>
  <c r="N61" i="68"/>
  <c r="L61" i="68"/>
  <c r="F61" i="68"/>
  <c r="B61" i="68"/>
  <c r="X60" i="68"/>
  <c r="Z60" i="68" s="1"/>
  <c r="T60" i="68"/>
  <c r="R60" i="68"/>
  <c r="P60" i="68"/>
  <c r="N60" i="68"/>
  <c r="J60" i="68"/>
  <c r="H60" i="68"/>
  <c r="F60" i="68"/>
  <c r="D60" i="68"/>
  <c r="L60" i="68" s="1"/>
  <c r="B60" i="68"/>
  <c r="Z59" i="68"/>
  <c r="X59" i="68"/>
  <c r="R59" i="68"/>
  <c r="L59" i="68"/>
  <c r="N59" i="68" s="1"/>
  <c r="F59" i="68"/>
  <c r="B59" i="68"/>
  <c r="X58" i="68"/>
  <c r="Z58" i="68" s="1"/>
  <c r="T58" i="68"/>
  <c r="R58" i="68"/>
  <c r="P58" i="68"/>
  <c r="N58" i="68"/>
  <c r="L58" i="68"/>
  <c r="H58" i="68"/>
  <c r="F58" i="68"/>
  <c r="D58" i="68"/>
  <c r="B58" i="68"/>
  <c r="Z57" i="68"/>
  <c r="X57" i="68"/>
  <c r="V57" i="68"/>
  <c r="R57" i="68"/>
  <c r="L57" i="68"/>
  <c r="N57" i="68" s="1"/>
  <c r="B57" i="68"/>
  <c r="Z56" i="68"/>
  <c r="X56" i="68"/>
  <c r="V56" i="68"/>
  <c r="R56" i="68"/>
  <c r="N56" i="68"/>
  <c r="L56" i="68"/>
  <c r="B56" i="68"/>
  <c r="X55" i="68"/>
  <c r="Z55" i="68" s="1"/>
  <c r="R55" i="68"/>
  <c r="L55" i="68"/>
  <c r="N55" i="68" s="1"/>
  <c r="J55" i="68"/>
  <c r="F55" i="68"/>
  <c r="B55" i="68"/>
  <c r="Z54" i="68"/>
  <c r="X54" i="68"/>
  <c r="V54" i="68"/>
  <c r="N54" i="68"/>
  <c r="L54" i="68"/>
  <c r="J54" i="68"/>
  <c r="B54" i="68"/>
  <c r="Z53" i="68"/>
  <c r="T53" i="68"/>
  <c r="P53" i="68"/>
  <c r="X53" i="68" s="1"/>
  <c r="H53" i="68"/>
  <c r="D53" i="68"/>
  <c r="L53" i="68" s="1"/>
  <c r="B53" i="68"/>
  <c r="X52" i="68"/>
  <c r="Z52" i="68" s="1"/>
  <c r="N52" i="68"/>
  <c r="L52" i="68"/>
  <c r="B52" i="68"/>
  <c r="Z51" i="68"/>
  <c r="X51" i="68"/>
  <c r="R51" i="68"/>
  <c r="N51" i="68"/>
  <c r="L51" i="68"/>
  <c r="F51" i="68"/>
  <c r="B51" i="68"/>
  <c r="V50" i="68"/>
  <c r="T50" i="68"/>
  <c r="R50" i="68"/>
  <c r="P50" i="68"/>
  <c r="X50" i="68" s="1"/>
  <c r="Z50" i="68" s="1"/>
  <c r="L50" i="68"/>
  <c r="N50" i="68" s="1"/>
  <c r="H50" i="68"/>
  <c r="F50" i="68"/>
  <c r="D50" i="68"/>
  <c r="B50" i="68"/>
  <c r="Z49" i="68"/>
  <c r="X49" i="68"/>
  <c r="R49" i="68"/>
  <c r="N49" i="68"/>
  <c r="L49" i="68"/>
  <c r="J49" i="68"/>
  <c r="F49" i="68"/>
  <c r="B49" i="68"/>
  <c r="Z48" i="68"/>
  <c r="X48" i="68"/>
  <c r="T48" i="68"/>
  <c r="R48" i="68"/>
  <c r="P48" i="68"/>
  <c r="L48" i="68"/>
  <c r="H48" i="68"/>
  <c r="N48" i="68" s="1"/>
  <c r="F48" i="68"/>
  <c r="D48" i="68"/>
  <c r="B48" i="68"/>
  <c r="X47" i="68"/>
  <c r="Z47" i="68" s="1"/>
  <c r="R47" i="68"/>
  <c r="L47" i="68"/>
  <c r="N47" i="68" s="1"/>
  <c r="J47" i="68"/>
  <c r="F47" i="68"/>
  <c r="B47" i="68"/>
  <c r="Z46" i="68"/>
  <c r="X46" i="68"/>
  <c r="V46" i="68"/>
  <c r="T46" i="68"/>
  <c r="P46" i="68"/>
  <c r="N46" i="68"/>
  <c r="J46" i="68"/>
  <c r="H46" i="68"/>
  <c r="F46" i="68"/>
  <c r="D46" i="68"/>
  <c r="L46" i="68" s="1"/>
  <c r="B46" i="68"/>
  <c r="X45" i="68"/>
  <c r="Z45" i="68" s="1"/>
  <c r="L45" i="68"/>
  <c r="N45" i="68" s="1"/>
  <c r="F45" i="68"/>
  <c r="B45" i="68"/>
  <c r="X44" i="68"/>
  <c r="Z44" i="68" s="1"/>
  <c r="T44" i="68"/>
  <c r="R44" i="68"/>
  <c r="P44" i="68"/>
  <c r="J44" i="68"/>
  <c r="H44" i="68"/>
  <c r="F44" i="68"/>
  <c r="D44" i="68"/>
  <c r="L44" i="68" s="1"/>
  <c r="N44" i="68" s="1"/>
  <c r="B44" i="68"/>
  <c r="Z43" i="68"/>
  <c r="X43" i="68"/>
  <c r="R43" i="68"/>
  <c r="L43" i="68"/>
  <c r="N43" i="68" s="1"/>
  <c r="F43" i="68"/>
  <c r="B43" i="68"/>
  <c r="X42" i="68"/>
  <c r="Z42" i="68" s="1"/>
  <c r="T42" i="68"/>
  <c r="R42" i="68"/>
  <c r="P42" i="68"/>
  <c r="H42" i="68"/>
  <c r="F42" i="68"/>
  <c r="D42" i="68"/>
  <c r="L42" i="68" s="1"/>
  <c r="N42" i="68" s="1"/>
  <c r="B42" i="68"/>
  <c r="Z41" i="68"/>
  <c r="X41" i="68"/>
  <c r="R41" i="68"/>
  <c r="N41" i="68"/>
  <c r="L41" i="68"/>
  <c r="B41" i="68"/>
  <c r="V40" i="68"/>
  <c r="T40" i="68"/>
  <c r="R40" i="68"/>
  <c r="P40" i="68"/>
  <c r="N40" i="68"/>
  <c r="L40" i="68"/>
  <c r="J40" i="68"/>
  <c r="H40" i="68"/>
  <c r="F40" i="68"/>
  <c r="D40" i="68"/>
  <c r="B40" i="68"/>
  <c r="Z39" i="68"/>
  <c r="X39" i="68"/>
  <c r="V39" i="68"/>
  <c r="R39" i="68"/>
  <c r="N39" i="68"/>
  <c r="L39" i="68"/>
  <c r="F39" i="68"/>
  <c r="B39" i="68"/>
  <c r="Z38" i="68"/>
  <c r="X38" i="68"/>
  <c r="V38" i="68"/>
  <c r="N38" i="68"/>
  <c r="L38" i="68"/>
  <c r="F38" i="68"/>
  <c r="B38" i="68"/>
  <c r="X37" i="68"/>
  <c r="Z37" i="68" s="1"/>
  <c r="L37" i="68"/>
  <c r="N37" i="68" s="1"/>
  <c r="F37" i="68"/>
  <c r="B37" i="68"/>
  <c r="X36" i="68"/>
  <c r="Z36" i="68" s="1"/>
  <c r="V36" i="68"/>
  <c r="N36" i="68"/>
  <c r="L36" i="68"/>
  <c r="B36" i="68"/>
  <c r="Z35" i="68"/>
  <c r="X35" i="68"/>
  <c r="V35" i="68"/>
  <c r="R35" i="68"/>
  <c r="N35" i="68"/>
  <c r="L35" i="68"/>
  <c r="F35" i="68"/>
  <c r="B35" i="68"/>
  <c r="Z34" i="68"/>
  <c r="X34" i="68"/>
  <c r="V34" i="68"/>
  <c r="N34" i="68"/>
  <c r="L34" i="68"/>
  <c r="F34" i="68"/>
  <c r="B34" i="68"/>
  <c r="X33" i="68"/>
  <c r="Z33" i="68" s="1"/>
  <c r="L33" i="68"/>
  <c r="N33" i="68" s="1"/>
  <c r="F33" i="68"/>
  <c r="B33" i="68"/>
  <c r="Z32" i="68"/>
  <c r="X32" i="68"/>
  <c r="N32" i="68"/>
  <c r="L32" i="68"/>
  <c r="B32" i="68"/>
  <c r="X31" i="68"/>
  <c r="Z31" i="68" s="1"/>
  <c r="V31" i="68"/>
  <c r="R31" i="68"/>
  <c r="N31" i="68"/>
  <c r="L31" i="68"/>
  <c r="F31" i="68"/>
  <c r="B31" i="68"/>
  <c r="Z30" i="68"/>
  <c r="X30" i="68"/>
  <c r="V30" i="68"/>
  <c r="L30" i="68"/>
  <c r="N30" i="68" s="1"/>
  <c r="J30" i="68"/>
  <c r="F30" i="68"/>
  <c r="B30" i="68"/>
  <c r="X29" i="68"/>
  <c r="T29" i="68"/>
  <c r="P29" i="68"/>
  <c r="L29" i="68"/>
  <c r="J29" i="68"/>
  <c r="H29" i="68"/>
  <c r="F29" i="68"/>
  <c r="D29" i="68"/>
  <c r="B29" i="68"/>
  <c r="Z28" i="68"/>
  <c r="X28" i="68"/>
  <c r="N28" i="68"/>
  <c r="L28" i="68"/>
  <c r="J28" i="68"/>
  <c r="F28" i="68"/>
  <c r="B28" i="68"/>
  <c r="Z27" i="68"/>
  <c r="X27" i="68"/>
  <c r="R27" i="68"/>
  <c r="L27" i="68"/>
  <c r="N27" i="68" s="1"/>
  <c r="F27" i="68"/>
  <c r="B27" i="68"/>
  <c r="X26" i="68"/>
  <c r="Z26" i="68" s="1"/>
  <c r="V26" i="68"/>
  <c r="R26" i="68"/>
  <c r="N26" i="68"/>
  <c r="L26" i="68"/>
  <c r="J26" i="68"/>
  <c r="B26" i="68"/>
  <c r="Z25" i="68"/>
  <c r="X25" i="68"/>
  <c r="R25" i="68"/>
  <c r="N25" i="68"/>
  <c r="L25" i="68"/>
  <c r="J25" i="68"/>
  <c r="F25" i="68"/>
  <c r="B25" i="68"/>
  <c r="Z24" i="68"/>
  <c r="X24" i="68"/>
  <c r="N24" i="68"/>
  <c r="L24" i="68"/>
  <c r="J24" i="68"/>
  <c r="F24" i="68"/>
  <c r="B24" i="68"/>
  <c r="X23" i="68"/>
  <c r="Z23" i="68" s="1"/>
  <c r="R23" i="68"/>
  <c r="L23" i="68"/>
  <c r="N23" i="68" s="1"/>
  <c r="F23" i="68"/>
  <c r="B23" i="68"/>
  <c r="X22" i="68"/>
  <c r="Z22" i="68" s="1"/>
  <c r="R22" i="68"/>
  <c r="N22" i="68"/>
  <c r="L22" i="68"/>
  <c r="J22" i="68"/>
  <c r="B22" i="68"/>
  <c r="X21" i="68"/>
  <c r="Z21" i="68" s="1"/>
  <c r="R21" i="68"/>
  <c r="L21" i="68"/>
  <c r="N21" i="68" s="1"/>
  <c r="J21" i="68"/>
  <c r="F21" i="68"/>
  <c r="B21" i="68"/>
  <c r="Z20" i="68"/>
  <c r="X20" i="68"/>
  <c r="N20" i="68"/>
  <c r="L20" i="68"/>
  <c r="J20" i="68"/>
  <c r="F20" i="68"/>
  <c r="B20" i="68"/>
  <c r="X19" i="68"/>
  <c r="Z19" i="68" s="1"/>
  <c r="T19" i="68"/>
  <c r="P19" i="68"/>
  <c r="H19" i="68"/>
  <c r="F19" i="68"/>
  <c r="D19" i="68"/>
  <c r="L19" i="68" s="1"/>
  <c r="B19" i="68"/>
  <c r="V18" i="68"/>
  <c r="T18" i="68"/>
  <c r="R18" i="68"/>
  <c r="P18" i="68"/>
  <c r="X18" i="68" s="1"/>
  <c r="J18" i="68"/>
  <c r="H18" i="68"/>
  <c r="N18" i="68" s="1"/>
  <c r="F18" i="68"/>
  <c r="D18" i="68"/>
  <c r="L18" i="68" s="1"/>
  <c r="V16" i="68"/>
  <c r="R16" i="68"/>
  <c r="N16" i="68"/>
  <c r="J16" i="68"/>
  <c r="F16" i="68"/>
  <c r="Z14" i="68"/>
  <c r="T14" i="68"/>
  <c r="R14" i="68"/>
  <c r="P14" i="68"/>
  <c r="X14" i="68" s="1"/>
  <c r="J14" i="68"/>
  <c r="H14" i="68"/>
  <c r="H16" i="68" s="1"/>
  <c r="F14" i="68"/>
  <c r="D14" i="68"/>
  <c r="D16" i="68" s="1"/>
  <c r="Z12" i="68"/>
  <c r="T12" i="68"/>
  <c r="V53" i="68" s="1"/>
  <c r="P12" i="68"/>
  <c r="R53" i="68" s="1"/>
  <c r="H12" i="68"/>
  <c r="D12" i="68"/>
  <c r="F56" i="68" s="1"/>
  <c r="D6" i="68"/>
  <c r="D4" i="68"/>
  <c r="R111" i="64"/>
  <c r="J111" i="64"/>
  <c r="Z109" i="64"/>
  <c r="X109" i="64"/>
  <c r="N109" i="64"/>
  <c r="L109" i="64"/>
  <c r="V107" i="64"/>
  <c r="R107" i="64"/>
  <c r="J107" i="64"/>
  <c r="P105" i="64"/>
  <c r="X105" i="64" s="1"/>
  <c r="Z105" i="64" s="1"/>
  <c r="L105" i="64"/>
  <c r="N105" i="64" s="1"/>
  <c r="F105" i="64"/>
  <c r="D105" i="64"/>
  <c r="B105" i="64"/>
  <c r="Z104" i="64"/>
  <c r="X104" i="64"/>
  <c r="P104" i="64"/>
  <c r="N104" i="64"/>
  <c r="D104" i="64"/>
  <c r="L104" i="64" s="1"/>
  <c r="B104" i="64"/>
  <c r="X103" i="64"/>
  <c r="Z103" i="64" s="1"/>
  <c r="V103" i="64"/>
  <c r="R103" i="64"/>
  <c r="P103" i="64"/>
  <c r="L103" i="64"/>
  <c r="N103" i="64" s="1"/>
  <c r="D103" i="64"/>
  <c r="B103" i="64"/>
  <c r="P102" i="64"/>
  <c r="X102" i="64" s="1"/>
  <c r="Z102" i="64" s="1"/>
  <c r="J102" i="64"/>
  <c r="D102" i="64"/>
  <c r="L102" i="64" s="1"/>
  <c r="N102" i="64" s="1"/>
  <c r="B102" i="64"/>
  <c r="T101" i="64"/>
  <c r="H101" i="64"/>
  <c r="Z99" i="64"/>
  <c r="X99" i="64"/>
  <c r="V99" i="64"/>
  <c r="R99" i="64"/>
  <c r="N99" i="64"/>
  <c r="L99" i="64"/>
  <c r="B99" i="64"/>
  <c r="T98" i="64"/>
  <c r="P98" i="64"/>
  <c r="X98" i="64" s="1"/>
  <c r="H98" i="64"/>
  <c r="D98" i="64"/>
  <c r="B98" i="64"/>
  <c r="Z97" i="64"/>
  <c r="X97" i="64"/>
  <c r="N97" i="64"/>
  <c r="L97" i="64"/>
  <c r="B97" i="64"/>
  <c r="Z96" i="64"/>
  <c r="X96" i="64"/>
  <c r="N96" i="64"/>
  <c r="L96" i="64"/>
  <c r="F96" i="64"/>
  <c r="B96" i="64"/>
  <c r="Z95" i="64"/>
  <c r="X95" i="64"/>
  <c r="N95" i="64"/>
  <c r="L95" i="64"/>
  <c r="B95" i="64"/>
  <c r="V94" i="64"/>
  <c r="T94" i="64"/>
  <c r="R94" i="64"/>
  <c r="P94" i="64"/>
  <c r="H94" i="64"/>
  <c r="N94" i="64" s="1"/>
  <c r="D94" i="64"/>
  <c r="B94" i="64"/>
  <c r="X93" i="64"/>
  <c r="Z93" i="64" s="1"/>
  <c r="R93" i="64"/>
  <c r="N93" i="64"/>
  <c r="L93" i="64"/>
  <c r="J93" i="64"/>
  <c r="B93" i="64"/>
  <c r="T92" i="64"/>
  <c r="P92" i="64"/>
  <c r="X92" i="64" s="1"/>
  <c r="H92" i="64"/>
  <c r="D92" i="64"/>
  <c r="L92" i="64" s="1"/>
  <c r="B92" i="64"/>
  <c r="Z91" i="64"/>
  <c r="X91" i="64"/>
  <c r="N91" i="64"/>
  <c r="L91" i="64"/>
  <c r="B91" i="64"/>
  <c r="T90" i="64"/>
  <c r="P90" i="64"/>
  <c r="X90" i="64" s="1"/>
  <c r="N90" i="64"/>
  <c r="L90" i="64"/>
  <c r="J90" i="64"/>
  <c r="H90" i="64"/>
  <c r="D90" i="64"/>
  <c r="B90" i="64"/>
  <c r="X89" i="64"/>
  <c r="Z89" i="64" s="1"/>
  <c r="L89" i="64"/>
  <c r="N89" i="64" s="1"/>
  <c r="J89" i="64"/>
  <c r="F89" i="64"/>
  <c r="B89" i="64"/>
  <c r="Z88" i="64"/>
  <c r="X88" i="64"/>
  <c r="N88" i="64"/>
  <c r="L88" i="64"/>
  <c r="B88" i="64"/>
  <c r="Z87" i="64"/>
  <c r="X87" i="64"/>
  <c r="V87" i="64"/>
  <c r="R87" i="64"/>
  <c r="N87" i="64"/>
  <c r="L87" i="64"/>
  <c r="F87" i="64"/>
  <c r="B87" i="64"/>
  <c r="Z86" i="64"/>
  <c r="X86" i="64"/>
  <c r="V86" i="64"/>
  <c r="R86" i="64"/>
  <c r="N86" i="64"/>
  <c r="L86" i="64"/>
  <c r="J86" i="64"/>
  <c r="B86" i="64"/>
  <c r="Z85" i="64"/>
  <c r="X85" i="64"/>
  <c r="N85" i="64"/>
  <c r="L85" i="64"/>
  <c r="J85" i="64"/>
  <c r="F85" i="64"/>
  <c r="B85" i="64"/>
  <c r="Z84" i="64"/>
  <c r="X84" i="64"/>
  <c r="N84" i="64"/>
  <c r="L84" i="64"/>
  <c r="B84" i="64"/>
  <c r="X83" i="64"/>
  <c r="Z83" i="64" s="1"/>
  <c r="V83" i="64"/>
  <c r="T83" i="64"/>
  <c r="P83" i="64"/>
  <c r="H83" i="64"/>
  <c r="D83" i="64"/>
  <c r="L83" i="64" s="1"/>
  <c r="B83" i="64"/>
  <c r="Z82" i="64"/>
  <c r="X82" i="64"/>
  <c r="N82" i="64"/>
  <c r="L82" i="64"/>
  <c r="B82" i="64"/>
  <c r="X81" i="64"/>
  <c r="Z81" i="64" s="1"/>
  <c r="V81" i="64"/>
  <c r="R81" i="64"/>
  <c r="N81" i="64"/>
  <c r="L81" i="64"/>
  <c r="F81" i="64"/>
  <c r="B81" i="64"/>
  <c r="T80" i="64"/>
  <c r="R80" i="64"/>
  <c r="P80" i="64"/>
  <c r="X80" i="64" s="1"/>
  <c r="Z80" i="64" s="1"/>
  <c r="L80" i="64"/>
  <c r="N80" i="64" s="1"/>
  <c r="J80" i="64"/>
  <c r="H80" i="64"/>
  <c r="F80" i="64"/>
  <c r="D80" i="64"/>
  <c r="B80" i="64"/>
  <c r="X79" i="64"/>
  <c r="Z79" i="64" s="1"/>
  <c r="R79" i="64"/>
  <c r="N79" i="64"/>
  <c r="L79" i="64"/>
  <c r="J79" i="64"/>
  <c r="F79" i="64"/>
  <c r="B79" i="64"/>
  <c r="Z78" i="64"/>
  <c r="X78" i="64"/>
  <c r="N78" i="64"/>
  <c r="L78" i="64"/>
  <c r="J78" i="64"/>
  <c r="F78" i="64"/>
  <c r="B78" i="64"/>
  <c r="Z77" i="64"/>
  <c r="X77" i="64"/>
  <c r="R77" i="64"/>
  <c r="N77" i="64"/>
  <c r="L77" i="64"/>
  <c r="F77" i="64"/>
  <c r="B77" i="64"/>
  <c r="X76" i="64"/>
  <c r="V76" i="64"/>
  <c r="T76" i="64"/>
  <c r="R76" i="64"/>
  <c r="P76" i="64"/>
  <c r="N76" i="64"/>
  <c r="L76" i="64"/>
  <c r="H76" i="64"/>
  <c r="F76" i="64"/>
  <c r="D76" i="64"/>
  <c r="B76" i="64"/>
  <c r="X75" i="64"/>
  <c r="Z75" i="64" s="1"/>
  <c r="V75" i="64"/>
  <c r="R75" i="64"/>
  <c r="L75" i="64"/>
  <c r="N75" i="64" s="1"/>
  <c r="F75" i="64"/>
  <c r="B75" i="64"/>
  <c r="Z74" i="64"/>
  <c r="X74" i="64"/>
  <c r="V74" i="64"/>
  <c r="R74" i="64"/>
  <c r="N74" i="64"/>
  <c r="L74" i="64"/>
  <c r="J74" i="64"/>
  <c r="B74" i="64"/>
  <c r="X73" i="64"/>
  <c r="Z73" i="64" s="1"/>
  <c r="N73" i="64"/>
  <c r="L73" i="64"/>
  <c r="J73" i="64"/>
  <c r="F73" i="64"/>
  <c r="B73" i="64"/>
  <c r="Z72" i="64"/>
  <c r="X72" i="64"/>
  <c r="T72" i="64"/>
  <c r="P72" i="64"/>
  <c r="J72" i="64"/>
  <c r="H72" i="64"/>
  <c r="F72" i="64"/>
  <c r="D72" i="64"/>
  <c r="L72" i="64" s="1"/>
  <c r="B72" i="64"/>
  <c r="X71" i="64"/>
  <c r="Z71" i="64" s="1"/>
  <c r="L71" i="64"/>
  <c r="N71" i="64" s="1"/>
  <c r="F71" i="64"/>
  <c r="B71" i="64"/>
  <c r="Z70" i="64"/>
  <c r="X70" i="64"/>
  <c r="T70" i="64"/>
  <c r="R70" i="64"/>
  <c r="P70" i="64"/>
  <c r="H70" i="64"/>
  <c r="F70" i="64"/>
  <c r="D70" i="64"/>
  <c r="L70" i="64" s="1"/>
  <c r="N70" i="64" s="1"/>
  <c r="B70" i="64"/>
  <c r="Z69" i="64"/>
  <c r="X69" i="64"/>
  <c r="R69" i="64"/>
  <c r="L69" i="64"/>
  <c r="N69" i="64" s="1"/>
  <c r="F69" i="64"/>
  <c r="B69" i="64"/>
  <c r="V68" i="64"/>
  <c r="T68" i="64"/>
  <c r="X68" i="64" s="1"/>
  <c r="R68" i="64"/>
  <c r="P68" i="64"/>
  <c r="N68" i="64"/>
  <c r="L68" i="64"/>
  <c r="H68" i="64"/>
  <c r="F68" i="64"/>
  <c r="D68" i="64"/>
  <c r="B68" i="64"/>
  <c r="Z67" i="64"/>
  <c r="X67" i="64"/>
  <c r="V67" i="64"/>
  <c r="R67" i="64"/>
  <c r="N67" i="64"/>
  <c r="L67" i="64"/>
  <c r="F67" i="64"/>
  <c r="B67" i="64"/>
  <c r="V66" i="64"/>
  <c r="T66" i="64"/>
  <c r="Z66" i="64" s="1"/>
  <c r="R66" i="64"/>
  <c r="P66" i="64"/>
  <c r="N66" i="64"/>
  <c r="L66" i="64"/>
  <c r="H66" i="64"/>
  <c r="F66" i="64"/>
  <c r="D66" i="64"/>
  <c r="B66" i="64"/>
  <c r="X65" i="64"/>
  <c r="Z65" i="64" s="1"/>
  <c r="V65" i="64"/>
  <c r="R65" i="64"/>
  <c r="N65" i="64"/>
  <c r="L65" i="64"/>
  <c r="F65" i="64"/>
  <c r="B65" i="64"/>
  <c r="T64" i="64"/>
  <c r="R64" i="64"/>
  <c r="P64" i="64"/>
  <c r="X64" i="64" s="1"/>
  <c r="Z64" i="64" s="1"/>
  <c r="N64" i="64"/>
  <c r="L64" i="64"/>
  <c r="J64" i="64"/>
  <c r="H64" i="64"/>
  <c r="F64" i="64"/>
  <c r="D64" i="64"/>
  <c r="B64" i="64"/>
  <c r="X63" i="64"/>
  <c r="Z63" i="64" s="1"/>
  <c r="R63" i="64"/>
  <c r="L63" i="64"/>
  <c r="N63" i="64" s="1"/>
  <c r="J63" i="64"/>
  <c r="F63" i="64"/>
  <c r="B63" i="64"/>
  <c r="Z62" i="64"/>
  <c r="X62" i="64"/>
  <c r="T62" i="64"/>
  <c r="P62" i="64"/>
  <c r="J62" i="64"/>
  <c r="H62" i="64"/>
  <c r="L62" i="64" s="1"/>
  <c r="N62" i="64" s="1"/>
  <c r="F62" i="64"/>
  <c r="D62" i="64"/>
  <c r="B62" i="64"/>
  <c r="X61" i="64"/>
  <c r="Z61" i="64" s="1"/>
  <c r="L61" i="64"/>
  <c r="N61" i="64" s="1"/>
  <c r="J61" i="64"/>
  <c r="F61" i="64"/>
  <c r="B61" i="64"/>
  <c r="Z60" i="64"/>
  <c r="X60" i="64"/>
  <c r="T60" i="64"/>
  <c r="P60" i="64"/>
  <c r="J60" i="64"/>
  <c r="H60" i="64"/>
  <c r="F60" i="64"/>
  <c r="D60" i="64"/>
  <c r="B60" i="64"/>
  <c r="X59" i="64"/>
  <c r="Z59" i="64" s="1"/>
  <c r="L59" i="64"/>
  <c r="N59" i="64" s="1"/>
  <c r="F59" i="64"/>
  <c r="B59" i="64"/>
  <c r="X58" i="64"/>
  <c r="Z58" i="64" s="1"/>
  <c r="T58" i="64"/>
  <c r="R58" i="64"/>
  <c r="P58" i="64"/>
  <c r="H58" i="64"/>
  <c r="F58" i="64"/>
  <c r="D58" i="64"/>
  <c r="L58" i="64" s="1"/>
  <c r="N58" i="64" s="1"/>
  <c r="B58" i="64"/>
  <c r="Z57" i="64"/>
  <c r="X57" i="64"/>
  <c r="R57" i="64"/>
  <c r="N57" i="64"/>
  <c r="L57" i="64"/>
  <c r="F57" i="64"/>
  <c r="B57" i="64"/>
  <c r="Z56" i="64"/>
  <c r="X56" i="64"/>
  <c r="V56" i="64"/>
  <c r="R56" i="64"/>
  <c r="N56" i="64"/>
  <c r="L56" i="64"/>
  <c r="J56" i="64"/>
  <c r="B56" i="64"/>
  <c r="T55" i="64"/>
  <c r="R55" i="64"/>
  <c r="P55" i="64"/>
  <c r="X55" i="64" s="1"/>
  <c r="N55" i="64"/>
  <c r="L55" i="64"/>
  <c r="H55" i="64"/>
  <c r="D55" i="64"/>
  <c r="B55" i="64"/>
  <c r="Z54" i="64"/>
  <c r="X54" i="64"/>
  <c r="V54" i="64"/>
  <c r="R54" i="64"/>
  <c r="N54" i="64"/>
  <c r="L54" i="64"/>
  <c r="J54" i="64"/>
  <c r="B54" i="64"/>
  <c r="X53" i="64"/>
  <c r="Z53" i="64" s="1"/>
  <c r="L53" i="64"/>
  <c r="N53" i="64" s="1"/>
  <c r="J53" i="64"/>
  <c r="F53" i="64"/>
  <c r="B53" i="64"/>
  <c r="Z52" i="64"/>
  <c r="X52" i="64"/>
  <c r="T52" i="64"/>
  <c r="R52" i="64"/>
  <c r="P52" i="64"/>
  <c r="J52" i="64"/>
  <c r="H52" i="64"/>
  <c r="F52" i="64"/>
  <c r="D52" i="64"/>
  <c r="B52" i="64"/>
  <c r="X51" i="64"/>
  <c r="Z51" i="64" s="1"/>
  <c r="R51" i="64"/>
  <c r="L51" i="64"/>
  <c r="N51" i="64" s="1"/>
  <c r="F51" i="64"/>
  <c r="B51" i="64"/>
  <c r="X50" i="64"/>
  <c r="Z50" i="64" s="1"/>
  <c r="N50" i="64"/>
  <c r="L50" i="64"/>
  <c r="B50" i="64"/>
  <c r="X49" i="64"/>
  <c r="Z49" i="64" s="1"/>
  <c r="V49" i="64"/>
  <c r="R49" i="64"/>
  <c r="N49" i="64"/>
  <c r="L49" i="64"/>
  <c r="F49" i="64"/>
  <c r="B49" i="64"/>
  <c r="Z48" i="64"/>
  <c r="X48" i="64"/>
  <c r="L48" i="64"/>
  <c r="N48" i="64" s="1"/>
  <c r="J48" i="64"/>
  <c r="F48" i="64"/>
  <c r="B48" i="64"/>
  <c r="X47" i="64"/>
  <c r="T47" i="64"/>
  <c r="Z47" i="64" s="1"/>
  <c r="P47" i="64"/>
  <c r="L47" i="64"/>
  <c r="J47" i="64"/>
  <c r="H47" i="64"/>
  <c r="F47" i="64"/>
  <c r="D47" i="64"/>
  <c r="B47" i="64"/>
  <c r="Z46" i="64"/>
  <c r="X46" i="64"/>
  <c r="N46" i="64"/>
  <c r="L46" i="64"/>
  <c r="J46" i="64"/>
  <c r="F46" i="64"/>
  <c r="B46" i="64"/>
  <c r="Z45" i="64"/>
  <c r="X45" i="64"/>
  <c r="T45" i="64"/>
  <c r="P45" i="64"/>
  <c r="H45" i="64"/>
  <c r="F45" i="64"/>
  <c r="D45" i="64"/>
  <c r="L45" i="64" s="1"/>
  <c r="B45" i="64"/>
  <c r="Z44" i="64"/>
  <c r="X44" i="64"/>
  <c r="N44" i="64"/>
  <c r="L44" i="64"/>
  <c r="B44" i="64"/>
  <c r="X43" i="64"/>
  <c r="Z43" i="64" s="1"/>
  <c r="V43" i="64"/>
  <c r="R43" i="64"/>
  <c r="L43" i="64"/>
  <c r="N43" i="64" s="1"/>
  <c r="F43" i="64"/>
  <c r="B43" i="64"/>
  <c r="V42" i="64"/>
  <c r="T42" i="64"/>
  <c r="R42" i="64"/>
  <c r="P42" i="64"/>
  <c r="X42" i="64" s="1"/>
  <c r="N42" i="64"/>
  <c r="L42" i="64"/>
  <c r="J42" i="64"/>
  <c r="H42" i="64"/>
  <c r="F42" i="64"/>
  <c r="D42" i="64"/>
  <c r="B42" i="64"/>
  <c r="X41" i="64"/>
  <c r="Z41" i="64" s="1"/>
  <c r="V41" i="64"/>
  <c r="R41" i="64"/>
  <c r="N41" i="64"/>
  <c r="L41" i="64"/>
  <c r="F41" i="64"/>
  <c r="B41" i="64"/>
  <c r="T40" i="64"/>
  <c r="R40" i="64"/>
  <c r="P40" i="64"/>
  <c r="X40" i="64" s="1"/>
  <c r="Z40" i="64" s="1"/>
  <c r="N40" i="64"/>
  <c r="L40" i="64"/>
  <c r="J40" i="64"/>
  <c r="H40" i="64"/>
  <c r="F40" i="64"/>
  <c r="D40" i="64"/>
  <c r="B40" i="64"/>
  <c r="Z39" i="64"/>
  <c r="X39" i="64"/>
  <c r="R39" i="64"/>
  <c r="N39" i="64"/>
  <c r="L39" i="64"/>
  <c r="J39" i="64"/>
  <c r="F39" i="64"/>
  <c r="B39" i="64"/>
  <c r="Z38" i="64"/>
  <c r="X38" i="64"/>
  <c r="N38" i="64"/>
  <c r="L38" i="64"/>
  <c r="J38" i="64"/>
  <c r="F38" i="64"/>
  <c r="B38" i="64"/>
  <c r="Z37" i="64"/>
  <c r="X37" i="64"/>
  <c r="R37" i="64"/>
  <c r="L37" i="64"/>
  <c r="N37" i="64" s="1"/>
  <c r="F37" i="64"/>
  <c r="B37" i="64"/>
  <c r="X36" i="64"/>
  <c r="Z36" i="64" s="1"/>
  <c r="V36" i="64"/>
  <c r="R36" i="64"/>
  <c r="N36" i="64"/>
  <c r="L36" i="64"/>
  <c r="J36" i="64"/>
  <c r="F36" i="64"/>
  <c r="B36" i="64"/>
  <c r="Z35" i="64"/>
  <c r="X35" i="64"/>
  <c r="R35" i="64"/>
  <c r="N35" i="64"/>
  <c r="L35" i="64"/>
  <c r="J35" i="64"/>
  <c r="F35" i="64"/>
  <c r="B35" i="64"/>
  <c r="Z34" i="64"/>
  <c r="X34" i="64"/>
  <c r="N34" i="64"/>
  <c r="L34" i="64"/>
  <c r="J34" i="64"/>
  <c r="F34" i="64"/>
  <c r="B34" i="64"/>
  <c r="Z33" i="64"/>
  <c r="X33" i="64"/>
  <c r="R33" i="64"/>
  <c r="L33" i="64"/>
  <c r="N33" i="64" s="1"/>
  <c r="F33" i="64"/>
  <c r="B33" i="64"/>
  <c r="Z32" i="64"/>
  <c r="X32" i="64"/>
  <c r="V32" i="64"/>
  <c r="R32" i="64"/>
  <c r="N32" i="64"/>
  <c r="L32" i="64"/>
  <c r="J32" i="64"/>
  <c r="F32" i="64"/>
  <c r="B32" i="64"/>
  <c r="X31" i="64"/>
  <c r="Z31" i="64" s="1"/>
  <c r="R31" i="64"/>
  <c r="N31" i="64"/>
  <c r="L31" i="64"/>
  <c r="J31" i="64"/>
  <c r="F31" i="64"/>
  <c r="B31" i="64"/>
  <c r="Z30" i="64"/>
  <c r="X30" i="64"/>
  <c r="N30" i="64"/>
  <c r="L30" i="64"/>
  <c r="J30" i="64"/>
  <c r="F30" i="64"/>
  <c r="B30" i="64"/>
  <c r="Z29" i="64"/>
  <c r="X29" i="64"/>
  <c r="T29" i="64"/>
  <c r="P29" i="64"/>
  <c r="H29" i="64"/>
  <c r="F29" i="64"/>
  <c r="D29" i="64"/>
  <c r="B29" i="64"/>
  <c r="Z28" i="64"/>
  <c r="X28" i="64"/>
  <c r="N28" i="64"/>
  <c r="L28" i="64"/>
  <c r="B28" i="64"/>
  <c r="X27" i="64"/>
  <c r="Z27" i="64" s="1"/>
  <c r="V27" i="64"/>
  <c r="R27" i="64"/>
  <c r="L27" i="64"/>
  <c r="N27" i="64" s="1"/>
  <c r="F27" i="64"/>
  <c r="B27" i="64"/>
  <c r="Z26" i="64"/>
  <c r="X26" i="64"/>
  <c r="V26" i="64"/>
  <c r="R26" i="64"/>
  <c r="N26" i="64"/>
  <c r="L26" i="64"/>
  <c r="J26" i="64"/>
  <c r="F26" i="64"/>
  <c r="B26" i="64"/>
  <c r="Z25" i="64"/>
  <c r="X25" i="64"/>
  <c r="R25" i="64"/>
  <c r="N25" i="64"/>
  <c r="L25" i="64"/>
  <c r="J25" i="64"/>
  <c r="F25" i="64"/>
  <c r="B25" i="64"/>
  <c r="Z24" i="64"/>
  <c r="X24" i="64"/>
  <c r="N24" i="64"/>
  <c r="L24" i="64"/>
  <c r="B24" i="64"/>
  <c r="Z23" i="64"/>
  <c r="X23" i="64"/>
  <c r="V23" i="64"/>
  <c r="R23" i="64"/>
  <c r="L23" i="64"/>
  <c r="N23" i="64" s="1"/>
  <c r="F23" i="64"/>
  <c r="B23" i="64"/>
  <c r="Z22" i="64"/>
  <c r="X22" i="64"/>
  <c r="V22" i="64"/>
  <c r="R22" i="64"/>
  <c r="L22" i="64"/>
  <c r="N22" i="64" s="1"/>
  <c r="J22" i="64"/>
  <c r="F22" i="64"/>
  <c r="B22" i="64"/>
  <c r="X21" i="64"/>
  <c r="Z21" i="64" s="1"/>
  <c r="R21" i="64"/>
  <c r="L21" i="64"/>
  <c r="N21" i="64" s="1"/>
  <c r="J21" i="64"/>
  <c r="F21" i="64"/>
  <c r="B21" i="64"/>
  <c r="Z20" i="64"/>
  <c r="X20" i="64"/>
  <c r="N20" i="64"/>
  <c r="L20" i="64"/>
  <c r="B20" i="64"/>
  <c r="Z19" i="64"/>
  <c r="X19" i="64"/>
  <c r="V19" i="64"/>
  <c r="T19" i="64"/>
  <c r="P19" i="64"/>
  <c r="H19" i="64"/>
  <c r="N19" i="64" s="1"/>
  <c r="D19" i="64"/>
  <c r="L19" i="64" s="1"/>
  <c r="B19" i="64"/>
  <c r="T18" i="64"/>
  <c r="R18" i="64"/>
  <c r="P18" i="64"/>
  <c r="X18" i="64" s="1"/>
  <c r="Z18" i="64" s="1"/>
  <c r="H18" i="64"/>
  <c r="F18" i="64"/>
  <c r="D18" i="64"/>
  <c r="L18" i="64" s="1"/>
  <c r="N18" i="64" s="1"/>
  <c r="R16" i="64"/>
  <c r="F16" i="64"/>
  <c r="Z14" i="64"/>
  <c r="X14" i="64"/>
  <c r="T14" i="64"/>
  <c r="R14" i="64"/>
  <c r="P14" i="64"/>
  <c r="P16" i="64" s="1"/>
  <c r="N14" i="64"/>
  <c r="H14" i="64"/>
  <c r="F14" i="64"/>
  <c r="D14" i="64"/>
  <c r="Z12" i="64"/>
  <c r="X12" i="64"/>
  <c r="T12" i="64"/>
  <c r="V104" i="64" s="1"/>
  <c r="P12" i="64"/>
  <c r="R104" i="64" s="1"/>
  <c r="N12" i="64"/>
  <c r="H12" i="64"/>
  <c r="J101" i="64" s="1"/>
  <c r="D12" i="64"/>
  <c r="F114" i="64" s="1"/>
  <c r="D6" i="64"/>
  <c r="D4" i="64"/>
  <c r="V69" i="61"/>
  <c r="R69" i="61"/>
  <c r="J69" i="61"/>
  <c r="F69" i="61"/>
  <c r="R66" i="61"/>
  <c r="J66" i="61"/>
  <c r="F66" i="61"/>
  <c r="Z64" i="61"/>
  <c r="X64" i="61"/>
  <c r="R64" i="61"/>
  <c r="N64" i="61"/>
  <c r="L64" i="61"/>
  <c r="J64" i="61"/>
  <c r="J62" i="61"/>
  <c r="F62" i="61"/>
  <c r="Z60" i="61"/>
  <c r="X60" i="61"/>
  <c r="T60" i="61"/>
  <c r="P60" i="61"/>
  <c r="N60" i="61"/>
  <c r="L60" i="61"/>
  <c r="J60" i="61"/>
  <c r="H60" i="61"/>
  <c r="F60" i="61"/>
  <c r="D60" i="61"/>
  <c r="Z58" i="61"/>
  <c r="X58" i="61"/>
  <c r="N58" i="61"/>
  <c r="L58" i="61"/>
  <c r="J58" i="61"/>
  <c r="F58" i="61"/>
  <c r="B58" i="61"/>
  <c r="Z57" i="61"/>
  <c r="X57" i="61"/>
  <c r="T57" i="61"/>
  <c r="P57" i="61"/>
  <c r="H57" i="61"/>
  <c r="F57" i="61"/>
  <c r="D57" i="61"/>
  <c r="L57" i="61" s="1"/>
  <c r="B57" i="61"/>
  <c r="Z56" i="61"/>
  <c r="X56" i="61"/>
  <c r="N56" i="61"/>
  <c r="L56" i="61"/>
  <c r="B56" i="61"/>
  <c r="V55" i="61"/>
  <c r="T55" i="61"/>
  <c r="X55" i="61" s="1"/>
  <c r="Z55" i="61" s="1"/>
  <c r="P55" i="61"/>
  <c r="H55" i="61"/>
  <c r="D55" i="61"/>
  <c r="L55" i="61" s="1"/>
  <c r="B55" i="61"/>
  <c r="Z54" i="61"/>
  <c r="X54" i="61"/>
  <c r="N54" i="61"/>
  <c r="L54" i="61"/>
  <c r="B54" i="61"/>
  <c r="X53" i="61"/>
  <c r="T53" i="61"/>
  <c r="R53" i="61"/>
  <c r="P53" i="61"/>
  <c r="L53" i="61"/>
  <c r="H53" i="61"/>
  <c r="N53" i="61" s="1"/>
  <c r="D53" i="61"/>
  <c r="B53" i="61"/>
  <c r="Z52" i="61"/>
  <c r="X52" i="61"/>
  <c r="R52" i="61"/>
  <c r="N52" i="61"/>
  <c r="L52" i="61"/>
  <c r="J52" i="61"/>
  <c r="B52" i="61"/>
  <c r="X51" i="61"/>
  <c r="Z51" i="61" s="1"/>
  <c r="R51" i="61"/>
  <c r="L51" i="61"/>
  <c r="N51" i="61" s="1"/>
  <c r="J51" i="61"/>
  <c r="F51" i="61"/>
  <c r="B51" i="61"/>
  <c r="Z50" i="61"/>
  <c r="X50" i="61"/>
  <c r="T50" i="61"/>
  <c r="R50" i="61"/>
  <c r="P50" i="61"/>
  <c r="L50" i="61"/>
  <c r="N50" i="61" s="1"/>
  <c r="J50" i="61"/>
  <c r="H50" i="61"/>
  <c r="F50" i="61"/>
  <c r="D50" i="61"/>
  <c r="B50" i="61"/>
  <c r="X49" i="61"/>
  <c r="Z49" i="61" s="1"/>
  <c r="R49" i="61"/>
  <c r="L49" i="61"/>
  <c r="N49" i="61" s="1"/>
  <c r="J49" i="61"/>
  <c r="F49" i="61"/>
  <c r="B49" i="61"/>
  <c r="Z48" i="61"/>
  <c r="X48" i="61"/>
  <c r="T48" i="61"/>
  <c r="R48" i="61"/>
  <c r="P48" i="61"/>
  <c r="J48" i="61"/>
  <c r="H48" i="61"/>
  <c r="F48" i="61"/>
  <c r="D48" i="61"/>
  <c r="L48" i="61" s="1"/>
  <c r="B48" i="61"/>
  <c r="Z47" i="61"/>
  <c r="X47" i="61"/>
  <c r="R47" i="61"/>
  <c r="N47" i="61"/>
  <c r="L47" i="61"/>
  <c r="F47" i="61"/>
  <c r="B47" i="61"/>
  <c r="Z46" i="61"/>
  <c r="X46" i="61"/>
  <c r="T46" i="61"/>
  <c r="R46" i="61"/>
  <c r="P46" i="61"/>
  <c r="N46" i="61"/>
  <c r="H46" i="61"/>
  <c r="F46" i="61"/>
  <c r="D46" i="61"/>
  <c r="L46" i="61" s="1"/>
  <c r="B46" i="61"/>
  <c r="Z45" i="61"/>
  <c r="X45" i="61"/>
  <c r="R45" i="61"/>
  <c r="L45" i="61"/>
  <c r="N45" i="61" s="1"/>
  <c r="F45" i="61"/>
  <c r="B45" i="61"/>
  <c r="Z44" i="61"/>
  <c r="X44" i="61"/>
  <c r="T44" i="61"/>
  <c r="R44" i="61"/>
  <c r="P44" i="61"/>
  <c r="N44" i="61"/>
  <c r="L44" i="61"/>
  <c r="H44" i="61"/>
  <c r="F44" i="61"/>
  <c r="D44" i="61"/>
  <c r="B44" i="61"/>
  <c r="Z43" i="61"/>
  <c r="X43" i="61"/>
  <c r="R43" i="61"/>
  <c r="L43" i="61"/>
  <c r="N43" i="61" s="1"/>
  <c r="F43" i="61"/>
  <c r="B43" i="61"/>
  <c r="T42" i="61"/>
  <c r="R42" i="61"/>
  <c r="P42" i="61"/>
  <c r="X42" i="61" s="1"/>
  <c r="N42" i="61"/>
  <c r="L42" i="61"/>
  <c r="J42" i="61"/>
  <c r="H42" i="61"/>
  <c r="F42" i="61"/>
  <c r="D42" i="61"/>
  <c r="B42" i="61"/>
  <c r="X41" i="61"/>
  <c r="Z41" i="61" s="1"/>
  <c r="R41" i="61"/>
  <c r="L41" i="61"/>
  <c r="N41" i="61" s="1"/>
  <c r="F41" i="61"/>
  <c r="B41" i="61"/>
  <c r="T40" i="61"/>
  <c r="R40" i="61"/>
  <c r="P40" i="61"/>
  <c r="X40" i="61" s="1"/>
  <c r="Z40" i="61" s="1"/>
  <c r="L40" i="61"/>
  <c r="N40" i="61" s="1"/>
  <c r="J40" i="61"/>
  <c r="H40" i="61"/>
  <c r="F40" i="61"/>
  <c r="D40" i="61"/>
  <c r="B40" i="61"/>
  <c r="Z39" i="61"/>
  <c r="X39" i="61"/>
  <c r="R39" i="61"/>
  <c r="N39" i="61"/>
  <c r="L39" i="61"/>
  <c r="J39" i="61"/>
  <c r="F39" i="61"/>
  <c r="B39" i="61"/>
  <c r="Z38" i="61"/>
  <c r="X38" i="61"/>
  <c r="N38" i="61"/>
  <c r="L38" i="61"/>
  <c r="J38" i="61"/>
  <c r="F38" i="61"/>
  <c r="B38" i="61"/>
  <c r="Z37" i="61"/>
  <c r="X37" i="61"/>
  <c r="R37" i="61"/>
  <c r="N37" i="61"/>
  <c r="L37" i="61"/>
  <c r="F37" i="61"/>
  <c r="B37" i="61"/>
  <c r="X36" i="61"/>
  <c r="Z36" i="61" s="1"/>
  <c r="V36" i="61"/>
  <c r="R36" i="61"/>
  <c r="N36" i="61"/>
  <c r="L36" i="61"/>
  <c r="J36" i="61"/>
  <c r="F36" i="61"/>
  <c r="B36" i="61"/>
  <c r="Z35" i="61"/>
  <c r="X35" i="61"/>
  <c r="R35" i="61"/>
  <c r="N35" i="61"/>
  <c r="L35" i="61"/>
  <c r="J35" i="61"/>
  <c r="F35" i="61"/>
  <c r="B35" i="61"/>
  <c r="Z34" i="61"/>
  <c r="X34" i="61"/>
  <c r="N34" i="61"/>
  <c r="L34" i="61"/>
  <c r="J34" i="61"/>
  <c r="F34" i="61"/>
  <c r="B34" i="61"/>
  <c r="X33" i="61"/>
  <c r="Z33" i="61" s="1"/>
  <c r="R33" i="61"/>
  <c r="L33" i="61"/>
  <c r="N33" i="61" s="1"/>
  <c r="F33" i="61"/>
  <c r="B33" i="61"/>
  <c r="Z32" i="61"/>
  <c r="X32" i="61"/>
  <c r="R32" i="61"/>
  <c r="N32" i="61"/>
  <c r="L32" i="61"/>
  <c r="J32" i="61"/>
  <c r="F32" i="61"/>
  <c r="B32" i="61"/>
  <c r="Z31" i="61"/>
  <c r="X31" i="61"/>
  <c r="R31" i="61"/>
  <c r="N31" i="61"/>
  <c r="L31" i="61"/>
  <c r="J31" i="61"/>
  <c r="F31" i="61"/>
  <c r="B31" i="61"/>
  <c r="Z30" i="61"/>
  <c r="X30" i="61"/>
  <c r="N30" i="61"/>
  <c r="L30" i="61"/>
  <c r="J30" i="61"/>
  <c r="F30" i="61"/>
  <c r="B30" i="61"/>
  <c r="X29" i="61"/>
  <c r="Z29" i="61" s="1"/>
  <c r="T29" i="61"/>
  <c r="P29" i="61"/>
  <c r="H29" i="61"/>
  <c r="F29" i="61"/>
  <c r="D29" i="61"/>
  <c r="L29" i="61" s="1"/>
  <c r="B29" i="61"/>
  <c r="Z28" i="61"/>
  <c r="X28" i="61"/>
  <c r="N28" i="61"/>
  <c r="L28" i="61"/>
  <c r="B28" i="61"/>
  <c r="X27" i="61"/>
  <c r="Z27" i="61" s="1"/>
  <c r="R27" i="61"/>
  <c r="L27" i="61"/>
  <c r="N27" i="61" s="1"/>
  <c r="F27" i="61"/>
  <c r="B27" i="61"/>
  <c r="Z26" i="61"/>
  <c r="X26" i="61"/>
  <c r="R26" i="61"/>
  <c r="L26" i="61"/>
  <c r="N26" i="61" s="1"/>
  <c r="J26" i="61"/>
  <c r="F26" i="61"/>
  <c r="B26" i="61"/>
  <c r="Z25" i="61"/>
  <c r="X25" i="61"/>
  <c r="R25" i="61"/>
  <c r="N25" i="61"/>
  <c r="L25" i="61"/>
  <c r="J25" i="61"/>
  <c r="F25" i="61"/>
  <c r="B25" i="61"/>
  <c r="Z24" i="61"/>
  <c r="X24" i="61"/>
  <c r="N24" i="61"/>
  <c r="L24" i="61"/>
  <c r="F24" i="61"/>
  <c r="B24" i="61"/>
  <c r="X23" i="61"/>
  <c r="Z23" i="61" s="1"/>
  <c r="V23" i="61"/>
  <c r="R23" i="61"/>
  <c r="L23" i="61"/>
  <c r="N23" i="61" s="1"/>
  <c r="F23" i="61"/>
  <c r="B23" i="61"/>
  <c r="Z22" i="61"/>
  <c r="X22" i="61"/>
  <c r="R22" i="61"/>
  <c r="L22" i="61"/>
  <c r="N22" i="61" s="1"/>
  <c r="J22" i="61"/>
  <c r="F22" i="61"/>
  <c r="B22" i="61"/>
  <c r="X21" i="61"/>
  <c r="Z21" i="61" s="1"/>
  <c r="R21" i="61"/>
  <c r="L21" i="61"/>
  <c r="N21" i="61" s="1"/>
  <c r="J21" i="61"/>
  <c r="F21" i="61"/>
  <c r="B21" i="61"/>
  <c r="Z20" i="61"/>
  <c r="X20" i="61"/>
  <c r="N20" i="61"/>
  <c r="L20" i="61"/>
  <c r="F20" i="61"/>
  <c r="B20" i="61"/>
  <c r="T19" i="61"/>
  <c r="P19" i="61"/>
  <c r="H19" i="61"/>
  <c r="F19" i="61"/>
  <c r="D19" i="61"/>
  <c r="L19" i="61" s="1"/>
  <c r="B19" i="61"/>
  <c r="T18" i="61"/>
  <c r="R18" i="61"/>
  <c r="P18" i="61"/>
  <c r="X18" i="61" s="1"/>
  <c r="H18" i="61"/>
  <c r="F18" i="61"/>
  <c r="D18" i="61"/>
  <c r="V16" i="61"/>
  <c r="R16" i="61"/>
  <c r="F16" i="61"/>
  <c r="Z14" i="61"/>
  <c r="X14" i="61"/>
  <c r="T14" i="61"/>
  <c r="R14" i="61"/>
  <c r="P14" i="61"/>
  <c r="N14" i="61"/>
  <c r="H14" i="61"/>
  <c r="F14" i="61"/>
  <c r="D14" i="61"/>
  <c r="Z12" i="61"/>
  <c r="T12" i="61"/>
  <c r="V54" i="61" s="1"/>
  <c r="P12" i="61"/>
  <c r="R55" i="61" s="1"/>
  <c r="N12" i="61"/>
  <c r="H12" i="61"/>
  <c r="J41" i="61" s="1"/>
  <c r="D12" i="61"/>
  <c r="F64" i="61" s="1"/>
  <c r="D6" i="61"/>
  <c r="D4" i="61"/>
  <c r="V68" i="60"/>
  <c r="R68" i="60"/>
  <c r="J68" i="60"/>
  <c r="V65" i="60"/>
  <c r="R65" i="60"/>
  <c r="J65" i="60"/>
  <c r="Z63" i="60"/>
  <c r="X63" i="60"/>
  <c r="V63" i="60"/>
  <c r="R63" i="60"/>
  <c r="N63" i="60"/>
  <c r="L63" i="60"/>
  <c r="J63" i="60"/>
  <c r="V61" i="60"/>
  <c r="R61" i="60"/>
  <c r="J61" i="60"/>
  <c r="F61" i="60"/>
  <c r="Z59" i="60"/>
  <c r="V59" i="60"/>
  <c r="T59" i="60"/>
  <c r="R59" i="60"/>
  <c r="P59" i="60"/>
  <c r="X59" i="60" s="1"/>
  <c r="N59" i="60"/>
  <c r="L59" i="60"/>
  <c r="J59" i="60"/>
  <c r="H59" i="60"/>
  <c r="F59" i="60"/>
  <c r="D59" i="60"/>
  <c r="Z57" i="60"/>
  <c r="X57" i="60"/>
  <c r="V57" i="60"/>
  <c r="N57" i="60"/>
  <c r="L57" i="60"/>
  <c r="J57" i="60"/>
  <c r="F57" i="60"/>
  <c r="B57" i="60"/>
  <c r="X56" i="60"/>
  <c r="T56" i="60"/>
  <c r="Z56" i="60" s="1"/>
  <c r="P56" i="60"/>
  <c r="J56" i="60"/>
  <c r="H56" i="60"/>
  <c r="N56" i="60" s="1"/>
  <c r="F56" i="60"/>
  <c r="D56" i="60"/>
  <c r="B56" i="60"/>
  <c r="Z55" i="60"/>
  <c r="X55" i="60"/>
  <c r="V55" i="60"/>
  <c r="N55" i="60"/>
  <c r="L55" i="60"/>
  <c r="J55" i="60"/>
  <c r="F55" i="60"/>
  <c r="B55" i="60"/>
  <c r="Z54" i="60"/>
  <c r="X54" i="60"/>
  <c r="T54" i="60"/>
  <c r="P54" i="60"/>
  <c r="H54" i="60"/>
  <c r="F54" i="60"/>
  <c r="D54" i="60"/>
  <c r="L54" i="60" s="1"/>
  <c r="B54" i="60"/>
  <c r="Z53" i="60"/>
  <c r="X53" i="60"/>
  <c r="V53" i="60"/>
  <c r="N53" i="60"/>
  <c r="L53" i="60"/>
  <c r="J53" i="60"/>
  <c r="B53" i="60"/>
  <c r="Z52" i="60"/>
  <c r="X52" i="60"/>
  <c r="V52" i="60"/>
  <c r="R52" i="60"/>
  <c r="N52" i="60"/>
  <c r="L52" i="60"/>
  <c r="B52" i="60"/>
  <c r="V51" i="60"/>
  <c r="T51" i="60"/>
  <c r="R51" i="60"/>
  <c r="P51" i="60"/>
  <c r="N51" i="60"/>
  <c r="L51" i="60"/>
  <c r="J51" i="60"/>
  <c r="H51" i="60"/>
  <c r="D51" i="60"/>
  <c r="B51" i="60"/>
  <c r="X50" i="60"/>
  <c r="Z50" i="60" s="1"/>
  <c r="V50" i="60"/>
  <c r="R50" i="60"/>
  <c r="N50" i="60"/>
  <c r="L50" i="60"/>
  <c r="F50" i="60"/>
  <c r="B50" i="60"/>
  <c r="V49" i="60"/>
  <c r="T49" i="60"/>
  <c r="R49" i="60"/>
  <c r="P49" i="60"/>
  <c r="X49" i="60" s="1"/>
  <c r="Z49" i="60" s="1"/>
  <c r="N49" i="60"/>
  <c r="L49" i="60"/>
  <c r="J49" i="60"/>
  <c r="H49" i="60"/>
  <c r="F49" i="60"/>
  <c r="D49" i="60"/>
  <c r="B49" i="60"/>
  <c r="Z48" i="60"/>
  <c r="X48" i="60"/>
  <c r="R48" i="60"/>
  <c r="N48" i="60"/>
  <c r="L48" i="60"/>
  <c r="J48" i="60"/>
  <c r="F48" i="60"/>
  <c r="B48" i="60"/>
  <c r="Z47" i="60"/>
  <c r="X47" i="60"/>
  <c r="V47" i="60"/>
  <c r="N47" i="60"/>
  <c r="L47" i="60"/>
  <c r="J47" i="60"/>
  <c r="F47" i="60"/>
  <c r="B47" i="60"/>
  <c r="Z46" i="60"/>
  <c r="X46" i="60"/>
  <c r="T46" i="60"/>
  <c r="P46" i="60"/>
  <c r="H46" i="60"/>
  <c r="F46" i="60"/>
  <c r="D46" i="60"/>
  <c r="L46" i="60" s="1"/>
  <c r="B46" i="60"/>
  <c r="Z45" i="60"/>
  <c r="X45" i="60"/>
  <c r="V45" i="60"/>
  <c r="N45" i="60"/>
  <c r="L45" i="60"/>
  <c r="J45" i="60"/>
  <c r="B45" i="60"/>
  <c r="Z44" i="60"/>
  <c r="V44" i="60"/>
  <c r="T44" i="60"/>
  <c r="X44" i="60" s="1"/>
  <c r="P44" i="60"/>
  <c r="H44" i="60"/>
  <c r="N44" i="60" s="1"/>
  <c r="D44" i="60"/>
  <c r="L44" i="60" s="1"/>
  <c r="B44" i="60"/>
  <c r="X43" i="60"/>
  <c r="Z43" i="60" s="1"/>
  <c r="V43" i="60"/>
  <c r="N43" i="60"/>
  <c r="L43" i="60"/>
  <c r="J43" i="60"/>
  <c r="B43" i="60"/>
  <c r="X42" i="60"/>
  <c r="V42" i="60"/>
  <c r="T42" i="60"/>
  <c r="R42" i="60"/>
  <c r="P42" i="60"/>
  <c r="L42" i="60"/>
  <c r="H42" i="60"/>
  <c r="N42" i="60" s="1"/>
  <c r="D42" i="60"/>
  <c r="B42" i="60"/>
  <c r="Z41" i="60"/>
  <c r="X41" i="60"/>
  <c r="V41" i="60"/>
  <c r="R41" i="60"/>
  <c r="N41" i="60"/>
  <c r="L41" i="60"/>
  <c r="J41" i="60"/>
  <c r="B41" i="60"/>
  <c r="T40" i="60"/>
  <c r="R40" i="60"/>
  <c r="P40" i="60"/>
  <c r="X40" i="60" s="1"/>
  <c r="L40" i="60"/>
  <c r="N40" i="60" s="1"/>
  <c r="H40" i="60"/>
  <c r="D40" i="60"/>
  <c r="B40" i="60"/>
  <c r="Z39" i="60"/>
  <c r="X39" i="60"/>
  <c r="V39" i="60"/>
  <c r="R39" i="60"/>
  <c r="N39" i="60"/>
  <c r="L39" i="60"/>
  <c r="J39" i="60"/>
  <c r="B39" i="60"/>
  <c r="Z38" i="60"/>
  <c r="X38" i="60"/>
  <c r="N38" i="60"/>
  <c r="L38" i="60"/>
  <c r="J38" i="60"/>
  <c r="F38" i="60"/>
  <c r="B38" i="60"/>
  <c r="Z37" i="60"/>
  <c r="X37" i="60"/>
  <c r="V37" i="60"/>
  <c r="N37" i="60"/>
  <c r="L37" i="60"/>
  <c r="J37" i="60"/>
  <c r="B37" i="60"/>
  <c r="Z36" i="60"/>
  <c r="X36" i="60"/>
  <c r="V36" i="60"/>
  <c r="R36" i="60"/>
  <c r="N36" i="60"/>
  <c r="L36" i="60"/>
  <c r="J36" i="60"/>
  <c r="B36" i="60"/>
  <c r="Z35" i="60"/>
  <c r="X35" i="60"/>
  <c r="V35" i="60"/>
  <c r="R35" i="60"/>
  <c r="N35" i="60"/>
  <c r="L35" i="60"/>
  <c r="J35" i="60"/>
  <c r="B35" i="60"/>
  <c r="Z34" i="60"/>
  <c r="X34" i="60"/>
  <c r="N34" i="60"/>
  <c r="L34" i="60"/>
  <c r="J34" i="60"/>
  <c r="F34" i="60"/>
  <c r="B34" i="60"/>
  <c r="Z33" i="60"/>
  <c r="X33" i="60"/>
  <c r="V33" i="60"/>
  <c r="N33" i="60"/>
  <c r="L33" i="60"/>
  <c r="J33" i="60"/>
  <c r="B33" i="60"/>
  <c r="Z32" i="60"/>
  <c r="X32" i="60"/>
  <c r="V32" i="60"/>
  <c r="R32" i="60"/>
  <c r="N32" i="60"/>
  <c r="L32" i="60"/>
  <c r="J32" i="60"/>
  <c r="F32" i="60"/>
  <c r="B32" i="60"/>
  <c r="Z31" i="60"/>
  <c r="X31" i="60"/>
  <c r="V31" i="60"/>
  <c r="R31" i="60"/>
  <c r="N31" i="60"/>
  <c r="L31" i="60"/>
  <c r="J31" i="60"/>
  <c r="B31" i="60"/>
  <c r="Z30" i="60"/>
  <c r="X30" i="60"/>
  <c r="N30" i="60"/>
  <c r="L30" i="60"/>
  <c r="J30" i="60"/>
  <c r="F30" i="60"/>
  <c r="B30" i="60"/>
  <c r="V29" i="60"/>
  <c r="T29" i="60"/>
  <c r="X29" i="60" s="1"/>
  <c r="Z29" i="60" s="1"/>
  <c r="P29" i="60"/>
  <c r="J29" i="60"/>
  <c r="H29" i="60"/>
  <c r="F29" i="60"/>
  <c r="D29" i="60"/>
  <c r="L29" i="60" s="1"/>
  <c r="B29" i="60"/>
  <c r="X28" i="60"/>
  <c r="Z28" i="60" s="1"/>
  <c r="L28" i="60"/>
  <c r="N28" i="60" s="1"/>
  <c r="F28" i="60"/>
  <c r="B28" i="60"/>
  <c r="Z27" i="60"/>
  <c r="X27" i="60"/>
  <c r="V27" i="60"/>
  <c r="N27" i="60"/>
  <c r="L27" i="60"/>
  <c r="J27" i="60"/>
  <c r="B27" i="60"/>
  <c r="X26" i="60"/>
  <c r="Z26" i="60" s="1"/>
  <c r="V26" i="60"/>
  <c r="R26" i="60"/>
  <c r="L26" i="60"/>
  <c r="N26" i="60" s="1"/>
  <c r="J26" i="60"/>
  <c r="F26" i="60"/>
  <c r="B26" i="60"/>
  <c r="Z25" i="60"/>
  <c r="X25" i="60"/>
  <c r="V25" i="60"/>
  <c r="N25" i="60"/>
  <c r="L25" i="60"/>
  <c r="J25" i="60"/>
  <c r="F25" i="60"/>
  <c r="B25" i="60"/>
  <c r="X24" i="60"/>
  <c r="Z24" i="60" s="1"/>
  <c r="L24" i="60"/>
  <c r="N24" i="60" s="1"/>
  <c r="F24" i="60"/>
  <c r="B24" i="60"/>
  <c r="Z23" i="60"/>
  <c r="X23" i="60"/>
  <c r="V23" i="60"/>
  <c r="N23" i="60"/>
  <c r="L23" i="60"/>
  <c r="J23" i="60"/>
  <c r="B23" i="60"/>
  <c r="X22" i="60"/>
  <c r="Z22" i="60" s="1"/>
  <c r="V22" i="60"/>
  <c r="R22" i="60"/>
  <c r="N22" i="60"/>
  <c r="L22" i="60"/>
  <c r="J22" i="60"/>
  <c r="F22" i="60"/>
  <c r="B22" i="60"/>
  <c r="Z21" i="60"/>
  <c r="X21" i="60"/>
  <c r="V21" i="60"/>
  <c r="N21" i="60"/>
  <c r="L21" i="60"/>
  <c r="J21" i="60"/>
  <c r="F21" i="60"/>
  <c r="B21" i="60"/>
  <c r="X20" i="60"/>
  <c r="Z20" i="60" s="1"/>
  <c r="V20" i="60"/>
  <c r="L20" i="60"/>
  <c r="N20" i="60" s="1"/>
  <c r="F20" i="60"/>
  <c r="B20" i="60"/>
  <c r="Z19" i="60"/>
  <c r="X19" i="60"/>
  <c r="V19" i="60"/>
  <c r="T19" i="60"/>
  <c r="P19" i="60"/>
  <c r="J19" i="60"/>
  <c r="H19" i="60"/>
  <c r="F19" i="60"/>
  <c r="D19" i="60"/>
  <c r="L19" i="60" s="1"/>
  <c r="N19" i="60" s="1"/>
  <c r="B19" i="60"/>
  <c r="T18" i="60"/>
  <c r="P18" i="60"/>
  <c r="X18" i="60" s="1"/>
  <c r="Z18" i="60" s="1"/>
  <c r="H18" i="60"/>
  <c r="F18" i="60"/>
  <c r="D18" i="60"/>
  <c r="F16" i="60"/>
  <c r="Z14" i="60"/>
  <c r="X14" i="60"/>
  <c r="T14" i="60"/>
  <c r="T16" i="60" s="1"/>
  <c r="P14" i="60"/>
  <c r="H14" i="60"/>
  <c r="N14" i="60" s="1"/>
  <c r="F14" i="60"/>
  <c r="D14" i="60"/>
  <c r="D16" i="60" s="1"/>
  <c r="Z12" i="60"/>
  <c r="X12" i="60"/>
  <c r="T12" i="60"/>
  <c r="V54" i="60" s="1"/>
  <c r="P12" i="60"/>
  <c r="R44" i="60" s="1"/>
  <c r="N12" i="60"/>
  <c r="L12" i="60"/>
  <c r="H12" i="60"/>
  <c r="J50" i="60" s="1"/>
  <c r="D12" i="60"/>
  <c r="F39" i="60" s="1"/>
  <c r="D6" i="60"/>
  <c r="D4" i="60"/>
  <c r="Z75" i="59"/>
  <c r="X75" i="59"/>
  <c r="R75" i="59"/>
  <c r="N75" i="59"/>
  <c r="L75" i="59"/>
  <c r="R73" i="59"/>
  <c r="T71" i="59"/>
  <c r="Z71" i="59" s="1"/>
  <c r="R71" i="59"/>
  <c r="P71" i="59"/>
  <c r="N71" i="59"/>
  <c r="L71" i="59"/>
  <c r="H71" i="59"/>
  <c r="D71" i="59"/>
  <c r="Z69" i="59"/>
  <c r="X69" i="59"/>
  <c r="R69" i="59"/>
  <c r="N69" i="59"/>
  <c r="L69" i="59"/>
  <c r="J69" i="59"/>
  <c r="B69" i="59"/>
  <c r="Z68" i="59"/>
  <c r="X68" i="59"/>
  <c r="N68" i="59"/>
  <c r="L68" i="59"/>
  <c r="J68" i="59"/>
  <c r="B68" i="59"/>
  <c r="X67" i="59"/>
  <c r="Z67" i="59" s="1"/>
  <c r="T67" i="59"/>
  <c r="P67" i="59"/>
  <c r="H67" i="59"/>
  <c r="N67" i="59" s="1"/>
  <c r="D67" i="59"/>
  <c r="B67" i="59"/>
  <c r="Z66" i="59"/>
  <c r="X66" i="59"/>
  <c r="N66" i="59"/>
  <c r="L66" i="59"/>
  <c r="B66" i="59"/>
  <c r="X65" i="59"/>
  <c r="Z65" i="59" s="1"/>
  <c r="T65" i="59"/>
  <c r="P65" i="59"/>
  <c r="H65" i="59"/>
  <c r="D65" i="59"/>
  <c r="L65" i="59" s="1"/>
  <c r="B65" i="59"/>
  <c r="X64" i="59"/>
  <c r="Z64" i="59" s="1"/>
  <c r="N64" i="59"/>
  <c r="L64" i="59"/>
  <c r="B64" i="59"/>
  <c r="X63" i="59"/>
  <c r="Z63" i="59" s="1"/>
  <c r="V63" i="59"/>
  <c r="R63" i="59"/>
  <c r="L63" i="59"/>
  <c r="N63" i="59" s="1"/>
  <c r="B63" i="59"/>
  <c r="T62" i="59"/>
  <c r="R62" i="59"/>
  <c r="P62" i="59"/>
  <c r="X62" i="59" s="1"/>
  <c r="Z62" i="59" s="1"/>
  <c r="N62" i="59"/>
  <c r="L62" i="59"/>
  <c r="J62" i="59"/>
  <c r="H62" i="59"/>
  <c r="D62" i="59"/>
  <c r="B62" i="59"/>
  <c r="X61" i="59"/>
  <c r="Z61" i="59" s="1"/>
  <c r="R61" i="59"/>
  <c r="N61" i="59"/>
  <c r="L61" i="59"/>
  <c r="J61" i="59"/>
  <c r="B61" i="59"/>
  <c r="Z60" i="59"/>
  <c r="X60" i="59"/>
  <c r="T60" i="59"/>
  <c r="R60" i="59"/>
  <c r="P60" i="59"/>
  <c r="L60" i="59"/>
  <c r="N60" i="59" s="1"/>
  <c r="J60" i="59"/>
  <c r="H60" i="59"/>
  <c r="D60" i="59"/>
  <c r="B60" i="59"/>
  <c r="X59" i="59"/>
  <c r="Z59" i="59" s="1"/>
  <c r="R59" i="59"/>
  <c r="L59" i="59"/>
  <c r="N59" i="59" s="1"/>
  <c r="J59" i="59"/>
  <c r="B59" i="59"/>
  <c r="Z58" i="59"/>
  <c r="T58" i="59"/>
  <c r="X58" i="59" s="1"/>
  <c r="R58" i="59"/>
  <c r="P58" i="59"/>
  <c r="J58" i="59"/>
  <c r="H58" i="59"/>
  <c r="D58" i="59"/>
  <c r="L58" i="59" s="1"/>
  <c r="B58" i="59"/>
  <c r="Z57" i="59"/>
  <c r="X57" i="59"/>
  <c r="R57" i="59"/>
  <c r="N57" i="59"/>
  <c r="L57" i="59"/>
  <c r="B57" i="59"/>
  <c r="X56" i="59"/>
  <c r="Z56" i="59" s="1"/>
  <c r="V56" i="59"/>
  <c r="N56" i="59"/>
  <c r="L56" i="59"/>
  <c r="B56" i="59"/>
  <c r="X55" i="59"/>
  <c r="Z55" i="59" s="1"/>
  <c r="R55" i="59"/>
  <c r="N55" i="59"/>
  <c r="L55" i="59"/>
  <c r="B55" i="59"/>
  <c r="Z54" i="59"/>
  <c r="X54" i="59"/>
  <c r="L54" i="59"/>
  <c r="N54" i="59" s="1"/>
  <c r="J54" i="59"/>
  <c r="B54" i="59"/>
  <c r="X53" i="59"/>
  <c r="T53" i="59"/>
  <c r="Z53" i="59" s="1"/>
  <c r="P53" i="59"/>
  <c r="J53" i="59"/>
  <c r="H53" i="59"/>
  <c r="D53" i="59"/>
  <c r="L53" i="59" s="1"/>
  <c r="B53" i="59"/>
  <c r="Z52" i="59"/>
  <c r="X52" i="59"/>
  <c r="N52" i="59"/>
  <c r="L52" i="59"/>
  <c r="J52" i="59"/>
  <c r="B52" i="59"/>
  <c r="Z51" i="59"/>
  <c r="X51" i="59"/>
  <c r="T51" i="59"/>
  <c r="P51" i="59"/>
  <c r="H51" i="59"/>
  <c r="D51" i="59"/>
  <c r="B51" i="59"/>
  <c r="Z50" i="59"/>
  <c r="X50" i="59"/>
  <c r="N50" i="59"/>
  <c r="L50" i="59"/>
  <c r="B50" i="59"/>
  <c r="X49" i="59"/>
  <c r="T49" i="59"/>
  <c r="P49" i="59"/>
  <c r="H49" i="59"/>
  <c r="N49" i="59" s="1"/>
  <c r="D49" i="59"/>
  <c r="L49" i="59" s="1"/>
  <c r="B49" i="59"/>
  <c r="Z48" i="59"/>
  <c r="X48" i="59"/>
  <c r="N48" i="59"/>
  <c r="L48" i="59"/>
  <c r="B48" i="59"/>
  <c r="X47" i="59"/>
  <c r="V47" i="59"/>
  <c r="T47" i="59"/>
  <c r="R47" i="59"/>
  <c r="P47" i="59"/>
  <c r="L47" i="59"/>
  <c r="H47" i="59"/>
  <c r="N47" i="59" s="1"/>
  <c r="D47" i="59"/>
  <c r="B47" i="59"/>
  <c r="Z46" i="59"/>
  <c r="X46" i="59"/>
  <c r="V46" i="59"/>
  <c r="R46" i="59"/>
  <c r="N46" i="59"/>
  <c r="L46" i="59"/>
  <c r="J46" i="59"/>
  <c r="B46" i="59"/>
  <c r="X45" i="59"/>
  <c r="Z45" i="59" s="1"/>
  <c r="R45" i="59"/>
  <c r="N45" i="59"/>
  <c r="L45" i="59"/>
  <c r="J45" i="59"/>
  <c r="B45" i="59"/>
  <c r="Z44" i="59"/>
  <c r="X44" i="59"/>
  <c r="T44" i="59"/>
  <c r="R44" i="59"/>
  <c r="P44" i="59"/>
  <c r="L44" i="59"/>
  <c r="N44" i="59" s="1"/>
  <c r="J44" i="59"/>
  <c r="H44" i="59"/>
  <c r="D44" i="59"/>
  <c r="B44" i="59"/>
  <c r="Z43" i="59"/>
  <c r="X43" i="59"/>
  <c r="R43" i="59"/>
  <c r="N43" i="59"/>
  <c r="L43" i="59"/>
  <c r="J43" i="59"/>
  <c r="B43" i="59"/>
  <c r="Z42" i="59"/>
  <c r="X42" i="59"/>
  <c r="T42" i="59"/>
  <c r="R42" i="59"/>
  <c r="P42" i="59"/>
  <c r="J42" i="59"/>
  <c r="H42" i="59"/>
  <c r="N42" i="59" s="1"/>
  <c r="D42" i="59"/>
  <c r="B42" i="59"/>
  <c r="Z41" i="59"/>
  <c r="X41" i="59"/>
  <c r="R41" i="59"/>
  <c r="N41" i="59"/>
  <c r="L41" i="59"/>
  <c r="B41" i="59"/>
  <c r="Z40" i="59"/>
  <c r="X40" i="59"/>
  <c r="V40" i="59"/>
  <c r="N40" i="59"/>
  <c r="L40" i="59"/>
  <c r="B40" i="59"/>
  <c r="X39" i="59"/>
  <c r="Z39" i="59" s="1"/>
  <c r="R39" i="59"/>
  <c r="N39" i="59"/>
  <c r="L39" i="59"/>
  <c r="B39" i="59"/>
  <c r="Z38" i="59"/>
  <c r="X38" i="59"/>
  <c r="N38" i="59"/>
  <c r="L38" i="59"/>
  <c r="J38" i="59"/>
  <c r="B38" i="59"/>
  <c r="Z37" i="59"/>
  <c r="X37" i="59"/>
  <c r="R37" i="59"/>
  <c r="N37" i="59"/>
  <c r="L37" i="59"/>
  <c r="B37" i="59"/>
  <c r="Z36" i="59"/>
  <c r="X36" i="59"/>
  <c r="N36" i="59"/>
  <c r="L36" i="59"/>
  <c r="B36" i="59"/>
  <c r="X35" i="59"/>
  <c r="Z35" i="59" s="1"/>
  <c r="R35" i="59"/>
  <c r="L35" i="59"/>
  <c r="N35" i="59" s="1"/>
  <c r="B35" i="59"/>
  <c r="Z34" i="59"/>
  <c r="X34" i="59"/>
  <c r="N34" i="59"/>
  <c r="L34" i="59"/>
  <c r="J34" i="59"/>
  <c r="B34" i="59"/>
  <c r="X33" i="59"/>
  <c r="Z33" i="59" s="1"/>
  <c r="R33" i="59"/>
  <c r="L33" i="59"/>
  <c r="N33" i="59" s="1"/>
  <c r="B33" i="59"/>
  <c r="Z32" i="59"/>
  <c r="X32" i="59"/>
  <c r="N32" i="59"/>
  <c r="L32" i="59"/>
  <c r="B32" i="59"/>
  <c r="X31" i="59"/>
  <c r="T31" i="59"/>
  <c r="R31" i="59"/>
  <c r="P31" i="59"/>
  <c r="L31" i="59"/>
  <c r="H31" i="59"/>
  <c r="N31" i="59" s="1"/>
  <c r="D31" i="59"/>
  <c r="B31" i="59"/>
  <c r="Z30" i="59"/>
  <c r="X30" i="59"/>
  <c r="R30" i="59"/>
  <c r="N30" i="59"/>
  <c r="L30" i="59"/>
  <c r="J30" i="59"/>
  <c r="B30" i="59"/>
  <c r="X29" i="59"/>
  <c r="Z29" i="59" s="1"/>
  <c r="R29" i="59"/>
  <c r="L29" i="59"/>
  <c r="N29" i="59" s="1"/>
  <c r="J29" i="59"/>
  <c r="B29" i="59"/>
  <c r="Z28" i="59"/>
  <c r="X28" i="59"/>
  <c r="N28" i="59"/>
  <c r="L28" i="59"/>
  <c r="J28" i="59"/>
  <c r="B28" i="59"/>
  <c r="Z27" i="59"/>
  <c r="X27" i="59"/>
  <c r="R27" i="59"/>
  <c r="N27" i="59"/>
  <c r="L27" i="59"/>
  <c r="B27" i="59"/>
  <c r="Z26" i="59"/>
  <c r="X26" i="59"/>
  <c r="V26" i="59"/>
  <c r="R26" i="59"/>
  <c r="N26" i="59"/>
  <c r="L26" i="59"/>
  <c r="J26" i="59"/>
  <c r="B26" i="59"/>
  <c r="X25" i="59"/>
  <c r="Z25" i="59" s="1"/>
  <c r="R25" i="59"/>
  <c r="L25" i="59"/>
  <c r="N25" i="59" s="1"/>
  <c r="J25" i="59"/>
  <c r="B25" i="59"/>
  <c r="Z24" i="59"/>
  <c r="X24" i="59"/>
  <c r="N24" i="59"/>
  <c r="L24" i="59"/>
  <c r="J24" i="59"/>
  <c r="B24" i="59"/>
  <c r="X23" i="59"/>
  <c r="Z23" i="59" s="1"/>
  <c r="R23" i="59"/>
  <c r="L23" i="59"/>
  <c r="N23" i="59" s="1"/>
  <c r="B23" i="59"/>
  <c r="Z22" i="59"/>
  <c r="X22" i="59"/>
  <c r="V22" i="59"/>
  <c r="R22" i="59"/>
  <c r="N22" i="59"/>
  <c r="L22" i="59"/>
  <c r="J22" i="59"/>
  <c r="B22" i="59"/>
  <c r="X21" i="59"/>
  <c r="Z21" i="59" s="1"/>
  <c r="R21" i="59"/>
  <c r="N21" i="59"/>
  <c r="L21" i="59"/>
  <c r="J21" i="59"/>
  <c r="B21" i="59"/>
  <c r="Z20" i="59"/>
  <c r="X20" i="59"/>
  <c r="T20" i="59"/>
  <c r="R20" i="59"/>
  <c r="P20" i="59"/>
  <c r="N20" i="59"/>
  <c r="J20" i="59"/>
  <c r="H20" i="59"/>
  <c r="L20" i="59" s="1"/>
  <c r="D20" i="59"/>
  <c r="B20" i="59"/>
  <c r="T19" i="59"/>
  <c r="P19" i="59"/>
  <c r="J19" i="59"/>
  <c r="H19" i="59"/>
  <c r="D19" i="59"/>
  <c r="P17" i="59"/>
  <c r="N17" i="59"/>
  <c r="J17" i="59"/>
  <c r="H17" i="59"/>
  <c r="T15" i="59"/>
  <c r="Z15" i="59" s="1"/>
  <c r="P15" i="59"/>
  <c r="X15" i="59" s="1"/>
  <c r="N15" i="59"/>
  <c r="J15" i="59"/>
  <c r="H15" i="59"/>
  <c r="D15" i="59"/>
  <c r="L15" i="59" s="1"/>
  <c r="X13" i="59"/>
  <c r="Z13" i="59" s="1"/>
  <c r="P13" i="59"/>
  <c r="N13" i="59"/>
  <c r="D13" i="59"/>
  <c r="B13" i="59"/>
  <c r="X12" i="59"/>
  <c r="T12" i="59"/>
  <c r="V48" i="59" s="1"/>
  <c r="P12" i="59"/>
  <c r="R80" i="59" s="1"/>
  <c r="N12" i="59"/>
  <c r="H12" i="59"/>
  <c r="J73" i="59" s="1"/>
  <c r="D6" i="59"/>
  <c r="D4" i="59"/>
  <c r="V83" i="58"/>
  <c r="R83" i="58"/>
  <c r="V80" i="58"/>
  <c r="R80" i="58"/>
  <c r="Z78" i="58"/>
  <c r="X78" i="58"/>
  <c r="V78" i="58"/>
  <c r="R78" i="58"/>
  <c r="N78" i="58"/>
  <c r="L78" i="58"/>
  <c r="R76" i="58"/>
  <c r="J76" i="58"/>
  <c r="F76" i="58"/>
  <c r="Z74" i="58"/>
  <c r="T74" i="58"/>
  <c r="R74" i="58"/>
  <c r="P74" i="58"/>
  <c r="X74" i="58" s="1"/>
  <c r="N74" i="58"/>
  <c r="L74" i="58"/>
  <c r="H74" i="58"/>
  <c r="D74" i="58"/>
  <c r="Z72" i="58"/>
  <c r="X72" i="58"/>
  <c r="L72" i="58"/>
  <c r="N72" i="58" s="1"/>
  <c r="B72" i="58"/>
  <c r="X71" i="58"/>
  <c r="T71" i="58"/>
  <c r="P71" i="58"/>
  <c r="J71" i="58"/>
  <c r="H71" i="58"/>
  <c r="F71" i="58"/>
  <c r="D71" i="58"/>
  <c r="B71" i="58"/>
  <c r="Z70" i="58"/>
  <c r="X70" i="58"/>
  <c r="N70" i="58"/>
  <c r="L70" i="58"/>
  <c r="F70" i="58"/>
  <c r="B70" i="58"/>
  <c r="T69" i="58"/>
  <c r="P69" i="58"/>
  <c r="H69" i="58"/>
  <c r="N69" i="58" s="1"/>
  <c r="D69" i="58"/>
  <c r="B69" i="58"/>
  <c r="Z68" i="58"/>
  <c r="X68" i="58"/>
  <c r="V68" i="58"/>
  <c r="N68" i="58"/>
  <c r="L68" i="58"/>
  <c r="B68" i="58"/>
  <c r="Z67" i="58"/>
  <c r="X67" i="58"/>
  <c r="V67" i="58"/>
  <c r="T67" i="58"/>
  <c r="P67" i="58"/>
  <c r="H67" i="58"/>
  <c r="N67" i="58" s="1"/>
  <c r="D67" i="58"/>
  <c r="L67" i="58" s="1"/>
  <c r="B67" i="58"/>
  <c r="Z66" i="58"/>
  <c r="X66" i="58"/>
  <c r="V66" i="58"/>
  <c r="N66" i="58"/>
  <c r="L66" i="58"/>
  <c r="B66" i="58"/>
  <c r="X65" i="58"/>
  <c r="Z65" i="58" s="1"/>
  <c r="V65" i="58"/>
  <c r="R65" i="58"/>
  <c r="N65" i="58"/>
  <c r="L65" i="58"/>
  <c r="B65" i="58"/>
  <c r="Z64" i="58"/>
  <c r="X64" i="58"/>
  <c r="L64" i="58"/>
  <c r="N64" i="58" s="1"/>
  <c r="B64" i="58"/>
  <c r="X63" i="58"/>
  <c r="T63" i="58"/>
  <c r="Z63" i="58" s="1"/>
  <c r="P63" i="58"/>
  <c r="J63" i="58"/>
  <c r="H63" i="58"/>
  <c r="F63" i="58"/>
  <c r="D63" i="58"/>
  <c r="L63" i="58" s="1"/>
  <c r="B63" i="58"/>
  <c r="Z62" i="58"/>
  <c r="X62" i="58"/>
  <c r="N62" i="58"/>
  <c r="L62" i="58"/>
  <c r="J62" i="58"/>
  <c r="B62" i="58"/>
  <c r="Z61" i="58"/>
  <c r="T61" i="58"/>
  <c r="X61" i="58" s="1"/>
  <c r="P61" i="58"/>
  <c r="H61" i="58"/>
  <c r="N61" i="58" s="1"/>
  <c r="D61" i="58"/>
  <c r="B61" i="58"/>
  <c r="Z60" i="58"/>
  <c r="X60" i="58"/>
  <c r="V60" i="58"/>
  <c r="N60" i="58"/>
  <c r="L60" i="58"/>
  <c r="B60" i="58"/>
  <c r="Z59" i="58"/>
  <c r="X59" i="58"/>
  <c r="V59" i="58"/>
  <c r="R59" i="58"/>
  <c r="L59" i="58"/>
  <c r="N59" i="58" s="1"/>
  <c r="B59" i="58"/>
  <c r="V58" i="58"/>
  <c r="T58" i="58"/>
  <c r="R58" i="58"/>
  <c r="P58" i="58"/>
  <c r="N58" i="58"/>
  <c r="L58" i="58"/>
  <c r="J58" i="58"/>
  <c r="H58" i="58"/>
  <c r="D58" i="58"/>
  <c r="B58" i="58"/>
  <c r="X57" i="58"/>
  <c r="Z57" i="58" s="1"/>
  <c r="V57" i="58"/>
  <c r="R57" i="58"/>
  <c r="N57" i="58"/>
  <c r="L57" i="58"/>
  <c r="B57" i="58"/>
  <c r="Z56" i="58"/>
  <c r="X56" i="58"/>
  <c r="N56" i="58"/>
  <c r="L56" i="58"/>
  <c r="B56" i="58"/>
  <c r="X55" i="58"/>
  <c r="T55" i="58"/>
  <c r="Z55" i="58" s="1"/>
  <c r="P55" i="58"/>
  <c r="J55" i="58"/>
  <c r="H55" i="58"/>
  <c r="F55" i="58"/>
  <c r="D55" i="58"/>
  <c r="L55" i="58" s="1"/>
  <c r="B55" i="58"/>
  <c r="Z54" i="58"/>
  <c r="X54" i="58"/>
  <c r="N54" i="58"/>
  <c r="L54" i="58"/>
  <c r="J54" i="58"/>
  <c r="B54" i="58"/>
  <c r="T53" i="58"/>
  <c r="X53" i="58" s="1"/>
  <c r="P53" i="58"/>
  <c r="H53" i="58"/>
  <c r="D53" i="58"/>
  <c r="B53" i="58"/>
  <c r="Z52" i="58"/>
  <c r="X52" i="58"/>
  <c r="V52" i="58"/>
  <c r="N52" i="58"/>
  <c r="L52" i="58"/>
  <c r="B52" i="58"/>
  <c r="X51" i="58"/>
  <c r="Z51" i="58" s="1"/>
  <c r="V51" i="58"/>
  <c r="T51" i="58"/>
  <c r="P51" i="58"/>
  <c r="H51" i="58"/>
  <c r="D51" i="58"/>
  <c r="L51" i="58" s="1"/>
  <c r="B51" i="58"/>
  <c r="Z50" i="58"/>
  <c r="X50" i="58"/>
  <c r="V50" i="58"/>
  <c r="N50" i="58"/>
  <c r="L50" i="58"/>
  <c r="B50" i="58"/>
  <c r="X49" i="58"/>
  <c r="V49" i="58"/>
  <c r="T49" i="58"/>
  <c r="R49" i="58"/>
  <c r="P49" i="58"/>
  <c r="L49" i="58"/>
  <c r="H49" i="58"/>
  <c r="D49" i="58"/>
  <c r="B49" i="58"/>
  <c r="X48" i="58"/>
  <c r="Z48" i="58" s="1"/>
  <c r="V48" i="58"/>
  <c r="R48" i="58"/>
  <c r="N48" i="58"/>
  <c r="L48" i="58"/>
  <c r="B48" i="58"/>
  <c r="T47" i="58"/>
  <c r="R47" i="58"/>
  <c r="P47" i="58"/>
  <c r="N47" i="58"/>
  <c r="H47" i="58"/>
  <c r="L47" i="58" s="1"/>
  <c r="D47" i="58"/>
  <c r="B47" i="58"/>
  <c r="Z46" i="58"/>
  <c r="X46" i="58"/>
  <c r="V46" i="58"/>
  <c r="R46" i="58"/>
  <c r="N46" i="58"/>
  <c r="L46" i="58"/>
  <c r="B46" i="58"/>
  <c r="T45" i="58"/>
  <c r="P45" i="58"/>
  <c r="X45" i="58" s="1"/>
  <c r="L45" i="58"/>
  <c r="N45" i="58" s="1"/>
  <c r="H45" i="58"/>
  <c r="D45" i="58"/>
  <c r="B45" i="58"/>
  <c r="Z44" i="58"/>
  <c r="X44" i="58"/>
  <c r="L44" i="58"/>
  <c r="N44" i="58" s="1"/>
  <c r="F44" i="58"/>
  <c r="B44" i="58"/>
  <c r="X43" i="58"/>
  <c r="T43" i="58"/>
  <c r="P43" i="58"/>
  <c r="H43" i="58"/>
  <c r="D43" i="58"/>
  <c r="L43" i="58" s="1"/>
  <c r="B43" i="58"/>
  <c r="Z42" i="58"/>
  <c r="X42" i="58"/>
  <c r="N42" i="58"/>
  <c r="L42" i="58"/>
  <c r="B42" i="58"/>
  <c r="X41" i="58"/>
  <c r="T41" i="58"/>
  <c r="Z41" i="58" s="1"/>
  <c r="P41" i="58"/>
  <c r="H41" i="58"/>
  <c r="D41" i="58"/>
  <c r="L41" i="58" s="1"/>
  <c r="B41" i="58"/>
  <c r="Z40" i="58"/>
  <c r="X40" i="58"/>
  <c r="V40" i="58"/>
  <c r="N40" i="58"/>
  <c r="L40" i="58"/>
  <c r="B40" i="58"/>
  <c r="Z39" i="58"/>
  <c r="X39" i="58"/>
  <c r="V39" i="58"/>
  <c r="R39" i="58"/>
  <c r="N39" i="58"/>
  <c r="L39" i="58"/>
  <c r="B39" i="58"/>
  <c r="Z38" i="58"/>
  <c r="X38" i="58"/>
  <c r="V38" i="58"/>
  <c r="R38" i="58"/>
  <c r="N38" i="58"/>
  <c r="L38" i="58"/>
  <c r="B38" i="58"/>
  <c r="Z37" i="58"/>
  <c r="X37" i="58"/>
  <c r="R37" i="58"/>
  <c r="N37" i="58"/>
  <c r="L37" i="58"/>
  <c r="J37" i="58"/>
  <c r="B37" i="58"/>
  <c r="Z36" i="58"/>
  <c r="X36" i="58"/>
  <c r="V36" i="58"/>
  <c r="N36" i="58"/>
  <c r="L36" i="58"/>
  <c r="B36" i="58"/>
  <c r="X35" i="58"/>
  <c r="Z35" i="58" s="1"/>
  <c r="V35" i="58"/>
  <c r="R35" i="58"/>
  <c r="L35" i="58"/>
  <c r="N35" i="58" s="1"/>
  <c r="B35" i="58"/>
  <c r="Z34" i="58"/>
  <c r="X34" i="58"/>
  <c r="V34" i="58"/>
  <c r="R34" i="58"/>
  <c r="L34" i="58"/>
  <c r="N34" i="58" s="1"/>
  <c r="J34" i="58"/>
  <c r="B34" i="58"/>
  <c r="Z33" i="58"/>
  <c r="X33" i="58"/>
  <c r="R33" i="58"/>
  <c r="N33" i="58"/>
  <c r="L33" i="58"/>
  <c r="B33" i="58"/>
  <c r="Z32" i="58"/>
  <c r="X32" i="58"/>
  <c r="V32" i="58"/>
  <c r="N32" i="58"/>
  <c r="L32" i="58"/>
  <c r="B32" i="58"/>
  <c r="X31" i="58"/>
  <c r="Z31" i="58" s="1"/>
  <c r="V31" i="58"/>
  <c r="R31" i="58"/>
  <c r="L31" i="58"/>
  <c r="N31" i="58" s="1"/>
  <c r="B31" i="58"/>
  <c r="V30" i="58"/>
  <c r="T30" i="58"/>
  <c r="R30" i="58"/>
  <c r="P30" i="58"/>
  <c r="N30" i="58"/>
  <c r="J30" i="58"/>
  <c r="H30" i="58"/>
  <c r="L30" i="58" s="1"/>
  <c r="D30" i="58"/>
  <c r="B30" i="58"/>
  <c r="X29" i="58"/>
  <c r="Z29" i="58" s="1"/>
  <c r="V29" i="58"/>
  <c r="R29" i="58"/>
  <c r="L29" i="58"/>
  <c r="N29" i="58" s="1"/>
  <c r="F29" i="58"/>
  <c r="B29" i="58"/>
  <c r="Z28" i="58"/>
  <c r="X28" i="58"/>
  <c r="L28" i="58"/>
  <c r="N28" i="58" s="1"/>
  <c r="J28" i="58"/>
  <c r="B28" i="58"/>
  <c r="X27" i="58"/>
  <c r="Z27" i="58" s="1"/>
  <c r="R27" i="58"/>
  <c r="L27" i="58"/>
  <c r="N27" i="58" s="1"/>
  <c r="F27" i="58"/>
  <c r="B27" i="58"/>
  <c r="Z26" i="58"/>
  <c r="X26" i="58"/>
  <c r="V26" i="58"/>
  <c r="N26" i="58"/>
  <c r="L26" i="58"/>
  <c r="B26" i="58"/>
  <c r="X25" i="58"/>
  <c r="Z25" i="58" s="1"/>
  <c r="V25" i="58"/>
  <c r="R25" i="58"/>
  <c r="N25" i="58"/>
  <c r="L25" i="58"/>
  <c r="F25" i="58"/>
  <c r="B25" i="58"/>
  <c r="Z24" i="58"/>
  <c r="X24" i="58"/>
  <c r="L24" i="58"/>
  <c r="N24" i="58" s="1"/>
  <c r="B24" i="58"/>
  <c r="X23" i="58"/>
  <c r="Z23" i="58" s="1"/>
  <c r="R23" i="58"/>
  <c r="L23" i="58"/>
  <c r="N23" i="58" s="1"/>
  <c r="F23" i="58"/>
  <c r="B23" i="58"/>
  <c r="Z22" i="58"/>
  <c r="X22" i="58"/>
  <c r="V22" i="58"/>
  <c r="N22" i="58"/>
  <c r="L22" i="58"/>
  <c r="B22" i="58"/>
  <c r="X21" i="58"/>
  <c r="Z21" i="58" s="1"/>
  <c r="V21" i="58"/>
  <c r="R21" i="58"/>
  <c r="N21" i="58"/>
  <c r="L21" i="58"/>
  <c r="B21" i="58"/>
  <c r="Z20" i="58"/>
  <c r="X20" i="58"/>
  <c r="N20" i="58"/>
  <c r="L20" i="58"/>
  <c r="F20" i="58"/>
  <c r="B20" i="58"/>
  <c r="X19" i="58"/>
  <c r="T19" i="58"/>
  <c r="P19" i="58"/>
  <c r="J19" i="58"/>
  <c r="H19" i="58"/>
  <c r="D19" i="58"/>
  <c r="L19" i="58" s="1"/>
  <c r="B19" i="58"/>
  <c r="T18" i="58"/>
  <c r="R18" i="58"/>
  <c r="P18" i="58"/>
  <c r="H18" i="58"/>
  <c r="N18" i="58" s="1"/>
  <c r="D18" i="58"/>
  <c r="L18" i="58" s="1"/>
  <c r="R16" i="58"/>
  <c r="H16" i="58"/>
  <c r="F16" i="58"/>
  <c r="Z14" i="58"/>
  <c r="T14" i="58"/>
  <c r="R14" i="58"/>
  <c r="P14" i="58"/>
  <c r="X14" i="58" s="1"/>
  <c r="N14" i="58"/>
  <c r="L14" i="58"/>
  <c r="H14" i="58"/>
  <c r="F14" i="58"/>
  <c r="D14" i="58"/>
  <c r="Z12" i="58"/>
  <c r="T12" i="58"/>
  <c r="V69" i="58" s="1"/>
  <c r="P12" i="58"/>
  <c r="R67" i="58" s="1"/>
  <c r="H12" i="58"/>
  <c r="J72" i="58" s="1"/>
  <c r="D12" i="58"/>
  <c r="F69" i="58" s="1"/>
  <c r="D6" i="58"/>
  <c r="D4" i="58"/>
  <c r="R85" i="57"/>
  <c r="J85" i="57"/>
  <c r="R82" i="57"/>
  <c r="Z80" i="57"/>
  <c r="X80" i="57"/>
  <c r="N80" i="57"/>
  <c r="L80" i="57"/>
  <c r="R78" i="57"/>
  <c r="Z76" i="57"/>
  <c r="X76" i="57"/>
  <c r="V76" i="57"/>
  <c r="T76" i="57"/>
  <c r="R76" i="57"/>
  <c r="P76" i="57"/>
  <c r="N76" i="57"/>
  <c r="H76" i="57"/>
  <c r="D76" i="57"/>
  <c r="L76" i="57" s="1"/>
  <c r="X74" i="57"/>
  <c r="Z74" i="57" s="1"/>
  <c r="R74" i="57"/>
  <c r="N74" i="57"/>
  <c r="L74" i="57"/>
  <c r="B74" i="57"/>
  <c r="T73" i="57"/>
  <c r="R73" i="57"/>
  <c r="P73" i="57"/>
  <c r="H73" i="57"/>
  <c r="L73" i="57" s="1"/>
  <c r="N73" i="57" s="1"/>
  <c r="D73" i="57"/>
  <c r="B73" i="57"/>
  <c r="Z72" i="57"/>
  <c r="X72" i="57"/>
  <c r="R72" i="57"/>
  <c r="N72" i="57"/>
  <c r="L72" i="57"/>
  <c r="J72" i="57"/>
  <c r="B72" i="57"/>
  <c r="T71" i="57"/>
  <c r="P71" i="57"/>
  <c r="X71" i="57" s="1"/>
  <c r="H71" i="57"/>
  <c r="D71" i="57"/>
  <c r="B71" i="57"/>
  <c r="Z70" i="57"/>
  <c r="X70" i="57"/>
  <c r="N70" i="57"/>
  <c r="L70" i="57"/>
  <c r="B70" i="57"/>
  <c r="X69" i="57"/>
  <c r="Z69" i="57" s="1"/>
  <c r="R69" i="57"/>
  <c r="L69" i="57"/>
  <c r="N69" i="57" s="1"/>
  <c r="B69" i="57"/>
  <c r="Z68" i="57"/>
  <c r="X68" i="57"/>
  <c r="T68" i="57"/>
  <c r="R68" i="57"/>
  <c r="P68" i="57"/>
  <c r="H68" i="57"/>
  <c r="D68" i="57"/>
  <c r="L68" i="57" s="1"/>
  <c r="N68" i="57" s="1"/>
  <c r="B68" i="57"/>
  <c r="Z67" i="57"/>
  <c r="X67" i="57"/>
  <c r="R67" i="57"/>
  <c r="N67" i="57"/>
  <c r="L67" i="57"/>
  <c r="B67" i="57"/>
  <c r="T66" i="57"/>
  <c r="Z66" i="57" s="1"/>
  <c r="R66" i="57"/>
  <c r="P66" i="57"/>
  <c r="N66" i="57"/>
  <c r="H66" i="57"/>
  <c r="L66" i="57" s="1"/>
  <c r="D66" i="57"/>
  <c r="B66" i="57"/>
  <c r="X65" i="57"/>
  <c r="Z65" i="57" s="1"/>
  <c r="R65" i="57"/>
  <c r="L65" i="57"/>
  <c r="N65" i="57" s="1"/>
  <c r="B65" i="57"/>
  <c r="T64" i="57"/>
  <c r="Z64" i="57" s="1"/>
  <c r="R64" i="57"/>
  <c r="P64" i="57"/>
  <c r="X64" i="57" s="1"/>
  <c r="N64" i="57"/>
  <c r="J64" i="57"/>
  <c r="H64" i="57"/>
  <c r="D64" i="57"/>
  <c r="L64" i="57" s="1"/>
  <c r="B64" i="57"/>
  <c r="Z63" i="57"/>
  <c r="X63" i="57"/>
  <c r="R63" i="57"/>
  <c r="N63" i="57"/>
  <c r="L63" i="57"/>
  <c r="B63" i="57"/>
  <c r="Z62" i="57"/>
  <c r="X62" i="57"/>
  <c r="N62" i="57"/>
  <c r="L62" i="57"/>
  <c r="J62" i="57"/>
  <c r="B62" i="57"/>
  <c r="Z61" i="57"/>
  <c r="X61" i="57"/>
  <c r="R61" i="57"/>
  <c r="N61" i="57"/>
  <c r="L61" i="57"/>
  <c r="B61" i="57"/>
  <c r="Z60" i="57"/>
  <c r="X60" i="57"/>
  <c r="T60" i="57"/>
  <c r="R60" i="57"/>
  <c r="P60" i="57"/>
  <c r="H60" i="57"/>
  <c r="D60" i="57"/>
  <c r="L60" i="57" s="1"/>
  <c r="N60" i="57" s="1"/>
  <c r="B60" i="57"/>
  <c r="Z59" i="57"/>
  <c r="X59" i="57"/>
  <c r="R59" i="57"/>
  <c r="L59" i="57"/>
  <c r="N59" i="57" s="1"/>
  <c r="B59" i="57"/>
  <c r="T58" i="57"/>
  <c r="R58" i="57"/>
  <c r="P58" i="57"/>
  <c r="N58" i="57"/>
  <c r="H58" i="57"/>
  <c r="L58" i="57" s="1"/>
  <c r="D58" i="57"/>
  <c r="B58" i="57"/>
  <c r="Z57" i="57"/>
  <c r="X57" i="57"/>
  <c r="R57" i="57"/>
  <c r="N57" i="57"/>
  <c r="L57" i="57"/>
  <c r="B57" i="57"/>
  <c r="Z56" i="57"/>
  <c r="X56" i="57"/>
  <c r="V56" i="57"/>
  <c r="R56" i="57"/>
  <c r="N56" i="57"/>
  <c r="L56" i="57"/>
  <c r="J56" i="57"/>
  <c r="B56" i="57"/>
  <c r="Z55" i="57"/>
  <c r="X55" i="57"/>
  <c r="R55" i="57"/>
  <c r="N55" i="57"/>
  <c r="L55" i="57"/>
  <c r="J55" i="57"/>
  <c r="B55" i="57"/>
  <c r="Z54" i="57"/>
  <c r="T54" i="57"/>
  <c r="R54" i="57"/>
  <c r="P54" i="57"/>
  <c r="X54" i="57" s="1"/>
  <c r="H54" i="57"/>
  <c r="N54" i="57" s="1"/>
  <c r="D54" i="57"/>
  <c r="L54" i="57" s="1"/>
  <c r="B54" i="57"/>
  <c r="X53" i="57"/>
  <c r="Z53" i="57" s="1"/>
  <c r="R53" i="57"/>
  <c r="L53" i="57"/>
  <c r="N53" i="57" s="1"/>
  <c r="B53" i="57"/>
  <c r="Z52" i="57"/>
  <c r="X52" i="57"/>
  <c r="T52" i="57"/>
  <c r="R52" i="57"/>
  <c r="P52" i="57"/>
  <c r="H52" i="57"/>
  <c r="F52" i="57"/>
  <c r="D52" i="57"/>
  <c r="L52" i="57" s="1"/>
  <c r="N52" i="57" s="1"/>
  <c r="B52" i="57"/>
  <c r="X51" i="57"/>
  <c r="Z51" i="57" s="1"/>
  <c r="R51" i="57"/>
  <c r="L51" i="57"/>
  <c r="N51" i="57" s="1"/>
  <c r="B51" i="57"/>
  <c r="Z50" i="57"/>
  <c r="V50" i="57"/>
  <c r="T50" i="57"/>
  <c r="X50" i="57" s="1"/>
  <c r="R50" i="57"/>
  <c r="P50" i="57"/>
  <c r="N50" i="57"/>
  <c r="H50" i="57"/>
  <c r="D50" i="57"/>
  <c r="L50" i="57" s="1"/>
  <c r="B50" i="57"/>
  <c r="Z49" i="57"/>
  <c r="X49" i="57"/>
  <c r="V49" i="57"/>
  <c r="R49" i="57"/>
  <c r="L49" i="57"/>
  <c r="N49" i="57" s="1"/>
  <c r="B49" i="57"/>
  <c r="V48" i="57"/>
  <c r="T48" i="57"/>
  <c r="R48" i="57"/>
  <c r="P48" i="57"/>
  <c r="N48" i="57"/>
  <c r="J48" i="57"/>
  <c r="H48" i="57"/>
  <c r="D48" i="57"/>
  <c r="L48" i="57" s="1"/>
  <c r="B48" i="57"/>
  <c r="X47" i="57"/>
  <c r="Z47" i="57" s="1"/>
  <c r="V47" i="57"/>
  <c r="R47" i="57"/>
  <c r="N47" i="57"/>
  <c r="L47" i="57"/>
  <c r="B47" i="57"/>
  <c r="T46" i="57"/>
  <c r="R46" i="57"/>
  <c r="P46" i="57"/>
  <c r="X46" i="57" s="1"/>
  <c r="Z46" i="57" s="1"/>
  <c r="L46" i="57"/>
  <c r="N46" i="57" s="1"/>
  <c r="H46" i="57"/>
  <c r="D46" i="57"/>
  <c r="B46" i="57"/>
  <c r="X45" i="57"/>
  <c r="Z45" i="57" s="1"/>
  <c r="R45" i="57"/>
  <c r="L45" i="57"/>
  <c r="N45" i="57" s="1"/>
  <c r="J45" i="57"/>
  <c r="B45" i="57"/>
  <c r="T44" i="57"/>
  <c r="X44" i="57" s="1"/>
  <c r="Z44" i="57" s="1"/>
  <c r="R44" i="57"/>
  <c r="P44" i="57"/>
  <c r="L44" i="57"/>
  <c r="N44" i="57" s="1"/>
  <c r="H44" i="57"/>
  <c r="D44" i="57"/>
  <c r="B44" i="57"/>
  <c r="X43" i="57"/>
  <c r="Z43" i="57" s="1"/>
  <c r="R43" i="57"/>
  <c r="L43" i="57"/>
  <c r="N43" i="57" s="1"/>
  <c r="J43" i="57"/>
  <c r="F43" i="57"/>
  <c r="B43" i="57"/>
  <c r="Z42" i="57"/>
  <c r="T42" i="57"/>
  <c r="R42" i="57"/>
  <c r="P42" i="57"/>
  <c r="X42" i="57" s="1"/>
  <c r="H42" i="57"/>
  <c r="D42" i="57"/>
  <c r="L42" i="57" s="1"/>
  <c r="B42" i="57"/>
  <c r="X41" i="57"/>
  <c r="Z41" i="57" s="1"/>
  <c r="R41" i="57"/>
  <c r="N41" i="57"/>
  <c r="L41" i="57"/>
  <c r="B41" i="57"/>
  <c r="Z40" i="57"/>
  <c r="X40" i="57"/>
  <c r="V40" i="57"/>
  <c r="T40" i="57"/>
  <c r="R40" i="57"/>
  <c r="P40" i="57"/>
  <c r="N40" i="57"/>
  <c r="H40" i="57"/>
  <c r="D40" i="57"/>
  <c r="L40" i="57" s="1"/>
  <c r="B40" i="57"/>
  <c r="Z39" i="57"/>
  <c r="X39" i="57"/>
  <c r="R39" i="57"/>
  <c r="N39" i="57"/>
  <c r="L39" i="57"/>
  <c r="B39" i="57"/>
  <c r="Z38" i="57"/>
  <c r="X38" i="57"/>
  <c r="R38" i="57"/>
  <c r="N38" i="57"/>
  <c r="L38" i="57"/>
  <c r="J38" i="57"/>
  <c r="B38" i="57"/>
  <c r="X37" i="57"/>
  <c r="Z37" i="57" s="1"/>
  <c r="R37" i="57"/>
  <c r="L37" i="57"/>
  <c r="N37" i="57" s="1"/>
  <c r="J37" i="57"/>
  <c r="B37" i="57"/>
  <c r="Z36" i="57"/>
  <c r="X36" i="57"/>
  <c r="N36" i="57"/>
  <c r="L36" i="57"/>
  <c r="J36" i="57"/>
  <c r="B36" i="57"/>
  <c r="Z35" i="57"/>
  <c r="X35" i="57"/>
  <c r="R35" i="57"/>
  <c r="N35" i="57"/>
  <c r="L35" i="57"/>
  <c r="B35" i="57"/>
  <c r="Z34" i="57"/>
  <c r="X34" i="57"/>
  <c r="R34" i="57"/>
  <c r="N34" i="57"/>
  <c r="L34" i="57"/>
  <c r="B34" i="57"/>
  <c r="X33" i="57"/>
  <c r="Z33" i="57" s="1"/>
  <c r="R33" i="57"/>
  <c r="L33" i="57"/>
  <c r="N33" i="57" s="1"/>
  <c r="J33" i="57"/>
  <c r="B33" i="57"/>
  <c r="Z32" i="57"/>
  <c r="X32" i="57"/>
  <c r="V32" i="57"/>
  <c r="N32" i="57"/>
  <c r="L32" i="57"/>
  <c r="J32" i="57"/>
  <c r="F32" i="57"/>
  <c r="B32" i="57"/>
  <c r="Z31" i="57"/>
  <c r="X31" i="57"/>
  <c r="R31" i="57"/>
  <c r="L31" i="57"/>
  <c r="N31" i="57" s="1"/>
  <c r="B31" i="57"/>
  <c r="X30" i="57"/>
  <c r="Z30" i="57" s="1"/>
  <c r="R30" i="57"/>
  <c r="N30" i="57"/>
  <c r="L30" i="57"/>
  <c r="J30" i="57"/>
  <c r="B30" i="57"/>
  <c r="T29" i="57"/>
  <c r="R29" i="57"/>
  <c r="P29" i="57"/>
  <c r="X29" i="57" s="1"/>
  <c r="H29" i="57"/>
  <c r="D29" i="57"/>
  <c r="B29" i="57"/>
  <c r="Z28" i="57"/>
  <c r="X28" i="57"/>
  <c r="R28" i="57"/>
  <c r="L28" i="57"/>
  <c r="N28" i="57" s="1"/>
  <c r="J28" i="57"/>
  <c r="B28" i="57"/>
  <c r="X27" i="57"/>
  <c r="Z27" i="57" s="1"/>
  <c r="R27" i="57"/>
  <c r="L27" i="57"/>
  <c r="N27" i="57" s="1"/>
  <c r="J27" i="57"/>
  <c r="B27" i="57"/>
  <c r="Z26" i="57"/>
  <c r="X26" i="57"/>
  <c r="N26" i="57"/>
  <c r="L26" i="57"/>
  <c r="B26" i="57"/>
  <c r="Z25" i="57"/>
  <c r="X25" i="57"/>
  <c r="R25" i="57"/>
  <c r="N25" i="57"/>
  <c r="L25" i="57"/>
  <c r="B25" i="57"/>
  <c r="Z24" i="57"/>
  <c r="X24" i="57"/>
  <c r="R24" i="57"/>
  <c r="L24" i="57"/>
  <c r="N24" i="57" s="1"/>
  <c r="B24" i="57"/>
  <c r="X23" i="57"/>
  <c r="Z23" i="57" s="1"/>
  <c r="R23" i="57"/>
  <c r="L23" i="57"/>
  <c r="N23" i="57" s="1"/>
  <c r="J23" i="57"/>
  <c r="B23" i="57"/>
  <c r="Z22" i="57"/>
  <c r="X22" i="57"/>
  <c r="N22" i="57"/>
  <c r="L22" i="57"/>
  <c r="B22" i="57"/>
  <c r="Z21" i="57"/>
  <c r="X21" i="57"/>
  <c r="R21" i="57"/>
  <c r="L21" i="57"/>
  <c r="N21" i="57" s="1"/>
  <c r="B21" i="57"/>
  <c r="Z20" i="57"/>
  <c r="X20" i="57"/>
  <c r="V20" i="57"/>
  <c r="R20" i="57"/>
  <c r="L20" i="57"/>
  <c r="N20" i="57" s="1"/>
  <c r="J20" i="57"/>
  <c r="B20" i="57"/>
  <c r="X19" i="57"/>
  <c r="T19" i="57"/>
  <c r="P19" i="57"/>
  <c r="J19" i="57"/>
  <c r="H19" i="57"/>
  <c r="D19" i="57"/>
  <c r="B19" i="57"/>
  <c r="T18" i="57"/>
  <c r="Z18" i="57" s="1"/>
  <c r="R18" i="57"/>
  <c r="P18" i="57"/>
  <c r="X18" i="57" s="1"/>
  <c r="J18" i="57"/>
  <c r="H18" i="57"/>
  <c r="D18" i="57"/>
  <c r="L18" i="57" s="1"/>
  <c r="N18" i="57" s="1"/>
  <c r="V16" i="57"/>
  <c r="R16" i="57"/>
  <c r="P16" i="57"/>
  <c r="J16" i="57"/>
  <c r="Z14" i="57"/>
  <c r="T14" i="57"/>
  <c r="R14" i="57"/>
  <c r="P14" i="57"/>
  <c r="X14" i="57" s="1"/>
  <c r="N14" i="57"/>
  <c r="L14" i="57"/>
  <c r="J14" i="57"/>
  <c r="H14" i="57"/>
  <c r="F14" i="57"/>
  <c r="D14" i="57"/>
  <c r="T12" i="57"/>
  <c r="V85" i="57" s="1"/>
  <c r="P12" i="57"/>
  <c r="R80" i="57" s="1"/>
  <c r="N12" i="57"/>
  <c r="H12" i="57"/>
  <c r="D12" i="57"/>
  <c r="F61" i="57" s="1"/>
  <c r="D6" i="57"/>
  <c r="D4" i="57"/>
  <c r="V88" i="56"/>
  <c r="F88" i="56"/>
  <c r="V85" i="56"/>
  <c r="R85" i="56"/>
  <c r="J85" i="56"/>
  <c r="F85" i="56"/>
  <c r="Z83" i="56"/>
  <c r="X83" i="56"/>
  <c r="N83" i="56"/>
  <c r="L83" i="56"/>
  <c r="J83" i="56"/>
  <c r="F83" i="56"/>
  <c r="V81" i="56"/>
  <c r="J81" i="56"/>
  <c r="F81" i="56"/>
  <c r="Z79" i="56"/>
  <c r="X79" i="56"/>
  <c r="V79" i="56"/>
  <c r="T79" i="56"/>
  <c r="R79" i="56"/>
  <c r="P79" i="56"/>
  <c r="N79" i="56"/>
  <c r="H79" i="56"/>
  <c r="F79" i="56"/>
  <c r="D79" i="56"/>
  <c r="L79" i="56" s="1"/>
  <c r="X77" i="56"/>
  <c r="Z77" i="56" s="1"/>
  <c r="N77" i="56"/>
  <c r="L77" i="56"/>
  <c r="J77" i="56"/>
  <c r="B77" i="56"/>
  <c r="X76" i="56"/>
  <c r="Z76" i="56" s="1"/>
  <c r="N76" i="56"/>
  <c r="L76" i="56"/>
  <c r="B76" i="56"/>
  <c r="V75" i="56"/>
  <c r="T75" i="56"/>
  <c r="R75" i="56"/>
  <c r="P75" i="56"/>
  <c r="X75" i="56" s="1"/>
  <c r="Z75" i="56" s="1"/>
  <c r="N75" i="56"/>
  <c r="L75" i="56"/>
  <c r="H75" i="56"/>
  <c r="F75" i="56"/>
  <c r="D75" i="56"/>
  <c r="B75" i="56"/>
  <c r="X74" i="56"/>
  <c r="Z74" i="56" s="1"/>
  <c r="R74" i="56"/>
  <c r="N74" i="56"/>
  <c r="L74" i="56"/>
  <c r="F74" i="56"/>
  <c r="B74" i="56"/>
  <c r="Z73" i="56"/>
  <c r="X73" i="56"/>
  <c r="V73" i="56"/>
  <c r="T73" i="56"/>
  <c r="R73" i="56"/>
  <c r="P73" i="56"/>
  <c r="N73" i="56"/>
  <c r="L73" i="56"/>
  <c r="J73" i="56"/>
  <c r="H73" i="56"/>
  <c r="F73" i="56"/>
  <c r="D73" i="56"/>
  <c r="B73" i="56"/>
  <c r="X72" i="56"/>
  <c r="Z72" i="56" s="1"/>
  <c r="L72" i="56"/>
  <c r="N72" i="56" s="1"/>
  <c r="J72" i="56"/>
  <c r="B72" i="56"/>
  <c r="Z71" i="56"/>
  <c r="V71" i="56"/>
  <c r="T71" i="56"/>
  <c r="X71" i="56" s="1"/>
  <c r="R71" i="56"/>
  <c r="P71" i="56"/>
  <c r="J71" i="56"/>
  <c r="H71" i="56"/>
  <c r="N71" i="56" s="1"/>
  <c r="D71" i="56"/>
  <c r="L71" i="56" s="1"/>
  <c r="B71" i="56"/>
  <c r="Z70" i="56"/>
  <c r="X70" i="56"/>
  <c r="R70" i="56"/>
  <c r="N70" i="56"/>
  <c r="L70" i="56"/>
  <c r="B70" i="56"/>
  <c r="Z69" i="56"/>
  <c r="X69" i="56"/>
  <c r="N69" i="56"/>
  <c r="L69" i="56"/>
  <c r="J69" i="56"/>
  <c r="B69" i="56"/>
  <c r="X68" i="56"/>
  <c r="Z68" i="56" s="1"/>
  <c r="V68" i="56"/>
  <c r="R68" i="56"/>
  <c r="L68" i="56"/>
  <c r="N68" i="56" s="1"/>
  <c r="F68" i="56"/>
  <c r="B68" i="56"/>
  <c r="V67" i="56"/>
  <c r="T67" i="56"/>
  <c r="R67" i="56"/>
  <c r="P67" i="56"/>
  <c r="X67" i="56" s="1"/>
  <c r="Z67" i="56" s="1"/>
  <c r="N67" i="56"/>
  <c r="L67" i="56"/>
  <c r="J67" i="56"/>
  <c r="H67" i="56"/>
  <c r="F67" i="56"/>
  <c r="D67" i="56"/>
  <c r="B67" i="56"/>
  <c r="X66" i="56"/>
  <c r="Z66" i="56" s="1"/>
  <c r="R66" i="56"/>
  <c r="N66" i="56"/>
  <c r="L66" i="56"/>
  <c r="J66" i="56"/>
  <c r="F66" i="56"/>
  <c r="B66" i="56"/>
  <c r="Z65" i="56"/>
  <c r="X65" i="56"/>
  <c r="V65" i="56"/>
  <c r="T65" i="56"/>
  <c r="P65" i="56"/>
  <c r="N65" i="56"/>
  <c r="J65" i="56"/>
  <c r="H65" i="56"/>
  <c r="L65" i="56" s="1"/>
  <c r="F65" i="56"/>
  <c r="D65" i="56"/>
  <c r="B65" i="56"/>
  <c r="Z64" i="56"/>
  <c r="X64" i="56"/>
  <c r="R64" i="56"/>
  <c r="N64" i="56"/>
  <c r="L64" i="56"/>
  <c r="J64" i="56"/>
  <c r="B64" i="56"/>
  <c r="Z63" i="56"/>
  <c r="X63" i="56"/>
  <c r="V63" i="56"/>
  <c r="N63" i="56"/>
  <c r="L63" i="56"/>
  <c r="B63" i="56"/>
  <c r="Z62" i="56"/>
  <c r="X62" i="56"/>
  <c r="V62" i="56"/>
  <c r="N62" i="56"/>
  <c r="L62" i="56"/>
  <c r="F62" i="56"/>
  <c r="B62" i="56"/>
  <c r="Z61" i="56"/>
  <c r="T61" i="56"/>
  <c r="R61" i="56"/>
  <c r="P61" i="56"/>
  <c r="X61" i="56" s="1"/>
  <c r="N61" i="56"/>
  <c r="J61" i="56"/>
  <c r="H61" i="56"/>
  <c r="L61" i="56" s="1"/>
  <c r="F61" i="56"/>
  <c r="D61" i="56"/>
  <c r="B61" i="56"/>
  <c r="X60" i="56"/>
  <c r="Z60" i="56" s="1"/>
  <c r="V60" i="56"/>
  <c r="N60" i="56"/>
  <c r="L60" i="56"/>
  <c r="F60" i="56"/>
  <c r="B60" i="56"/>
  <c r="Z59" i="56"/>
  <c r="X59" i="56"/>
  <c r="V59" i="56"/>
  <c r="L59" i="56"/>
  <c r="N59" i="56" s="1"/>
  <c r="F59" i="56"/>
  <c r="B59" i="56"/>
  <c r="X58" i="56"/>
  <c r="Z58" i="56" s="1"/>
  <c r="R58" i="56"/>
  <c r="L58" i="56"/>
  <c r="N58" i="56" s="1"/>
  <c r="B58" i="56"/>
  <c r="X57" i="56"/>
  <c r="Z57" i="56" s="1"/>
  <c r="V57" i="56"/>
  <c r="T57" i="56"/>
  <c r="P57" i="56"/>
  <c r="H57" i="56"/>
  <c r="F57" i="56"/>
  <c r="D57" i="56"/>
  <c r="L57" i="56" s="1"/>
  <c r="N57" i="56" s="1"/>
  <c r="B57" i="56"/>
  <c r="X56" i="56"/>
  <c r="Z56" i="56" s="1"/>
  <c r="R56" i="56"/>
  <c r="L56" i="56"/>
  <c r="N56" i="56" s="1"/>
  <c r="F56" i="56"/>
  <c r="B56" i="56"/>
  <c r="V55" i="56"/>
  <c r="T55" i="56"/>
  <c r="P55" i="56"/>
  <c r="N55" i="56"/>
  <c r="L55" i="56"/>
  <c r="J55" i="56"/>
  <c r="H55" i="56"/>
  <c r="F55" i="56"/>
  <c r="D55" i="56"/>
  <c r="B55" i="56"/>
  <c r="X54" i="56"/>
  <c r="Z54" i="56" s="1"/>
  <c r="V54" i="56"/>
  <c r="L54" i="56"/>
  <c r="N54" i="56" s="1"/>
  <c r="B54" i="56"/>
  <c r="V53" i="56"/>
  <c r="T53" i="56"/>
  <c r="R53" i="56"/>
  <c r="P53" i="56"/>
  <c r="J53" i="56"/>
  <c r="H53" i="56"/>
  <c r="L53" i="56" s="1"/>
  <c r="N53" i="56" s="1"/>
  <c r="D53" i="56"/>
  <c r="B53" i="56"/>
  <c r="Z52" i="56"/>
  <c r="X52" i="56"/>
  <c r="V52" i="56"/>
  <c r="N52" i="56"/>
  <c r="L52" i="56"/>
  <c r="F52" i="56"/>
  <c r="B52" i="56"/>
  <c r="Z51" i="56"/>
  <c r="T51" i="56"/>
  <c r="P51" i="56"/>
  <c r="X51" i="56" s="1"/>
  <c r="N51" i="56"/>
  <c r="L51" i="56"/>
  <c r="H51" i="56"/>
  <c r="D51" i="56"/>
  <c r="B51" i="56"/>
  <c r="X50" i="56"/>
  <c r="Z50" i="56" s="1"/>
  <c r="N50" i="56"/>
  <c r="L50" i="56"/>
  <c r="J50" i="56"/>
  <c r="F50" i="56"/>
  <c r="B50" i="56"/>
  <c r="Z49" i="56"/>
  <c r="X49" i="56"/>
  <c r="T49" i="56"/>
  <c r="R49" i="56"/>
  <c r="P49" i="56"/>
  <c r="H49" i="56"/>
  <c r="F49" i="56"/>
  <c r="D49" i="56"/>
  <c r="B49" i="56"/>
  <c r="X48" i="56"/>
  <c r="Z48" i="56" s="1"/>
  <c r="L48" i="56"/>
  <c r="N48" i="56" s="1"/>
  <c r="J48" i="56"/>
  <c r="F48" i="56"/>
  <c r="B48" i="56"/>
  <c r="Z47" i="56"/>
  <c r="T47" i="56"/>
  <c r="X47" i="56" s="1"/>
  <c r="R47" i="56"/>
  <c r="P47" i="56"/>
  <c r="J47" i="56"/>
  <c r="H47" i="56"/>
  <c r="F47" i="56"/>
  <c r="D47" i="56"/>
  <c r="L47" i="56" s="1"/>
  <c r="N47" i="56" s="1"/>
  <c r="B47" i="56"/>
  <c r="X46" i="56"/>
  <c r="Z46" i="56" s="1"/>
  <c r="R46" i="56"/>
  <c r="L46" i="56"/>
  <c r="N46" i="56" s="1"/>
  <c r="F46" i="56"/>
  <c r="B46" i="56"/>
  <c r="Z45" i="56"/>
  <c r="X45" i="56"/>
  <c r="V45" i="56"/>
  <c r="N45" i="56"/>
  <c r="L45" i="56"/>
  <c r="J45" i="56"/>
  <c r="B45" i="56"/>
  <c r="V44" i="56"/>
  <c r="T44" i="56"/>
  <c r="R44" i="56"/>
  <c r="P44" i="56"/>
  <c r="X44" i="56" s="1"/>
  <c r="H44" i="56"/>
  <c r="D44" i="56"/>
  <c r="L44" i="56" s="1"/>
  <c r="B44" i="56"/>
  <c r="X43" i="56"/>
  <c r="Z43" i="56" s="1"/>
  <c r="V43" i="56"/>
  <c r="N43" i="56"/>
  <c r="L43" i="56"/>
  <c r="J43" i="56"/>
  <c r="B43" i="56"/>
  <c r="X42" i="56"/>
  <c r="T42" i="56"/>
  <c r="R42" i="56"/>
  <c r="P42" i="56"/>
  <c r="L42" i="56"/>
  <c r="H42" i="56"/>
  <c r="D42" i="56"/>
  <c r="B42" i="56"/>
  <c r="Z41" i="56"/>
  <c r="X41" i="56"/>
  <c r="V41" i="56"/>
  <c r="R41" i="56"/>
  <c r="L41" i="56"/>
  <c r="N41" i="56" s="1"/>
  <c r="B41" i="56"/>
  <c r="X40" i="56"/>
  <c r="T40" i="56"/>
  <c r="P40" i="56"/>
  <c r="J40" i="56"/>
  <c r="H40" i="56"/>
  <c r="D40" i="56"/>
  <c r="L40" i="56" s="1"/>
  <c r="N40" i="56" s="1"/>
  <c r="B40" i="56"/>
  <c r="Z39" i="56"/>
  <c r="X39" i="56"/>
  <c r="V39" i="56"/>
  <c r="N39" i="56"/>
  <c r="L39" i="56"/>
  <c r="F39" i="56"/>
  <c r="B39" i="56"/>
  <c r="Z38" i="56"/>
  <c r="X38" i="56"/>
  <c r="R38" i="56"/>
  <c r="N38" i="56"/>
  <c r="L38" i="56"/>
  <c r="B38" i="56"/>
  <c r="Z37" i="56"/>
  <c r="X37" i="56"/>
  <c r="N37" i="56"/>
  <c r="L37" i="56"/>
  <c r="J37" i="56"/>
  <c r="B37" i="56"/>
  <c r="Z36" i="56"/>
  <c r="X36" i="56"/>
  <c r="V36" i="56"/>
  <c r="N36" i="56"/>
  <c r="L36" i="56"/>
  <c r="F36" i="56"/>
  <c r="B36" i="56"/>
  <c r="Z35" i="56"/>
  <c r="X35" i="56"/>
  <c r="V35" i="56"/>
  <c r="N35" i="56"/>
  <c r="L35" i="56"/>
  <c r="F35" i="56"/>
  <c r="B35" i="56"/>
  <c r="Z34" i="56"/>
  <c r="X34" i="56"/>
  <c r="R34" i="56"/>
  <c r="N34" i="56"/>
  <c r="L34" i="56"/>
  <c r="B34" i="56"/>
  <c r="Z33" i="56"/>
  <c r="X33" i="56"/>
  <c r="V33" i="56"/>
  <c r="N33" i="56"/>
  <c r="L33" i="56"/>
  <c r="B33" i="56"/>
  <c r="Z32" i="56"/>
  <c r="X32" i="56"/>
  <c r="V32" i="56"/>
  <c r="N32" i="56"/>
  <c r="L32" i="56"/>
  <c r="F32" i="56"/>
  <c r="B32" i="56"/>
  <c r="Z31" i="56"/>
  <c r="X31" i="56"/>
  <c r="V31" i="56"/>
  <c r="N31" i="56"/>
  <c r="L31" i="56"/>
  <c r="F31" i="56"/>
  <c r="B31" i="56"/>
  <c r="X30" i="56"/>
  <c r="Z30" i="56" s="1"/>
  <c r="R30" i="56"/>
  <c r="L30" i="56"/>
  <c r="N30" i="56" s="1"/>
  <c r="F30" i="56"/>
  <c r="B30" i="56"/>
  <c r="X29" i="56"/>
  <c r="Z29" i="56" s="1"/>
  <c r="V29" i="56"/>
  <c r="T29" i="56"/>
  <c r="P29" i="56"/>
  <c r="J29" i="56"/>
  <c r="H29" i="56"/>
  <c r="F29" i="56"/>
  <c r="D29" i="56"/>
  <c r="L29" i="56" s="1"/>
  <c r="N29" i="56" s="1"/>
  <c r="B29" i="56"/>
  <c r="Z28" i="56"/>
  <c r="X28" i="56"/>
  <c r="R28" i="56"/>
  <c r="N28" i="56"/>
  <c r="L28" i="56"/>
  <c r="F28" i="56"/>
  <c r="B28" i="56"/>
  <c r="Z27" i="56"/>
  <c r="X27" i="56"/>
  <c r="V27" i="56"/>
  <c r="R27" i="56"/>
  <c r="N27" i="56"/>
  <c r="L27" i="56"/>
  <c r="B27" i="56"/>
  <c r="X26" i="56"/>
  <c r="Z26" i="56" s="1"/>
  <c r="N26" i="56"/>
  <c r="L26" i="56"/>
  <c r="J26" i="56"/>
  <c r="F26" i="56"/>
  <c r="B26" i="56"/>
  <c r="Z25" i="56"/>
  <c r="X25" i="56"/>
  <c r="N25" i="56"/>
  <c r="L25" i="56"/>
  <c r="B25" i="56"/>
  <c r="X24" i="56"/>
  <c r="Z24" i="56" s="1"/>
  <c r="R24" i="56"/>
  <c r="L24" i="56"/>
  <c r="N24" i="56" s="1"/>
  <c r="F24" i="56"/>
  <c r="B24" i="56"/>
  <c r="X23" i="56"/>
  <c r="Z23" i="56" s="1"/>
  <c r="V23" i="56"/>
  <c r="R23" i="56"/>
  <c r="N23" i="56"/>
  <c r="L23" i="56"/>
  <c r="B23" i="56"/>
  <c r="X22" i="56"/>
  <c r="Z22" i="56" s="1"/>
  <c r="R22" i="56"/>
  <c r="L22" i="56"/>
  <c r="N22" i="56" s="1"/>
  <c r="F22" i="56"/>
  <c r="B22" i="56"/>
  <c r="Z21" i="56"/>
  <c r="X21" i="56"/>
  <c r="V21" i="56"/>
  <c r="N21" i="56"/>
  <c r="L21" i="56"/>
  <c r="J21" i="56"/>
  <c r="F21" i="56"/>
  <c r="B21" i="56"/>
  <c r="Z20" i="56"/>
  <c r="X20" i="56"/>
  <c r="N20" i="56"/>
  <c r="L20" i="56"/>
  <c r="B20" i="56"/>
  <c r="V19" i="56"/>
  <c r="T19" i="56"/>
  <c r="R19" i="56"/>
  <c r="P19" i="56"/>
  <c r="L19" i="56"/>
  <c r="N19" i="56" s="1"/>
  <c r="J19" i="56"/>
  <c r="H19" i="56"/>
  <c r="D19" i="56"/>
  <c r="B19" i="56"/>
  <c r="V18" i="56"/>
  <c r="T18" i="56"/>
  <c r="P18" i="56"/>
  <c r="X18" i="56" s="1"/>
  <c r="Z18" i="56" s="1"/>
  <c r="H18" i="56"/>
  <c r="D18" i="56"/>
  <c r="X16" i="56"/>
  <c r="T16" i="56"/>
  <c r="P16" i="56"/>
  <c r="Z14" i="56"/>
  <c r="X14" i="56"/>
  <c r="V14" i="56"/>
  <c r="T14" i="56"/>
  <c r="P14" i="56"/>
  <c r="L14" i="56"/>
  <c r="H14" i="56"/>
  <c r="D14" i="56"/>
  <c r="D16" i="56" s="1"/>
  <c r="Z12" i="56"/>
  <c r="X12" i="56"/>
  <c r="T12" i="56"/>
  <c r="V83" i="56" s="1"/>
  <c r="P12" i="56"/>
  <c r="R72" i="56" s="1"/>
  <c r="L12" i="56"/>
  <c r="H12" i="56"/>
  <c r="J39" i="56" s="1"/>
  <c r="D12" i="56"/>
  <c r="F72" i="56" s="1"/>
  <c r="D6" i="56"/>
  <c r="D4" i="56"/>
  <c r="V40" i="55"/>
  <c r="V37" i="55"/>
  <c r="Z35" i="55"/>
  <c r="X35" i="55"/>
  <c r="V35" i="55"/>
  <c r="N35" i="55"/>
  <c r="L35" i="55"/>
  <c r="F35" i="55"/>
  <c r="T31" i="55"/>
  <c r="Z31" i="55" s="1"/>
  <c r="P31" i="55"/>
  <c r="X31" i="55" s="1"/>
  <c r="N31" i="55"/>
  <c r="L31" i="55"/>
  <c r="H31" i="55"/>
  <c r="F31" i="55"/>
  <c r="D31" i="55"/>
  <c r="X29" i="55"/>
  <c r="Z29" i="55" s="1"/>
  <c r="L29" i="55"/>
  <c r="N29" i="55" s="1"/>
  <c r="B29" i="55"/>
  <c r="Z28" i="55"/>
  <c r="X28" i="55"/>
  <c r="V28" i="55"/>
  <c r="R28" i="55"/>
  <c r="N28" i="55"/>
  <c r="L28" i="55"/>
  <c r="J28" i="55"/>
  <c r="B28" i="55"/>
  <c r="Z27" i="55"/>
  <c r="X27" i="55"/>
  <c r="V27" i="55"/>
  <c r="T27" i="55"/>
  <c r="P27" i="55"/>
  <c r="L27" i="55"/>
  <c r="H27" i="55"/>
  <c r="N27" i="55" s="1"/>
  <c r="D27" i="55"/>
  <c r="B27" i="55"/>
  <c r="X26" i="55"/>
  <c r="Z26" i="55" s="1"/>
  <c r="V26" i="55"/>
  <c r="N26" i="55"/>
  <c r="L26" i="55"/>
  <c r="B26" i="55"/>
  <c r="X25" i="55"/>
  <c r="V25" i="55"/>
  <c r="T25" i="55"/>
  <c r="R25" i="55"/>
  <c r="P25" i="55"/>
  <c r="N25" i="55"/>
  <c r="L25" i="55"/>
  <c r="J25" i="55"/>
  <c r="H25" i="55"/>
  <c r="D25" i="55"/>
  <c r="B25" i="55"/>
  <c r="X24" i="55"/>
  <c r="Z24" i="55" s="1"/>
  <c r="V24" i="55"/>
  <c r="N24" i="55"/>
  <c r="L24" i="55"/>
  <c r="J24" i="55"/>
  <c r="F24" i="55"/>
  <c r="B24" i="55"/>
  <c r="T23" i="55"/>
  <c r="P23" i="55"/>
  <c r="H23" i="55"/>
  <c r="D23" i="55"/>
  <c r="L23" i="55" s="1"/>
  <c r="N23" i="55" s="1"/>
  <c r="B23" i="55"/>
  <c r="Z22" i="55"/>
  <c r="X22" i="55"/>
  <c r="V22" i="55"/>
  <c r="L22" i="55"/>
  <c r="N22" i="55" s="1"/>
  <c r="B22" i="55"/>
  <c r="X21" i="55"/>
  <c r="T21" i="55"/>
  <c r="P21" i="55"/>
  <c r="L21" i="55"/>
  <c r="N21" i="55" s="1"/>
  <c r="H21" i="55"/>
  <c r="F21" i="55"/>
  <c r="D21" i="55"/>
  <c r="B21" i="55"/>
  <c r="Z20" i="55"/>
  <c r="X20" i="55"/>
  <c r="V20" i="55"/>
  <c r="L20" i="55"/>
  <c r="N20" i="55" s="1"/>
  <c r="F20" i="55"/>
  <c r="B20" i="55"/>
  <c r="X19" i="55"/>
  <c r="Z19" i="55" s="1"/>
  <c r="V19" i="55"/>
  <c r="T19" i="55"/>
  <c r="P19" i="55"/>
  <c r="L19" i="55"/>
  <c r="N19" i="55" s="1"/>
  <c r="J19" i="55"/>
  <c r="H19" i="55"/>
  <c r="F19" i="55"/>
  <c r="D19" i="55"/>
  <c r="B19" i="55"/>
  <c r="T18" i="55"/>
  <c r="P18" i="55"/>
  <c r="H18" i="55"/>
  <c r="D18" i="55"/>
  <c r="L18" i="55" s="1"/>
  <c r="T16" i="55"/>
  <c r="T33" i="55" s="1"/>
  <c r="P16" i="55"/>
  <c r="T14" i="55"/>
  <c r="Z14" i="55" s="1"/>
  <c r="P14" i="55"/>
  <c r="H14" i="55"/>
  <c r="D14" i="55"/>
  <c r="Z12" i="55"/>
  <c r="T12" i="55"/>
  <c r="P12" i="55"/>
  <c r="R37" i="55" s="1"/>
  <c r="L12" i="55"/>
  <c r="H12" i="55"/>
  <c r="J33" i="55" s="1"/>
  <c r="D12" i="55"/>
  <c r="F29" i="55" s="1"/>
  <c r="D6" i="55"/>
  <c r="D4" i="55"/>
  <c r="V31" i="54"/>
  <c r="J31" i="54"/>
  <c r="V29" i="54"/>
  <c r="T29" i="54"/>
  <c r="Z29" i="54" s="1"/>
  <c r="P29" i="54"/>
  <c r="X29" i="54" s="1"/>
  <c r="J29" i="54"/>
  <c r="H29" i="54"/>
  <c r="D29" i="54"/>
  <c r="L29" i="54" s="1"/>
  <c r="V28" i="54"/>
  <c r="T28" i="54"/>
  <c r="P28" i="54"/>
  <c r="X28" i="54" s="1"/>
  <c r="L28" i="54"/>
  <c r="J28" i="54"/>
  <c r="H28" i="54"/>
  <c r="D28" i="54"/>
  <c r="V26" i="54"/>
  <c r="Z24" i="54"/>
  <c r="X24" i="54"/>
  <c r="V24" i="54"/>
  <c r="N24" i="54"/>
  <c r="L24" i="54"/>
  <c r="F24" i="54"/>
  <c r="Z20" i="54"/>
  <c r="X20" i="54"/>
  <c r="T20" i="54"/>
  <c r="P20" i="54"/>
  <c r="N20" i="54"/>
  <c r="H20" i="54"/>
  <c r="D20" i="54"/>
  <c r="Z18" i="54"/>
  <c r="X18" i="54"/>
  <c r="T18" i="54"/>
  <c r="P18" i="54"/>
  <c r="H18" i="54"/>
  <c r="N18" i="54" s="1"/>
  <c r="D18" i="54"/>
  <c r="L18" i="54" s="1"/>
  <c r="Z16" i="54"/>
  <c r="T16" i="54"/>
  <c r="T22" i="54" s="1"/>
  <c r="Z14" i="54"/>
  <c r="T14" i="54"/>
  <c r="X14" i="54" s="1"/>
  <c r="P14" i="54"/>
  <c r="N14" i="54"/>
  <c r="H14" i="54"/>
  <c r="H16" i="54" s="1"/>
  <c r="D14" i="54"/>
  <c r="Z12" i="54"/>
  <c r="X12" i="54"/>
  <c r="T12" i="54"/>
  <c r="V22" i="54" s="1"/>
  <c r="P12" i="54"/>
  <c r="H12" i="54"/>
  <c r="J26" i="54" s="1"/>
  <c r="D12" i="54"/>
  <c r="F31" i="54" s="1"/>
  <c r="D6" i="54"/>
  <c r="D4" i="54"/>
  <c r="X114" i="51"/>
  <c r="Z114" i="51" s="1"/>
  <c r="L114" i="51"/>
  <c r="N114" i="51" s="1"/>
  <c r="P110" i="51"/>
  <c r="X110" i="51" s="1"/>
  <c r="Z110" i="51" s="1"/>
  <c r="L110" i="51"/>
  <c r="N110" i="51" s="1"/>
  <c r="D110" i="51"/>
  <c r="B110" i="51"/>
  <c r="Z109" i="51"/>
  <c r="P109" i="51"/>
  <c r="X109" i="51" s="1"/>
  <c r="N109" i="51"/>
  <c r="L109" i="51"/>
  <c r="D109" i="51"/>
  <c r="B109" i="51"/>
  <c r="Z108" i="51"/>
  <c r="X108" i="51"/>
  <c r="P108" i="51"/>
  <c r="N108" i="51"/>
  <c r="D108" i="51"/>
  <c r="B108" i="51"/>
  <c r="Z107" i="51"/>
  <c r="X107" i="51"/>
  <c r="V107" i="51"/>
  <c r="P107" i="51"/>
  <c r="N107" i="51"/>
  <c r="D107" i="51"/>
  <c r="L107" i="51" s="1"/>
  <c r="B107" i="51"/>
  <c r="V106" i="51"/>
  <c r="T106" i="51"/>
  <c r="P106" i="51"/>
  <c r="X106" i="51" s="1"/>
  <c r="H106" i="51"/>
  <c r="Z104" i="51"/>
  <c r="X104" i="51"/>
  <c r="N104" i="51"/>
  <c r="L104" i="51"/>
  <c r="B104" i="51"/>
  <c r="Z103" i="51"/>
  <c r="X103" i="51"/>
  <c r="T103" i="51"/>
  <c r="P103" i="51"/>
  <c r="N103" i="51"/>
  <c r="H103" i="51"/>
  <c r="D103" i="51"/>
  <c r="L103" i="51" s="1"/>
  <c r="B103" i="51"/>
  <c r="X102" i="51"/>
  <c r="Z102" i="51" s="1"/>
  <c r="N102" i="51"/>
  <c r="L102" i="51"/>
  <c r="B102" i="51"/>
  <c r="X101" i="51"/>
  <c r="Z101" i="51" s="1"/>
  <c r="T101" i="51"/>
  <c r="V101" i="51" s="1"/>
  <c r="P101" i="51"/>
  <c r="N101" i="51"/>
  <c r="L101" i="51"/>
  <c r="H101" i="51"/>
  <c r="D101" i="51"/>
  <c r="B101" i="51"/>
  <c r="Z100" i="51"/>
  <c r="X100" i="51"/>
  <c r="V100" i="51"/>
  <c r="N100" i="51"/>
  <c r="L100" i="51"/>
  <c r="B100" i="51"/>
  <c r="Z99" i="51"/>
  <c r="X99" i="51"/>
  <c r="V99" i="51"/>
  <c r="N99" i="51"/>
  <c r="L99" i="51"/>
  <c r="B99" i="51"/>
  <c r="T98" i="51"/>
  <c r="P98" i="51"/>
  <c r="J98" i="51"/>
  <c r="H98" i="51"/>
  <c r="D98" i="51"/>
  <c r="L98" i="51" s="1"/>
  <c r="B98" i="51"/>
  <c r="Z97" i="51"/>
  <c r="X97" i="51"/>
  <c r="N97" i="51"/>
  <c r="L97" i="51"/>
  <c r="B97" i="51"/>
  <c r="X96" i="51"/>
  <c r="Z96" i="51" s="1"/>
  <c r="V96" i="51"/>
  <c r="L96" i="51"/>
  <c r="N96" i="51" s="1"/>
  <c r="B96" i="51"/>
  <c r="Z95" i="51"/>
  <c r="X95" i="51"/>
  <c r="T95" i="51"/>
  <c r="P95" i="51"/>
  <c r="N95" i="51"/>
  <c r="H95" i="51"/>
  <c r="D95" i="51"/>
  <c r="L95" i="51" s="1"/>
  <c r="B95" i="51"/>
  <c r="Z94" i="51"/>
  <c r="X94" i="51"/>
  <c r="N94" i="51"/>
  <c r="L94" i="51"/>
  <c r="B94" i="51"/>
  <c r="Z93" i="51"/>
  <c r="X93" i="51"/>
  <c r="V93" i="51"/>
  <c r="T93" i="51"/>
  <c r="P93" i="51"/>
  <c r="N93" i="51"/>
  <c r="L93" i="51"/>
  <c r="H93" i="51"/>
  <c r="D93" i="51"/>
  <c r="B93" i="51"/>
  <c r="Z92" i="51"/>
  <c r="X92" i="51"/>
  <c r="V92" i="51"/>
  <c r="N92" i="51"/>
  <c r="L92" i="51"/>
  <c r="B92" i="51"/>
  <c r="T91" i="51"/>
  <c r="Z91" i="51" s="1"/>
  <c r="P91" i="51"/>
  <c r="X91" i="51" s="1"/>
  <c r="N91" i="51"/>
  <c r="H91" i="51"/>
  <c r="D91" i="51"/>
  <c r="L91" i="51" s="1"/>
  <c r="B91" i="51"/>
  <c r="X90" i="51"/>
  <c r="Z90" i="51" s="1"/>
  <c r="N90" i="51"/>
  <c r="L90" i="51"/>
  <c r="B90" i="51"/>
  <c r="Z89" i="51"/>
  <c r="T89" i="51"/>
  <c r="P89" i="51"/>
  <c r="X89" i="51" s="1"/>
  <c r="H89" i="51"/>
  <c r="D89" i="51"/>
  <c r="L89" i="51" s="1"/>
  <c r="N89" i="51" s="1"/>
  <c r="B89" i="51"/>
  <c r="X88" i="51"/>
  <c r="Z88" i="51" s="1"/>
  <c r="L88" i="51"/>
  <c r="N88" i="51" s="1"/>
  <c r="B88" i="51"/>
  <c r="Z87" i="51"/>
  <c r="X87" i="51"/>
  <c r="V87" i="51"/>
  <c r="T87" i="51"/>
  <c r="P87" i="51"/>
  <c r="N87" i="51"/>
  <c r="L87" i="51"/>
  <c r="H87" i="51"/>
  <c r="D87" i="51"/>
  <c r="B87" i="51"/>
  <c r="X86" i="51"/>
  <c r="Z86" i="51" s="1"/>
  <c r="L86" i="51"/>
  <c r="N86" i="51" s="1"/>
  <c r="B86" i="51"/>
  <c r="Z85" i="51"/>
  <c r="T85" i="51"/>
  <c r="X85" i="51" s="1"/>
  <c r="P85" i="51"/>
  <c r="H85" i="51"/>
  <c r="D85" i="51"/>
  <c r="B85" i="51"/>
  <c r="Z84" i="51"/>
  <c r="X84" i="51"/>
  <c r="N84" i="51"/>
  <c r="L84" i="51"/>
  <c r="B84" i="51"/>
  <c r="Z83" i="51"/>
  <c r="X83" i="51"/>
  <c r="T83" i="51"/>
  <c r="P83" i="51"/>
  <c r="N83" i="51"/>
  <c r="H83" i="51"/>
  <c r="D83" i="51"/>
  <c r="L83" i="51" s="1"/>
  <c r="B83" i="51"/>
  <c r="Z82" i="51"/>
  <c r="X82" i="51"/>
  <c r="N82" i="51"/>
  <c r="L82" i="51"/>
  <c r="B82" i="51"/>
  <c r="T81" i="51"/>
  <c r="P81" i="51"/>
  <c r="N81" i="51"/>
  <c r="L81" i="51"/>
  <c r="H81" i="51"/>
  <c r="D81" i="51"/>
  <c r="B81" i="51"/>
  <c r="Z80" i="51"/>
  <c r="X80" i="51"/>
  <c r="V80" i="51"/>
  <c r="N80" i="51"/>
  <c r="L80" i="51"/>
  <c r="B80" i="51"/>
  <c r="Z79" i="51"/>
  <c r="X79" i="51"/>
  <c r="N79" i="51"/>
  <c r="L79" i="51"/>
  <c r="B79" i="51"/>
  <c r="Z78" i="51"/>
  <c r="X78" i="51"/>
  <c r="L78" i="51"/>
  <c r="N78" i="51" s="1"/>
  <c r="B78" i="51"/>
  <c r="Z77" i="51"/>
  <c r="X77" i="51"/>
  <c r="V77" i="51"/>
  <c r="N77" i="51"/>
  <c r="L77" i="51"/>
  <c r="B77" i="51"/>
  <c r="Z76" i="51"/>
  <c r="X76" i="51"/>
  <c r="N76" i="51"/>
  <c r="L76" i="51"/>
  <c r="J76" i="51"/>
  <c r="B76" i="51"/>
  <c r="Z75" i="51"/>
  <c r="X75" i="51"/>
  <c r="N75" i="51"/>
  <c r="L75" i="51"/>
  <c r="B75" i="51"/>
  <c r="X74" i="51"/>
  <c r="Z74" i="51" s="1"/>
  <c r="N74" i="51"/>
  <c r="L74" i="51"/>
  <c r="B74" i="51"/>
  <c r="Z73" i="51"/>
  <c r="X73" i="51"/>
  <c r="N73" i="51"/>
  <c r="L73" i="51"/>
  <c r="B73" i="51"/>
  <c r="Z72" i="51"/>
  <c r="X72" i="51"/>
  <c r="N72" i="51"/>
  <c r="L72" i="51"/>
  <c r="B72" i="51"/>
  <c r="Z71" i="51"/>
  <c r="X71" i="51"/>
  <c r="L71" i="51"/>
  <c r="N71" i="51" s="1"/>
  <c r="B71" i="51"/>
  <c r="T70" i="51"/>
  <c r="P70" i="51"/>
  <c r="H70" i="51"/>
  <c r="D70" i="51"/>
  <c r="B70" i="51"/>
  <c r="Z69" i="51"/>
  <c r="X69" i="51"/>
  <c r="V69" i="51"/>
  <c r="N69" i="51"/>
  <c r="L69" i="51"/>
  <c r="B69" i="51"/>
  <c r="X68" i="51"/>
  <c r="Z68" i="51" s="1"/>
  <c r="L68" i="51"/>
  <c r="N68" i="51" s="1"/>
  <c r="B68" i="51"/>
  <c r="Z67" i="51"/>
  <c r="X67" i="51"/>
  <c r="L67" i="51"/>
  <c r="N67" i="51" s="1"/>
  <c r="B67" i="51"/>
  <c r="Z66" i="51"/>
  <c r="X66" i="51"/>
  <c r="V66" i="51"/>
  <c r="N66" i="51"/>
  <c r="L66" i="51"/>
  <c r="B66" i="51"/>
  <c r="Z65" i="51"/>
  <c r="X65" i="51"/>
  <c r="N65" i="51"/>
  <c r="L65" i="51"/>
  <c r="B65" i="51"/>
  <c r="X64" i="51"/>
  <c r="Z64" i="51" s="1"/>
  <c r="N64" i="51"/>
  <c r="L64" i="51"/>
  <c r="B64" i="51"/>
  <c r="X63" i="51"/>
  <c r="Z63" i="51" s="1"/>
  <c r="V63" i="51"/>
  <c r="N63" i="51"/>
  <c r="L63" i="51"/>
  <c r="B63" i="51"/>
  <c r="X62" i="51"/>
  <c r="Z62" i="51" s="1"/>
  <c r="N62" i="51"/>
  <c r="L62" i="51"/>
  <c r="B62" i="51"/>
  <c r="X61" i="51"/>
  <c r="Z61" i="51" s="1"/>
  <c r="L61" i="51"/>
  <c r="N61" i="51" s="1"/>
  <c r="B61" i="51"/>
  <c r="Z60" i="51"/>
  <c r="X60" i="51"/>
  <c r="V60" i="51"/>
  <c r="N60" i="51"/>
  <c r="L60" i="51"/>
  <c r="B60" i="51"/>
  <c r="X59" i="51"/>
  <c r="V59" i="51"/>
  <c r="T59" i="51"/>
  <c r="P59" i="51"/>
  <c r="H59" i="51"/>
  <c r="D59" i="51"/>
  <c r="L59" i="51" s="1"/>
  <c r="B59" i="51"/>
  <c r="T58" i="51"/>
  <c r="P58" i="51"/>
  <c r="X58" i="51" s="1"/>
  <c r="H58" i="51"/>
  <c r="D58" i="51"/>
  <c r="L58" i="51" s="1"/>
  <c r="N58" i="51" s="1"/>
  <c r="T56" i="51"/>
  <c r="V56" i="51" s="1"/>
  <c r="Z54" i="51"/>
  <c r="X54" i="51"/>
  <c r="V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J52" i="51"/>
  <c r="B52" i="51"/>
  <c r="Z51" i="51"/>
  <c r="X51" i="51"/>
  <c r="N51" i="51"/>
  <c r="L51" i="51"/>
  <c r="B51" i="51"/>
  <c r="Z50" i="51"/>
  <c r="X50" i="51"/>
  <c r="V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V46" i="51"/>
  <c r="N46" i="51"/>
  <c r="L46" i="51"/>
  <c r="B46" i="51"/>
  <c r="Z45" i="51"/>
  <c r="X45" i="51"/>
  <c r="N45" i="51"/>
  <c r="L45" i="51"/>
  <c r="B45" i="51"/>
  <c r="Z44" i="51"/>
  <c r="X44" i="51"/>
  <c r="V44" i="51"/>
  <c r="N44" i="51"/>
  <c r="L44" i="51"/>
  <c r="B44" i="51"/>
  <c r="Z43" i="51"/>
  <c r="X43" i="51"/>
  <c r="N43" i="51"/>
  <c r="L43" i="51"/>
  <c r="B43" i="51"/>
  <c r="Z42" i="51"/>
  <c r="X42" i="51"/>
  <c r="V42" i="51"/>
  <c r="N42" i="51"/>
  <c r="L42" i="51"/>
  <c r="B42" i="51"/>
  <c r="X41" i="51"/>
  <c r="Z41" i="51" s="1"/>
  <c r="N41" i="51"/>
  <c r="L41" i="51"/>
  <c r="J41" i="51"/>
  <c r="B41" i="51"/>
  <c r="Z40" i="51"/>
  <c r="X40" i="51"/>
  <c r="V40" i="51"/>
  <c r="T40" i="51"/>
  <c r="P40" i="51"/>
  <c r="N40" i="51"/>
  <c r="L40" i="51"/>
  <c r="J40" i="51"/>
  <c r="H40" i="51"/>
  <c r="D40" i="51"/>
  <c r="Z38" i="51"/>
  <c r="P38" i="51"/>
  <c r="X38" i="51" s="1"/>
  <c r="N38" i="51"/>
  <c r="L38" i="51"/>
  <c r="D38" i="51"/>
  <c r="B38" i="51"/>
  <c r="Z37" i="51"/>
  <c r="X37" i="51"/>
  <c r="P37" i="51"/>
  <c r="N37" i="51"/>
  <c r="L37" i="51"/>
  <c r="D37" i="51"/>
  <c r="B37" i="51"/>
  <c r="Z36" i="51"/>
  <c r="P36" i="51"/>
  <c r="X36" i="51" s="1"/>
  <c r="N36" i="51"/>
  <c r="D36" i="51"/>
  <c r="L36" i="51" s="1"/>
  <c r="B36" i="51"/>
  <c r="Z35" i="51"/>
  <c r="X35" i="51"/>
  <c r="P35" i="51"/>
  <c r="N35" i="51"/>
  <c r="D35" i="51"/>
  <c r="L35" i="51" s="1"/>
  <c r="B35" i="51"/>
  <c r="Z34" i="51"/>
  <c r="P34" i="51"/>
  <c r="X34" i="51" s="1"/>
  <c r="N34" i="51"/>
  <c r="D34" i="51"/>
  <c r="L34" i="51" s="1"/>
  <c r="B34" i="51"/>
  <c r="Z33" i="51"/>
  <c r="X33" i="51"/>
  <c r="P33" i="51"/>
  <c r="N33" i="51"/>
  <c r="D33" i="51"/>
  <c r="L33" i="51" s="1"/>
  <c r="B33" i="51"/>
  <c r="Z32" i="51"/>
  <c r="P32" i="51"/>
  <c r="X32" i="51" s="1"/>
  <c r="N32" i="51"/>
  <c r="L32" i="51"/>
  <c r="D32" i="51"/>
  <c r="B32" i="51"/>
  <c r="Z31" i="51"/>
  <c r="X31" i="51"/>
  <c r="P31" i="51"/>
  <c r="N31" i="51"/>
  <c r="D31" i="51"/>
  <c r="L31" i="51" s="1"/>
  <c r="B31" i="51"/>
  <c r="Z30" i="51"/>
  <c r="X30" i="51"/>
  <c r="P30" i="51"/>
  <c r="N30" i="51"/>
  <c r="L30" i="51"/>
  <c r="D30" i="51"/>
  <c r="B30" i="51"/>
  <c r="Z29" i="51"/>
  <c r="X29" i="51"/>
  <c r="P29" i="51"/>
  <c r="N29" i="51"/>
  <c r="L29" i="51"/>
  <c r="D29" i="51"/>
  <c r="B29" i="51"/>
  <c r="Z28" i="51"/>
  <c r="P28" i="51"/>
  <c r="X28" i="51" s="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L26" i="51"/>
  <c r="D26" i="51"/>
  <c r="B26" i="51"/>
  <c r="Z25" i="51"/>
  <c r="P25" i="51"/>
  <c r="X25" i="51" s="1"/>
  <c r="N25" i="51"/>
  <c r="D25" i="51"/>
  <c r="L25" i="51" s="1"/>
  <c r="B25" i="51"/>
  <c r="Z24" i="51"/>
  <c r="P24" i="51"/>
  <c r="X24" i="51" s="1"/>
  <c r="N24" i="51"/>
  <c r="D24" i="51"/>
  <c r="L24" i="51" s="1"/>
  <c r="B24" i="51"/>
  <c r="Z23" i="51"/>
  <c r="X23" i="51"/>
  <c r="P23" i="51"/>
  <c r="N23" i="51"/>
  <c r="D23" i="51"/>
  <c r="L23" i="51" s="1"/>
  <c r="B23" i="51"/>
  <c r="Z22" i="51"/>
  <c r="P22" i="51"/>
  <c r="X22" i="51" s="1"/>
  <c r="N22" i="51"/>
  <c r="D22" i="51"/>
  <c r="B22" i="51"/>
  <c r="X21" i="51"/>
  <c r="Z21" i="51" s="1"/>
  <c r="P21" i="51"/>
  <c r="D21" i="51"/>
  <c r="L21" i="51" s="1"/>
  <c r="N21" i="51" s="1"/>
  <c r="B21" i="51"/>
  <c r="Z20" i="51"/>
  <c r="P20" i="51"/>
  <c r="X20" i="51" s="1"/>
  <c r="N20" i="51"/>
  <c r="L20" i="51"/>
  <c r="D20" i="51"/>
  <c r="B20" i="51"/>
  <c r="Z19" i="51"/>
  <c r="X19" i="51"/>
  <c r="P19" i="51"/>
  <c r="N19" i="51"/>
  <c r="D19" i="51"/>
  <c r="L19" i="51" s="1"/>
  <c r="B19" i="51"/>
  <c r="Z18" i="51"/>
  <c r="X18" i="51"/>
  <c r="P18" i="51"/>
  <c r="N18" i="51"/>
  <c r="L18" i="51"/>
  <c r="D18" i="51"/>
  <c r="B18" i="51"/>
  <c r="Z17" i="51"/>
  <c r="X17" i="51"/>
  <c r="P17" i="51"/>
  <c r="N17" i="51"/>
  <c r="L17" i="51"/>
  <c r="D17" i="5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L15" i="51"/>
  <c r="D15" i="51"/>
  <c r="B15" i="51"/>
  <c r="Z14" i="51"/>
  <c r="P14" i="51"/>
  <c r="X14" i="51" s="1"/>
  <c r="N14" i="51"/>
  <c r="L14" i="51"/>
  <c r="D14" i="51"/>
  <c r="B14" i="51"/>
  <c r="P13" i="51"/>
  <c r="D13" i="51"/>
  <c r="L13" i="51" s="1"/>
  <c r="N13" i="51" s="1"/>
  <c r="B13" i="51"/>
  <c r="T12" i="51"/>
  <c r="V104" i="51" s="1"/>
  <c r="H12" i="51"/>
  <c r="D4" i="51"/>
  <c r="X75" i="48"/>
  <c r="Z75" i="48" s="1"/>
  <c r="L75" i="48"/>
  <c r="N75" i="48" s="1"/>
  <c r="J75" i="48"/>
  <c r="H73" i="48"/>
  <c r="Z71" i="48"/>
  <c r="X71" i="48"/>
  <c r="P71" i="48"/>
  <c r="D71" i="48"/>
  <c r="B71" i="48"/>
  <c r="X70" i="48"/>
  <c r="Z70" i="48" s="1"/>
  <c r="T70" i="48"/>
  <c r="P70" i="48"/>
  <c r="H70" i="48"/>
  <c r="Z68" i="48"/>
  <c r="X68" i="48"/>
  <c r="N68" i="48"/>
  <c r="L68" i="48"/>
  <c r="B68" i="48"/>
  <c r="T67" i="48"/>
  <c r="R67" i="48"/>
  <c r="P67" i="48"/>
  <c r="H67" i="48"/>
  <c r="D67" i="48"/>
  <c r="B67" i="48"/>
  <c r="Z66" i="48"/>
  <c r="X66" i="48"/>
  <c r="V66" i="48"/>
  <c r="R66" i="48"/>
  <c r="N66" i="48"/>
  <c r="L66" i="48"/>
  <c r="B66" i="48"/>
  <c r="T65" i="48"/>
  <c r="R65" i="48"/>
  <c r="P65" i="48"/>
  <c r="N65" i="48"/>
  <c r="L65" i="48"/>
  <c r="H65" i="48"/>
  <c r="D65" i="48"/>
  <c r="B65" i="48"/>
  <c r="Z64" i="48"/>
  <c r="X64" i="48"/>
  <c r="V64" i="48"/>
  <c r="R64" i="48"/>
  <c r="N64" i="48"/>
  <c r="L64" i="48"/>
  <c r="J64" i="48"/>
  <c r="B64" i="48"/>
  <c r="Z63" i="48"/>
  <c r="X63" i="48"/>
  <c r="N63" i="48"/>
  <c r="L63" i="48"/>
  <c r="J63" i="48"/>
  <c r="B63" i="48"/>
  <c r="Z62" i="48"/>
  <c r="X62" i="48"/>
  <c r="N62" i="48"/>
  <c r="L62" i="48"/>
  <c r="B62" i="48"/>
  <c r="Z61" i="48"/>
  <c r="X61" i="48"/>
  <c r="V61" i="48"/>
  <c r="T61" i="48"/>
  <c r="P61" i="48"/>
  <c r="H61" i="48"/>
  <c r="D61" i="48"/>
  <c r="L61" i="48" s="1"/>
  <c r="B61" i="48"/>
  <c r="Z60" i="48"/>
  <c r="X60" i="48"/>
  <c r="N60" i="48"/>
  <c r="L60" i="48"/>
  <c r="B60" i="48"/>
  <c r="X59" i="48"/>
  <c r="Z59" i="48" s="1"/>
  <c r="V59" i="48"/>
  <c r="R59" i="48"/>
  <c r="N59" i="48"/>
  <c r="L59" i="48"/>
  <c r="B59" i="48"/>
  <c r="Z58" i="48"/>
  <c r="X58" i="48"/>
  <c r="N58" i="48"/>
  <c r="L58" i="48"/>
  <c r="J58" i="48"/>
  <c r="B58" i="48"/>
  <c r="T57" i="48"/>
  <c r="P57" i="48"/>
  <c r="H57" i="48"/>
  <c r="D57" i="48"/>
  <c r="B57" i="48"/>
  <c r="Z56" i="48"/>
  <c r="X56" i="48"/>
  <c r="N56" i="48"/>
  <c r="L56" i="48"/>
  <c r="J56" i="48"/>
  <c r="B56" i="48"/>
  <c r="Z55" i="48"/>
  <c r="X55" i="48"/>
  <c r="T55" i="48"/>
  <c r="P55" i="48"/>
  <c r="H55" i="48"/>
  <c r="D55" i="48"/>
  <c r="B55" i="48"/>
  <c r="Z54" i="48"/>
  <c r="X54" i="48"/>
  <c r="N54" i="48"/>
  <c r="L54" i="48"/>
  <c r="B54" i="48"/>
  <c r="X53" i="48"/>
  <c r="Z53" i="48" s="1"/>
  <c r="V53" i="48"/>
  <c r="T53" i="48"/>
  <c r="P53" i="48"/>
  <c r="H53" i="48"/>
  <c r="D53" i="48"/>
  <c r="L53" i="48" s="1"/>
  <c r="B53" i="48"/>
  <c r="X52" i="48"/>
  <c r="Z52" i="48" s="1"/>
  <c r="N52" i="48"/>
  <c r="L52" i="48"/>
  <c r="B52" i="48"/>
  <c r="T51" i="48"/>
  <c r="R51" i="48"/>
  <c r="P51" i="48"/>
  <c r="H51" i="48"/>
  <c r="D51" i="48"/>
  <c r="B51" i="48"/>
  <c r="Z50" i="48"/>
  <c r="X50" i="48"/>
  <c r="V50" i="48"/>
  <c r="R50" i="48"/>
  <c r="N50" i="48"/>
  <c r="L50" i="48"/>
  <c r="B50" i="48"/>
  <c r="T49" i="48"/>
  <c r="P49" i="48"/>
  <c r="N49" i="48"/>
  <c r="L49" i="48"/>
  <c r="H49" i="48"/>
  <c r="D49" i="48"/>
  <c r="B49" i="48"/>
  <c r="Z48" i="48"/>
  <c r="X48" i="48"/>
  <c r="V48" i="48"/>
  <c r="R48" i="48"/>
  <c r="N48" i="48"/>
  <c r="L48" i="48"/>
  <c r="J48" i="48"/>
  <c r="B48" i="48"/>
  <c r="T47" i="48"/>
  <c r="P47" i="48"/>
  <c r="X47" i="48" s="1"/>
  <c r="L47" i="48"/>
  <c r="N47" i="48" s="1"/>
  <c r="J47" i="48"/>
  <c r="H47" i="48"/>
  <c r="D47" i="48"/>
  <c r="B47" i="48"/>
  <c r="Z46" i="48"/>
  <c r="X46" i="48"/>
  <c r="N46" i="48"/>
  <c r="L46" i="48"/>
  <c r="J46" i="48"/>
  <c r="B46" i="48"/>
  <c r="T45" i="48"/>
  <c r="P45" i="48"/>
  <c r="H45" i="48"/>
  <c r="D45" i="48"/>
  <c r="B45" i="48"/>
  <c r="Z44" i="48"/>
  <c r="X44" i="48"/>
  <c r="N44" i="48"/>
  <c r="L44" i="48"/>
  <c r="J44" i="48"/>
  <c r="B44" i="48"/>
  <c r="Z43" i="48"/>
  <c r="X43" i="48"/>
  <c r="T43" i="48"/>
  <c r="P43" i="48"/>
  <c r="H43" i="48"/>
  <c r="D43" i="48"/>
  <c r="B43" i="48"/>
  <c r="Z42" i="48"/>
  <c r="X42" i="48"/>
  <c r="N42" i="48"/>
  <c r="L42" i="48"/>
  <c r="B42" i="48"/>
  <c r="Z41" i="48"/>
  <c r="X41" i="48"/>
  <c r="V41" i="48"/>
  <c r="T41" i="48"/>
  <c r="P41" i="48"/>
  <c r="H41" i="48"/>
  <c r="D41" i="48"/>
  <c r="L41" i="48" s="1"/>
  <c r="B41" i="48"/>
  <c r="Z40" i="48"/>
  <c r="X40" i="48"/>
  <c r="N40" i="48"/>
  <c r="L40" i="48"/>
  <c r="B40" i="48"/>
  <c r="Z39" i="48"/>
  <c r="X39" i="48"/>
  <c r="V39" i="48"/>
  <c r="R39" i="48"/>
  <c r="N39" i="48"/>
  <c r="L39" i="48"/>
  <c r="B39" i="48"/>
  <c r="Z38" i="48"/>
  <c r="X38" i="48"/>
  <c r="N38" i="48"/>
  <c r="L38" i="48"/>
  <c r="J38" i="48"/>
  <c r="B38" i="48"/>
  <c r="X37" i="48"/>
  <c r="Z37" i="48" s="1"/>
  <c r="R37" i="48"/>
  <c r="N37" i="48"/>
  <c r="L37" i="48"/>
  <c r="B37" i="48"/>
  <c r="Z36" i="48"/>
  <c r="X36" i="48"/>
  <c r="N36" i="48"/>
  <c r="L36" i="48"/>
  <c r="B36" i="48"/>
  <c r="Z35" i="48"/>
  <c r="X35" i="48"/>
  <c r="V35" i="48"/>
  <c r="R35" i="48"/>
  <c r="N35" i="48"/>
  <c r="L35" i="48"/>
  <c r="B35" i="48"/>
  <c r="Z34" i="48"/>
  <c r="X34" i="48"/>
  <c r="L34" i="48"/>
  <c r="N34" i="48" s="1"/>
  <c r="J34" i="48"/>
  <c r="B34" i="48"/>
  <c r="Z33" i="48"/>
  <c r="X33" i="48"/>
  <c r="R33" i="48"/>
  <c r="N33" i="48"/>
  <c r="L33" i="48"/>
  <c r="B33" i="48"/>
  <c r="X32" i="48"/>
  <c r="Z32" i="48" s="1"/>
  <c r="N32" i="48"/>
  <c r="L32" i="48"/>
  <c r="B32" i="48"/>
  <c r="Z31" i="48"/>
  <c r="X31" i="48"/>
  <c r="V31" i="48"/>
  <c r="R31" i="48"/>
  <c r="N31" i="48"/>
  <c r="L31" i="48"/>
  <c r="B31" i="48"/>
  <c r="T30" i="48"/>
  <c r="R30" i="48"/>
  <c r="P30" i="48"/>
  <c r="X30" i="48" s="1"/>
  <c r="Z30" i="48" s="1"/>
  <c r="L30" i="48"/>
  <c r="N30" i="48" s="1"/>
  <c r="J30" i="48"/>
  <c r="H30" i="48"/>
  <c r="D30" i="48"/>
  <c r="B30" i="48"/>
  <c r="X29" i="48"/>
  <c r="Z29" i="48" s="1"/>
  <c r="R29" i="48"/>
  <c r="N29" i="48"/>
  <c r="L29" i="48"/>
  <c r="J29" i="48"/>
  <c r="B29" i="48"/>
  <c r="Z28" i="48"/>
  <c r="X28" i="48"/>
  <c r="N28" i="48"/>
  <c r="L28" i="48"/>
  <c r="J28" i="48"/>
  <c r="B28" i="48"/>
  <c r="Z27" i="48"/>
  <c r="X27" i="48"/>
  <c r="R27" i="48"/>
  <c r="L27" i="48"/>
  <c r="N27" i="48" s="1"/>
  <c r="B27" i="48"/>
  <c r="Z26" i="48"/>
  <c r="X26" i="48"/>
  <c r="V26" i="48"/>
  <c r="R26" i="48"/>
  <c r="N26" i="48"/>
  <c r="L26" i="48"/>
  <c r="B26" i="48"/>
  <c r="X25" i="48"/>
  <c r="Z25" i="48" s="1"/>
  <c r="R25" i="48"/>
  <c r="L25" i="48"/>
  <c r="N25" i="48" s="1"/>
  <c r="J25" i="48"/>
  <c r="B25" i="48"/>
  <c r="Z24" i="48"/>
  <c r="X24" i="48"/>
  <c r="N24" i="48"/>
  <c r="L24" i="48"/>
  <c r="J24" i="48"/>
  <c r="B24" i="48"/>
  <c r="Z23" i="48"/>
  <c r="X23" i="48"/>
  <c r="R23" i="48"/>
  <c r="L23" i="48"/>
  <c r="N23" i="48" s="1"/>
  <c r="B23" i="48"/>
  <c r="Z22" i="48"/>
  <c r="X22" i="48"/>
  <c r="V22" i="48"/>
  <c r="R22" i="48"/>
  <c r="N22" i="48"/>
  <c r="L22" i="48"/>
  <c r="B22" i="48"/>
  <c r="X21" i="48"/>
  <c r="Z21" i="48" s="1"/>
  <c r="R21" i="48"/>
  <c r="N21" i="48"/>
  <c r="L21" i="48"/>
  <c r="J21" i="48"/>
  <c r="B21" i="48"/>
  <c r="Z20" i="48"/>
  <c r="X20" i="48"/>
  <c r="T20" i="48"/>
  <c r="R20" i="48"/>
  <c r="P20" i="48"/>
  <c r="H20" i="48"/>
  <c r="D20" i="48"/>
  <c r="B20" i="48"/>
  <c r="T19" i="48"/>
  <c r="P19" i="48"/>
  <c r="X19" i="48" s="1"/>
  <c r="L19" i="48"/>
  <c r="N19" i="48" s="1"/>
  <c r="H19" i="48"/>
  <c r="J19" i="48" s="1"/>
  <c r="D19" i="48"/>
  <c r="J17" i="48"/>
  <c r="T15" i="48"/>
  <c r="Z15" i="48" s="1"/>
  <c r="P15" i="48"/>
  <c r="N15" i="48"/>
  <c r="L15" i="48"/>
  <c r="J15" i="48"/>
  <c r="H15" i="48"/>
  <c r="H17" i="48" s="1"/>
  <c r="D15" i="48"/>
  <c r="X13" i="48"/>
  <c r="Z13" i="48" s="1"/>
  <c r="P13" i="48"/>
  <c r="D13" i="48"/>
  <c r="B13" i="48"/>
  <c r="Z12" i="48"/>
  <c r="X12" i="48"/>
  <c r="T12" i="48"/>
  <c r="V70" i="48" s="1"/>
  <c r="P12" i="48"/>
  <c r="R68" i="48" s="1"/>
  <c r="H12" i="48"/>
  <c r="J65" i="48" s="1"/>
  <c r="D4" i="48"/>
  <c r="Z104" i="45"/>
  <c r="X104" i="45"/>
  <c r="V104" i="45"/>
  <c r="L104" i="45"/>
  <c r="N104" i="45" s="1"/>
  <c r="T100" i="45"/>
  <c r="Z100" i="45" s="1"/>
  <c r="P100" i="45"/>
  <c r="X100" i="45" s="1"/>
  <c r="N100" i="45"/>
  <c r="L100" i="45"/>
  <c r="H100" i="45"/>
  <c r="D100" i="45"/>
  <c r="X98" i="45"/>
  <c r="Z98" i="45" s="1"/>
  <c r="L98" i="45"/>
  <c r="N98" i="45" s="1"/>
  <c r="B98" i="45"/>
  <c r="Z97" i="45"/>
  <c r="X97" i="45"/>
  <c r="N97" i="45"/>
  <c r="L97" i="45"/>
  <c r="B97" i="45"/>
  <c r="Z96" i="45"/>
  <c r="X96" i="45"/>
  <c r="T96" i="45"/>
  <c r="P96" i="45"/>
  <c r="H96" i="45"/>
  <c r="D96" i="45"/>
  <c r="L96" i="45" s="1"/>
  <c r="B96" i="45"/>
  <c r="Z95" i="45"/>
  <c r="X95" i="45"/>
  <c r="N95" i="45"/>
  <c r="L95" i="45"/>
  <c r="B95" i="45"/>
  <c r="X94" i="45"/>
  <c r="Z94" i="45" s="1"/>
  <c r="V94" i="45"/>
  <c r="T94" i="45"/>
  <c r="P94" i="45"/>
  <c r="H94" i="45"/>
  <c r="N94" i="45" s="1"/>
  <c r="D94" i="45"/>
  <c r="L94" i="45" s="1"/>
  <c r="B94" i="45"/>
  <c r="Z93" i="45"/>
  <c r="X93" i="45"/>
  <c r="V93" i="45"/>
  <c r="N93" i="45"/>
  <c r="L93" i="45"/>
  <c r="B93" i="45"/>
  <c r="T92" i="45"/>
  <c r="P92" i="45"/>
  <c r="H92" i="45"/>
  <c r="D92" i="45"/>
  <c r="B92" i="45"/>
  <c r="Z91" i="45"/>
  <c r="X91" i="45"/>
  <c r="V91" i="45"/>
  <c r="N91" i="45"/>
  <c r="L91" i="45"/>
  <c r="B91" i="45"/>
  <c r="X90" i="45"/>
  <c r="Z90" i="45" s="1"/>
  <c r="N90" i="45"/>
  <c r="L90" i="45"/>
  <c r="B90" i="45"/>
  <c r="Z89" i="45"/>
  <c r="X89" i="45"/>
  <c r="N89" i="45"/>
  <c r="L89" i="45"/>
  <c r="B89" i="45"/>
  <c r="Z88" i="45"/>
  <c r="X88" i="45"/>
  <c r="L88" i="45"/>
  <c r="N88" i="45" s="1"/>
  <c r="B88" i="45"/>
  <c r="Z87" i="45"/>
  <c r="X87" i="45"/>
  <c r="V87" i="45"/>
  <c r="N87" i="45"/>
  <c r="L87" i="45"/>
  <c r="B87" i="45"/>
  <c r="X86" i="45"/>
  <c r="Z86" i="45" s="1"/>
  <c r="N86" i="45"/>
  <c r="L86" i="45"/>
  <c r="B86" i="45"/>
  <c r="Z85" i="45"/>
  <c r="X85" i="45"/>
  <c r="N85" i="45"/>
  <c r="L85" i="45"/>
  <c r="B85" i="45"/>
  <c r="Z84" i="45"/>
  <c r="X84" i="45"/>
  <c r="L84" i="45"/>
  <c r="N84" i="45" s="1"/>
  <c r="B84" i="45"/>
  <c r="X83" i="45"/>
  <c r="Z83" i="45" s="1"/>
  <c r="V83" i="45"/>
  <c r="N83" i="45"/>
  <c r="L83" i="45"/>
  <c r="B83" i="45"/>
  <c r="T82" i="45"/>
  <c r="P82" i="45"/>
  <c r="X82" i="45" s="1"/>
  <c r="N82" i="45"/>
  <c r="L82" i="45"/>
  <c r="H82" i="45"/>
  <c r="D82" i="45"/>
  <c r="B82" i="45"/>
  <c r="Z81" i="45"/>
  <c r="X81" i="45"/>
  <c r="V81" i="45"/>
  <c r="N81" i="45"/>
  <c r="L81" i="45"/>
  <c r="B81" i="45"/>
  <c r="X80" i="45"/>
  <c r="Z80" i="45" s="1"/>
  <c r="L80" i="45"/>
  <c r="N80" i="45" s="1"/>
  <c r="J80" i="45"/>
  <c r="B80" i="45"/>
  <c r="Z79" i="45"/>
  <c r="X79" i="45"/>
  <c r="N79" i="45"/>
  <c r="L79" i="45"/>
  <c r="B79" i="45"/>
  <c r="X78" i="45"/>
  <c r="Z78" i="45" s="1"/>
  <c r="V78" i="45"/>
  <c r="L78" i="45"/>
  <c r="N78" i="45" s="1"/>
  <c r="B78" i="45"/>
  <c r="V77" i="45"/>
  <c r="T77" i="45"/>
  <c r="P77" i="45"/>
  <c r="H77" i="45"/>
  <c r="D77" i="45"/>
  <c r="L77" i="45" s="1"/>
  <c r="N77" i="45" s="1"/>
  <c r="B77" i="45"/>
  <c r="X76" i="45"/>
  <c r="Z76" i="45" s="1"/>
  <c r="V76" i="45"/>
  <c r="N76" i="45"/>
  <c r="L76" i="45"/>
  <c r="B76" i="45"/>
  <c r="Z75" i="45"/>
  <c r="X75" i="45"/>
  <c r="L75" i="45"/>
  <c r="N75" i="45" s="1"/>
  <c r="B75" i="45"/>
  <c r="X74" i="45"/>
  <c r="Z74" i="45" s="1"/>
  <c r="L74" i="45"/>
  <c r="N74" i="45" s="1"/>
  <c r="B74" i="45"/>
  <c r="Z73" i="45"/>
  <c r="X73" i="45"/>
  <c r="V73" i="45"/>
  <c r="N73" i="45"/>
  <c r="L73" i="45"/>
  <c r="B73" i="45"/>
  <c r="T72" i="45"/>
  <c r="P72" i="45"/>
  <c r="H72" i="45"/>
  <c r="D72" i="45"/>
  <c r="B72" i="45"/>
  <c r="Z71" i="45"/>
  <c r="X71" i="45"/>
  <c r="V71" i="45"/>
  <c r="N71" i="45"/>
  <c r="L71" i="45"/>
  <c r="B71" i="45"/>
  <c r="T70" i="45"/>
  <c r="P70" i="45"/>
  <c r="X70" i="45" s="1"/>
  <c r="N70" i="45"/>
  <c r="L70" i="45"/>
  <c r="H70" i="45"/>
  <c r="D70" i="45"/>
  <c r="B70" i="45"/>
  <c r="Z69" i="45"/>
  <c r="X69" i="45"/>
  <c r="V69" i="45"/>
  <c r="N69" i="45"/>
  <c r="L69" i="45"/>
  <c r="B69" i="45"/>
  <c r="T68" i="45"/>
  <c r="Z68" i="45" s="1"/>
  <c r="P68" i="45"/>
  <c r="X68" i="45" s="1"/>
  <c r="N68" i="45"/>
  <c r="L68" i="45"/>
  <c r="H68" i="45"/>
  <c r="D68" i="45"/>
  <c r="B68" i="45"/>
  <c r="Z67" i="45"/>
  <c r="X67" i="45"/>
  <c r="L67" i="45"/>
  <c r="N67" i="45" s="1"/>
  <c r="J67" i="45"/>
  <c r="B67" i="45"/>
  <c r="T66" i="45"/>
  <c r="P66" i="45"/>
  <c r="L66" i="45"/>
  <c r="H66" i="45"/>
  <c r="D66" i="45"/>
  <c r="B66" i="45"/>
  <c r="Z65" i="45"/>
  <c r="X65" i="45"/>
  <c r="V65" i="45"/>
  <c r="N65" i="45"/>
  <c r="L65" i="45"/>
  <c r="B65" i="45"/>
  <c r="Z64" i="45"/>
  <c r="X64" i="45"/>
  <c r="T64" i="45"/>
  <c r="P64" i="45"/>
  <c r="H64" i="45"/>
  <c r="D64" i="45"/>
  <c r="B64" i="45"/>
  <c r="Z63" i="45"/>
  <c r="X63" i="45"/>
  <c r="N63" i="45"/>
  <c r="L63" i="45"/>
  <c r="B63" i="45"/>
  <c r="Z62" i="45"/>
  <c r="X62" i="45"/>
  <c r="V62" i="45"/>
  <c r="T62" i="45"/>
  <c r="P62" i="45"/>
  <c r="H62" i="45"/>
  <c r="D62" i="45"/>
  <c r="L62" i="45" s="1"/>
  <c r="B62" i="45"/>
  <c r="X61" i="45"/>
  <c r="Z61" i="45" s="1"/>
  <c r="V61" i="45"/>
  <c r="N61" i="45"/>
  <c r="L61" i="45"/>
  <c r="B61" i="45"/>
  <c r="T60" i="45"/>
  <c r="P60" i="45"/>
  <c r="H60" i="45"/>
  <c r="D60" i="45"/>
  <c r="B60" i="45"/>
  <c r="Z59" i="45"/>
  <c r="X59" i="45"/>
  <c r="V59" i="45"/>
  <c r="N59" i="45"/>
  <c r="L59" i="45"/>
  <c r="B59" i="45"/>
  <c r="X58" i="45"/>
  <c r="Z58" i="45" s="1"/>
  <c r="L58" i="45"/>
  <c r="N58" i="45" s="1"/>
  <c r="B58" i="45"/>
  <c r="V57" i="45"/>
  <c r="T57" i="45"/>
  <c r="P57" i="45"/>
  <c r="X57" i="45" s="1"/>
  <c r="Z57" i="45" s="1"/>
  <c r="L57" i="45"/>
  <c r="N57" i="45" s="1"/>
  <c r="H57" i="45"/>
  <c r="D57" i="45"/>
  <c r="B57" i="45"/>
  <c r="X56" i="45"/>
  <c r="Z56" i="45" s="1"/>
  <c r="L56" i="45"/>
  <c r="N56" i="45" s="1"/>
  <c r="J56" i="45"/>
  <c r="B56" i="45"/>
  <c r="Z55" i="45"/>
  <c r="X55" i="45"/>
  <c r="V55" i="45"/>
  <c r="T55" i="45"/>
  <c r="P55" i="45"/>
  <c r="H55" i="45"/>
  <c r="D55" i="45"/>
  <c r="B55" i="45"/>
  <c r="X54" i="45"/>
  <c r="Z54" i="45" s="1"/>
  <c r="L54" i="45"/>
  <c r="N54" i="45" s="1"/>
  <c r="B54" i="45"/>
  <c r="X53" i="45"/>
  <c r="Z53" i="45" s="1"/>
  <c r="V53" i="45"/>
  <c r="N53" i="45"/>
  <c r="L53" i="45"/>
  <c r="B53" i="45"/>
  <c r="V52" i="45"/>
  <c r="T52" i="45"/>
  <c r="P52" i="45"/>
  <c r="X52" i="45" s="1"/>
  <c r="H52" i="45"/>
  <c r="D52" i="45"/>
  <c r="B52" i="45"/>
  <c r="X51" i="45"/>
  <c r="Z51" i="45" s="1"/>
  <c r="V51" i="45"/>
  <c r="N51" i="45"/>
  <c r="L51" i="45"/>
  <c r="B51" i="45"/>
  <c r="T50" i="45"/>
  <c r="P50" i="45"/>
  <c r="X50" i="45" s="1"/>
  <c r="L50" i="45"/>
  <c r="N50" i="45" s="1"/>
  <c r="H50" i="45"/>
  <c r="D50" i="45"/>
  <c r="B50" i="45"/>
  <c r="Z49" i="45"/>
  <c r="X49" i="45"/>
  <c r="V49" i="45"/>
  <c r="N49" i="45"/>
  <c r="L49" i="45"/>
  <c r="J49" i="45"/>
  <c r="B49" i="45"/>
  <c r="Z48" i="45"/>
  <c r="X48" i="45"/>
  <c r="N48" i="45"/>
  <c r="L48" i="45"/>
  <c r="B48" i="45"/>
  <c r="Z47" i="45"/>
  <c r="X47" i="45"/>
  <c r="V47" i="45"/>
  <c r="N47" i="45"/>
  <c r="L47" i="45"/>
  <c r="B47" i="45"/>
  <c r="X46" i="45"/>
  <c r="Z46" i="45" s="1"/>
  <c r="V46" i="45"/>
  <c r="L46" i="45"/>
  <c r="N46" i="45" s="1"/>
  <c r="B46" i="45"/>
  <c r="Z45" i="45"/>
  <c r="X45" i="45"/>
  <c r="V45" i="45"/>
  <c r="N45" i="45"/>
  <c r="L45" i="45"/>
  <c r="B45" i="45"/>
  <c r="X44" i="45"/>
  <c r="Z44" i="45" s="1"/>
  <c r="L44" i="45"/>
  <c r="N44" i="45" s="1"/>
  <c r="B44" i="45"/>
  <c r="Z43" i="45"/>
  <c r="X43" i="45"/>
  <c r="V43" i="45"/>
  <c r="N43" i="45"/>
  <c r="L43" i="45"/>
  <c r="B43" i="45"/>
  <c r="Z42" i="45"/>
  <c r="X42" i="45"/>
  <c r="V42" i="45"/>
  <c r="N42" i="45"/>
  <c r="L42" i="45"/>
  <c r="B42" i="45"/>
  <c r="Z41" i="45"/>
  <c r="X41" i="45"/>
  <c r="V41" i="45"/>
  <c r="L41" i="45"/>
  <c r="N41" i="45" s="1"/>
  <c r="B41" i="45"/>
  <c r="Z40" i="45"/>
  <c r="X40" i="45"/>
  <c r="N40" i="45"/>
  <c r="L40" i="45"/>
  <c r="J40" i="45"/>
  <c r="B40" i="45"/>
  <c r="Z39" i="45"/>
  <c r="V39" i="45"/>
  <c r="T39" i="45"/>
  <c r="P39" i="45"/>
  <c r="X39" i="45" s="1"/>
  <c r="H39" i="45"/>
  <c r="D39" i="45"/>
  <c r="B39" i="45"/>
  <c r="X38" i="45"/>
  <c r="Z38" i="45" s="1"/>
  <c r="L38" i="45"/>
  <c r="N38" i="45" s="1"/>
  <c r="B38" i="45"/>
  <c r="X37" i="45"/>
  <c r="Z37" i="45" s="1"/>
  <c r="V37" i="45"/>
  <c r="N37" i="45"/>
  <c r="L37" i="45"/>
  <c r="B37" i="45"/>
  <c r="X36" i="45"/>
  <c r="Z36" i="45" s="1"/>
  <c r="V36" i="45"/>
  <c r="N36" i="45"/>
  <c r="L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V33" i="45"/>
  <c r="N33" i="45"/>
  <c r="L33" i="45"/>
  <c r="B33" i="45"/>
  <c r="X32" i="45"/>
  <c r="Z32" i="45" s="1"/>
  <c r="V32" i="45"/>
  <c r="L32" i="45"/>
  <c r="N32" i="45" s="1"/>
  <c r="B32" i="45"/>
  <c r="Z31" i="45"/>
  <c r="X31" i="45"/>
  <c r="V31" i="45"/>
  <c r="L31" i="45"/>
  <c r="N31" i="45" s="1"/>
  <c r="B31" i="45"/>
  <c r="X30" i="45"/>
  <c r="Z30" i="45" s="1"/>
  <c r="L30" i="45"/>
  <c r="N30" i="45" s="1"/>
  <c r="B30" i="45"/>
  <c r="X29" i="45"/>
  <c r="Z29" i="45" s="1"/>
  <c r="V29" i="45"/>
  <c r="N29" i="45"/>
  <c r="L29" i="45"/>
  <c r="B29" i="45"/>
  <c r="V28" i="45"/>
  <c r="T28" i="45"/>
  <c r="P28" i="45"/>
  <c r="X28" i="45" s="1"/>
  <c r="H28" i="45"/>
  <c r="D28" i="45"/>
  <c r="B28" i="45"/>
  <c r="T27" i="45"/>
  <c r="P27" i="45"/>
  <c r="H27" i="45"/>
  <c r="D27" i="45"/>
  <c r="L27" i="45" s="1"/>
  <c r="N27" i="45" s="1"/>
  <c r="T25" i="45"/>
  <c r="V25" i="45" s="1"/>
  <c r="Z23" i="45"/>
  <c r="X23" i="45"/>
  <c r="V23" i="45"/>
  <c r="N23" i="45"/>
  <c r="L23" i="45"/>
  <c r="B23" i="45"/>
  <c r="Z22" i="45"/>
  <c r="X22" i="45"/>
  <c r="N22" i="45"/>
  <c r="L22" i="45"/>
  <c r="J22" i="45"/>
  <c r="B22" i="45"/>
  <c r="Z21" i="45"/>
  <c r="X21" i="45"/>
  <c r="V21" i="45"/>
  <c r="N21" i="45"/>
  <c r="L21" i="45"/>
  <c r="B21" i="45"/>
  <c r="X20" i="45"/>
  <c r="Z20" i="45" s="1"/>
  <c r="T20" i="45"/>
  <c r="P20" i="45"/>
  <c r="H20" i="45"/>
  <c r="D20" i="45"/>
  <c r="Z18" i="45"/>
  <c r="X18" i="45"/>
  <c r="P18" i="45"/>
  <c r="N18" i="45"/>
  <c r="D18" i="45"/>
  <c r="L18" i="45" s="1"/>
  <c r="B18" i="45"/>
  <c r="Z17" i="45"/>
  <c r="P17" i="45"/>
  <c r="X17" i="45" s="1"/>
  <c r="N17" i="45"/>
  <c r="L17" i="45"/>
  <c r="D17" i="45"/>
  <c r="B17" i="45"/>
  <c r="Z16" i="45"/>
  <c r="X16" i="45"/>
  <c r="P16" i="45"/>
  <c r="N16" i="45"/>
  <c r="D16" i="45"/>
  <c r="L16" i="45" s="1"/>
  <c r="B16" i="45"/>
  <c r="Z15" i="45"/>
  <c r="X15" i="45"/>
  <c r="P15" i="45"/>
  <c r="N15" i="45"/>
  <c r="L15" i="45"/>
  <c r="D15" i="45"/>
  <c r="B15" i="45"/>
  <c r="Z14" i="45"/>
  <c r="X14" i="45"/>
  <c r="P14" i="45"/>
  <c r="N14" i="45"/>
  <c r="D14" i="45"/>
  <c r="L14" i="45" s="1"/>
  <c r="B14" i="45"/>
  <c r="Z13" i="45"/>
  <c r="P13" i="45"/>
  <c r="N13" i="45"/>
  <c r="L13" i="45"/>
  <c r="D13" i="45"/>
  <c r="B13" i="45"/>
  <c r="T12" i="45"/>
  <c r="V96" i="45" s="1"/>
  <c r="H12" i="45"/>
  <c r="D4" i="45"/>
  <c r="Z132" i="42"/>
  <c r="X132" i="42"/>
  <c r="L132" i="42"/>
  <c r="N132" i="42" s="1"/>
  <c r="Z128" i="42"/>
  <c r="P128" i="42"/>
  <c r="X128" i="42" s="1"/>
  <c r="N128" i="42"/>
  <c r="D128" i="42"/>
  <c r="L128" i="42" s="1"/>
  <c r="B128" i="42"/>
  <c r="Z127" i="42"/>
  <c r="X127" i="42"/>
  <c r="P127" i="42"/>
  <c r="N127" i="42"/>
  <c r="D127" i="42"/>
  <c r="L127" i="42" s="1"/>
  <c r="B127" i="42"/>
  <c r="X126" i="42"/>
  <c r="Z126" i="42" s="1"/>
  <c r="P126" i="42"/>
  <c r="N126" i="42"/>
  <c r="L126" i="42"/>
  <c r="D126" i="42"/>
  <c r="B126" i="42"/>
  <c r="X125" i="42"/>
  <c r="Z125" i="42" s="1"/>
  <c r="P125" i="42"/>
  <c r="N125" i="42"/>
  <c r="D125" i="42"/>
  <c r="L125" i="42" s="1"/>
  <c r="B125" i="42"/>
  <c r="T124" i="42"/>
  <c r="H124" i="42"/>
  <c r="Z122" i="42"/>
  <c r="X122" i="42"/>
  <c r="V122" i="42"/>
  <c r="N122" i="42"/>
  <c r="L122" i="42"/>
  <c r="J122" i="42"/>
  <c r="B122" i="42"/>
  <c r="T121" i="42"/>
  <c r="P121" i="42"/>
  <c r="H121" i="42"/>
  <c r="D121" i="42"/>
  <c r="L121" i="42" s="1"/>
  <c r="N121" i="42" s="1"/>
  <c r="B121" i="42"/>
  <c r="Z120" i="42"/>
  <c r="X120" i="42"/>
  <c r="N120" i="42"/>
  <c r="L120" i="42"/>
  <c r="B120" i="42"/>
  <c r="Z119" i="42"/>
  <c r="X119" i="42"/>
  <c r="N119" i="42"/>
  <c r="L119" i="42"/>
  <c r="B119" i="42"/>
  <c r="Z118" i="42"/>
  <c r="X118" i="42"/>
  <c r="N118" i="42"/>
  <c r="L118" i="42"/>
  <c r="B118" i="42"/>
  <c r="X117" i="42"/>
  <c r="Z117" i="42" s="1"/>
  <c r="T117" i="42"/>
  <c r="P117" i="42"/>
  <c r="H117" i="42"/>
  <c r="N117" i="42" s="1"/>
  <c r="D117" i="42"/>
  <c r="L117" i="42" s="1"/>
  <c r="B117" i="42"/>
  <c r="X116" i="42"/>
  <c r="Z116" i="42" s="1"/>
  <c r="V116" i="42"/>
  <c r="N116" i="42"/>
  <c r="L116" i="42"/>
  <c r="B116" i="42"/>
  <c r="X115" i="42"/>
  <c r="T115" i="42"/>
  <c r="P115" i="42"/>
  <c r="H115" i="42"/>
  <c r="D115" i="42"/>
  <c r="B115" i="42"/>
  <c r="Z114" i="42"/>
  <c r="X114" i="42"/>
  <c r="N114" i="42"/>
  <c r="L114" i="42"/>
  <c r="B114" i="42"/>
  <c r="X113" i="42"/>
  <c r="Z113" i="42" s="1"/>
  <c r="N113" i="42"/>
  <c r="L113" i="42"/>
  <c r="J113" i="42"/>
  <c r="B113" i="42"/>
  <c r="V112" i="42"/>
  <c r="T112" i="42"/>
  <c r="P112" i="42"/>
  <c r="X112" i="42" s="1"/>
  <c r="Z112" i="42" s="1"/>
  <c r="J112" i="42"/>
  <c r="H112" i="42"/>
  <c r="D112" i="42"/>
  <c r="B112" i="42"/>
  <c r="X111" i="42"/>
  <c r="Z111" i="42" s="1"/>
  <c r="L111" i="42"/>
  <c r="N111" i="42" s="1"/>
  <c r="J111" i="42"/>
  <c r="B111" i="42"/>
  <c r="Z110" i="42"/>
  <c r="X110" i="42"/>
  <c r="N110" i="42"/>
  <c r="L110" i="42"/>
  <c r="B110" i="42"/>
  <c r="X109" i="42"/>
  <c r="Z109" i="42" s="1"/>
  <c r="N109" i="42"/>
  <c r="L109" i="42"/>
  <c r="B109" i="42"/>
  <c r="Z108" i="42"/>
  <c r="X108" i="42"/>
  <c r="L108" i="42"/>
  <c r="N108" i="42" s="1"/>
  <c r="B108" i="42"/>
  <c r="X107" i="42"/>
  <c r="Z107" i="42" s="1"/>
  <c r="L107" i="42"/>
  <c r="N107" i="42" s="1"/>
  <c r="B107" i="42"/>
  <c r="Z106" i="42"/>
  <c r="X106" i="42"/>
  <c r="N106" i="42"/>
  <c r="L106" i="42"/>
  <c r="B106" i="42"/>
  <c r="Z105" i="42"/>
  <c r="X105" i="42"/>
  <c r="L105" i="42"/>
  <c r="N105" i="42" s="1"/>
  <c r="B105" i="42"/>
  <c r="Z104" i="42"/>
  <c r="X104" i="42"/>
  <c r="L104" i="42"/>
  <c r="N104" i="42" s="1"/>
  <c r="B104" i="42"/>
  <c r="X103" i="42"/>
  <c r="Z103" i="42" s="1"/>
  <c r="L103" i="42"/>
  <c r="N103" i="42" s="1"/>
  <c r="J103" i="42"/>
  <c r="B103" i="42"/>
  <c r="Z102" i="42"/>
  <c r="X102" i="42"/>
  <c r="N102" i="42"/>
  <c r="L102" i="42"/>
  <c r="B102" i="42"/>
  <c r="T101" i="42"/>
  <c r="P101" i="42"/>
  <c r="L101" i="42"/>
  <c r="H101" i="42"/>
  <c r="N101" i="42" s="1"/>
  <c r="D101" i="42"/>
  <c r="B101" i="42"/>
  <c r="X100" i="42"/>
  <c r="Z100" i="42" s="1"/>
  <c r="N100" i="42"/>
  <c r="L100" i="42"/>
  <c r="B100" i="42"/>
  <c r="Z99" i="42"/>
  <c r="X99" i="42"/>
  <c r="V99" i="42"/>
  <c r="N99" i="42"/>
  <c r="L99" i="42"/>
  <c r="B99" i="42"/>
  <c r="T98" i="42"/>
  <c r="P98" i="42"/>
  <c r="X98" i="42" s="1"/>
  <c r="Z98" i="42" s="1"/>
  <c r="L98" i="42"/>
  <c r="N98" i="42" s="1"/>
  <c r="H98" i="42"/>
  <c r="D98" i="42"/>
  <c r="B98" i="42"/>
  <c r="X97" i="42"/>
  <c r="Z97" i="42" s="1"/>
  <c r="L97" i="42"/>
  <c r="N97" i="42" s="1"/>
  <c r="J97" i="42"/>
  <c r="B97" i="42"/>
  <c r="Z96" i="42"/>
  <c r="X96" i="42"/>
  <c r="N96" i="42"/>
  <c r="L96" i="42"/>
  <c r="B96" i="42"/>
  <c r="X95" i="42"/>
  <c r="Z95" i="42" s="1"/>
  <c r="L95" i="42"/>
  <c r="N95" i="42" s="1"/>
  <c r="B95" i="42"/>
  <c r="X94" i="42"/>
  <c r="Z94" i="42" s="1"/>
  <c r="N94" i="42"/>
  <c r="L94" i="42"/>
  <c r="B94" i="42"/>
  <c r="X93" i="42"/>
  <c r="Z93" i="42" s="1"/>
  <c r="V93" i="42"/>
  <c r="L93" i="42"/>
  <c r="N93" i="42" s="1"/>
  <c r="J93" i="42"/>
  <c r="B93" i="42"/>
  <c r="T92" i="42"/>
  <c r="P92" i="42"/>
  <c r="H92" i="42"/>
  <c r="D92" i="42"/>
  <c r="L92" i="42" s="1"/>
  <c r="N92" i="42" s="1"/>
  <c r="B92" i="42"/>
  <c r="Z91" i="42"/>
  <c r="X91" i="42"/>
  <c r="V91" i="42"/>
  <c r="L91" i="42"/>
  <c r="N91" i="42" s="1"/>
  <c r="B91" i="42"/>
  <c r="Z90" i="42"/>
  <c r="X90" i="42"/>
  <c r="V90" i="42"/>
  <c r="N90" i="42"/>
  <c r="L90" i="42"/>
  <c r="B90" i="42"/>
  <c r="X89" i="42"/>
  <c r="Z89" i="42" s="1"/>
  <c r="L89" i="42"/>
  <c r="N89" i="42" s="1"/>
  <c r="B89" i="42"/>
  <c r="Z88" i="42"/>
  <c r="T88" i="42"/>
  <c r="P88" i="42"/>
  <c r="X88" i="42" s="1"/>
  <c r="H88" i="42"/>
  <c r="D88" i="42"/>
  <c r="L88" i="42" s="1"/>
  <c r="N88" i="42" s="1"/>
  <c r="B88" i="42"/>
  <c r="X87" i="42"/>
  <c r="Z87" i="42" s="1"/>
  <c r="N87" i="42"/>
  <c r="L87" i="42"/>
  <c r="B87" i="42"/>
  <c r="X86" i="42"/>
  <c r="Z86" i="42" s="1"/>
  <c r="V86" i="42"/>
  <c r="N86" i="42"/>
  <c r="L86" i="42"/>
  <c r="B86" i="42"/>
  <c r="X85" i="42"/>
  <c r="Z85" i="42" s="1"/>
  <c r="N85" i="42"/>
  <c r="L85" i="42"/>
  <c r="B85" i="42"/>
  <c r="X84" i="42"/>
  <c r="Z84" i="42" s="1"/>
  <c r="N84" i="42"/>
  <c r="L84" i="42"/>
  <c r="B84" i="42"/>
  <c r="T83" i="42"/>
  <c r="P83" i="42"/>
  <c r="X83" i="42" s="1"/>
  <c r="Z83" i="42" s="1"/>
  <c r="L83" i="42"/>
  <c r="N83" i="42" s="1"/>
  <c r="H83" i="42"/>
  <c r="D83" i="42"/>
  <c r="B83" i="42"/>
  <c r="Z82" i="42"/>
  <c r="X82" i="42"/>
  <c r="N82" i="42"/>
  <c r="L82" i="42"/>
  <c r="J82" i="42"/>
  <c r="B82" i="42"/>
  <c r="X81" i="42"/>
  <c r="T81" i="42"/>
  <c r="Z81" i="42" s="1"/>
  <c r="P81" i="42"/>
  <c r="N81" i="42"/>
  <c r="L81" i="42"/>
  <c r="H81" i="42"/>
  <c r="D81" i="42"/>
  <c r="B81" i="42"/>
  <c r="Z80" i="42"/>
  <c r="X80" i="42"/>
  <c r="V80" i="42"/>
  <c r="N80" i="42"/>
  <c r="L80" i="42"/>
  <c r="B80" i="42"/>
  <c r="V79" i="42"/>
  <c r="T79" i="42"/>
  <c r="Z79" i="42" s="1"/>
  <c r="P79" i="42"/>
  <c r="H79" i="42"/>
  <c r="N79" i="42" s="1"/>
  <c r="D79" i="42"/>
  <c r="B79" i="42"/>
  <c r="X78" i="42"/>
  <c r="Z78" i="42" s="1"/>
  <c r="N78" i="42"/>
  <c r="L78" i="42"/>
  <c r="B78" i="42"/>
  <c r="T77" i="42"/>
  <c r="P77" i="42"/>
  <c r="X77" i="42" s="1"/>
  <c r="Z77" i="42" s="1"/>
  <c r="L77" i="42"/>
  <c r="N77" i="42" s="1"/>
  <c r="H77" i="42"/>
  <c r="D77" i="42"/>
  <c r="B77" i="42"/>
  <c r="Z76" i="42"/>
  <c r="X76" i="42"/>
  <c r="N76" i="42"/>
  <c r="L76" i="42"/>
  <c r="B76" i="42"/>
  <c r="T75" i="42"/>
  <c r="P75" i="42"/>
  <c r="N75" i="42"/>
  <c r="L75" i="42"/>
  <c r="H75" i="42"/>
  <c r="D75" i="42"/>
  <c r="B75" i="42"/>
  <c r="Z74" i="42"/>
  <c r="X74" i="42"/>
  <c r="V74" i="42"/>
  <c r="L74" i="42"/>
  <c r="N74" i="42" s="1"/>
  <c r="J74" i="42"/>
  <c r="B74" i="42"/>
  <c r="X73" i="42"/>
  <c r="Z73" i="42" s="1"/>
  <c r="V73" i="42"/>
  <c r="L73" i="42"/>
  <c r="N73" i="42" s="1"/>
  <c r="B73" i="42"/>
  <c r="T72" i="42"/>
  <c r="P72" i="42"/>
  <c r="X72" i="42" s="1"/>
  <c r="Z72" i="42" s="1"/>
  <c r="N72" i="42"/>
  <c r="J72" i="42"/>
  <c r="H72" i="42"/>
  <c r="D72" i="42"/>
  <c r="L72" i="42" s="1"/>
  <c r="B72" i="42"/>
  <c r="X71" i="42"/>
  <c r="Z71" i="42" s="1"/>
  <c r="L71" i="42"/>
  <c r="N71" i="42" s="1"/>
  <c r="B71" i="42"/>
  <c r="X70" i="42"/>
  <c r="V70" i="42"/>
  <c r="T70" i="42"/>
  <c r="Z70" i="42" s="1"/>
  <c r="P70" i="42"/>
  <c r="L70" i="42"/>
  <c r="J70" i="42"/>
  <c r="H70" i="42"/>
  <c r="N70" i="42" s="1"/>
  <c r="D70" i="42"/>
  <c r="B70" i="42"/>
  <c r="Z69" i="42"/>
  <c r="X69" i="42"/>
  <c r="L69" i="42"/>
  <c r="N69" i="42" s="1"/>
  <c r="J69" i="42"/>
  <c r="B69" i="42"/>
  <c r="Z68" i="42"/>
  <c r="T68" i="42"/>
  <c r="X68" i="42" s="1"/>
  <c r="P68" i="42"/>
  <c r="H68" i="42"/>
  <c r="D68" i="42"/>
  <c r="L68" i="42" s="1"/>
  <c r="N68" i="42" s="1"/>
  <c r="B68" i="42"/>
  <c r="Z67" i="42"/>
  <c r="X67" i="42"/>
  <c r="L67" i="42"/>
  <c r="N67" i="42" s="1"/>
  <c r="B67" i="42"/>
  <c r="Z66" i="42"/>
  <c r="V66" i="42"/>
  <c r="T66" i="42"/>
  <c r="P66" i="42"/>
  <c r="X66" i="42" s="1"/>
  <c r="H66" i="42"/>
  <c r="D66" i="42"/>
  <c r="L66" i="42" s="1"/>
  <c r="N66" i="42" s="1"/>
  <c r="B66" i="42"/>
  <c r="X65" i="42"/>
  <c r="Z65" i="42" s="1"/>
  <c r="N65" i="42"/>
  <c r="L65" i="42"/>
  <c r="B65" i="42"/>
  <c r="X64" i="42"/>
  <c r="Z64" i="42" s="1"/>
  <c r="N64" i="42"/>
  <c r="L64" i="42"/>
  <c r="B64" i="42"/>
  <c r="X63" i="42"/>
  <c r="Z63" i="42" s="1"/>
  <c r="N63" i="42"/>
  <c r="L63" i="42"/>
  <c r="B63" i="42"/>
  <c r="X62" i="42"/>
  <c r="Z62" i="42" s="1"/>
  <c r="V62" i="42"/>
  <c r="N62" i="42"/>
  <c r="L62" i="42"/>
  <c r="B62" i="42"/>
  <c r="X61" i="42"/>
  <c r="Z61" i="42" s="1"/>
  <c r="T61" i="42"/>
  <c r="P61" i="42"/>
  <c r="H61" i="42"/>
  <c r="D61" i="42"/>
  <c r="L61" i="42" s="1"/>
  <c r="N61" i="42" s="1"/>
  <c r="B61" i="42"/>
  <c r="Z60" i="42"/>
  <c r="X60" i="42"/>
  <c r="N60" i="42"/>
  <c r="L60" i="42"/>
  <c r="J60" i="42"/>
  <c r="B60" i="42"/>
  <c r="X59" i="42"/>
  <c r="T59" i="42"/>
  <c r="Z59" i="42" s="1"/>
  <c r="P59" i="42"/>
  <c r="L59" i="42"/>
  <c r="H59" i="42"/>
  <c r="N59" i="42" s="1"/>
  <c r="D59" i="42"/>
  <c r="B59" i="42"/>
  <c r="Z58" i="42"/>
  <c r="X58" i="42"/>
  <c r="V58" i="42"/>
  <c r="L58" i="42"/>
  <c r="N58" i="42" s="1"/>
  <c r="J58" i="42"/>
  <c r="B58" i="42"/>
  <c r="V57" i="42"/>
  <c r="T57" i="42"/>
  <c r="P57" i="42"/>
  <c r="X57" i="42" s="1"/>
  <c r="H57" i="42"/>
  <c r="D57" i="42"/>
  <c r="L57" i="42" s="1"/>
  <c r="B57" i="42"/>
  <c r="X56" i="42"/>
  <c r="Z56" i="42" s="1"/>
  <c r="V56" i="42"/>
  <c r="N56" i="42"/>
  <c r="L56" i="42"/>
  <c r="B56" i="42"/>
  <c r="T55" i="42"/>
  <c r="P55" i="42"/>
  <c r="X55" i="42" s="1"/>
  <c r="Z55" i="42" s="1"/>
  <c r="L55" i="42"/>
  <c r="N55" i="42" s="1"/>
  <c r="H55" i="42"/>
  <c r="D55" i="42"/>
  <c r="B55" i="42"/>
  <c r="Z54" i="42"/>
  <c r="X54" i="42"/>
  <c r="N54" i="42"/>
  <c r="L54" i="42"/>
  <c r="B54" i="42"/>
  <c r="Z53" i="42"/>
  <c r="X53" i="42"/>
  <c r="N53" i="42"/>
  <c r="L53" i="42"/>
  <c r="J53" i="42"/>
  <c r="B53" i="42"/>
  <c r="Z52" i="42"/>
  <c r="X52" i="42"/>
  <c r="N52" i="42"/>
  <c r="L52" i="42"/>
  <c r="B52" i="42"/>
  <c r="Z51" i="42"/>
  <c r="X51" i="42"/>
  <c r="N51" i="42"/>
  <c r="L51" i="42"/>
  <c r="B51" i="42"/>
  <c r="Z50" i="42"/>
  <c r="X50" i="42"/>
  <c r="N50" i="42"/>
  <c r="L50" i="42"/>
  <c r="B50" i="42"/>
  <c r="Z49" i="42"/>
  <c r="X49" i="42"/>
  <c r="L49" i="42"/>
  <c r="N49" i="42" s="1"/>
  <c r="B49" i="42"/>
  <c r="Z48" i="42"/>
  <c r="X48" i="42"/>
  <c r="N48" i="42"/>
  <c r="L48" i="42"/>
  <c r="B48" i="42"/>
  <c r="Z47" i="42"/>
  <c r="X47" i="42"/>
  <c r="N47" i="42"/>
  <c r="L47" i="42"/>
  <c r="B47" i="42"/>
  <c r="Z46" i="42"/>
  <c r="X46" i="42"/>
  <c r="N46" i="42"/>
  <c r="L46" i="42"/>
  <c r="J46" i="42"/>
  <c r="B46" i="42"/>
  <c r="X45" i="42"/>
  <c r="Z45" i="42" s="1"/>
  <c r="L45" i="42"/>
  <c r="N45" i="42" s="1"/>
  <c r="B45" i="42"/>
  <c r="Z44" i="42"/>
  <c r="T44" i="42"/>
  <c r="X44" i="42" s="1"/>
  <c r="P44" i="42"/>
  <c r="H44" i="42"/>
  <c r="D44" i="42"/>
  <c r="B44" i="42"/>
  <c r="Z43" i="42"/>
  <c r="X43" i="42"/>
  <c r="V43" i="42"/>
  <c r="L43" i="42"/>
  <c r="N43" i="42" s="1"/>
  <c r="B43" i="42"/>
  <c r="Z42" i="42"/>
  <c r="X42" i="42"/>
  <c r="V42" i="42"/>
  <c r="L42" i="42"/>
  <c r="N42" i="42" s="1"/>
  <c r="B42" i="42"/>
  <c r="X41" i="42"/>
  <c r="Z41" i="42" s="1"/>
  <c r="L41" i="42"/>
  <c r="N41" i="42" s="1"/>
  <c r="B41" i="42"/>
  <c r="Z40" i="42"/>
  <c r="X40" i="42"/>
  <c r="V40" i="42"/>
  <c r="N40" i="42"/>
  <c r="L40" i="42"/>
  <c r="B40" i="42"/>
  <c r="Z39" i="42"/>
  <c r="X39" i="42"/>
  <c r="V39" i="42"/>
  <c r="L39" i="42"/>
  <c r="N39" i="42" s="1"/>
  <c r="B39" i="42"/>
  <c r="Z38" i="42"/>
  <c r="X38" i="42"/>
  <c r="V38" i="42"/>
  <c r="L38" i="42"/>
  <c r="N38" i="42" s="1"/>
  <c r="B38" i="42"/>
  <c r="X37" i="42"/>
  <c r="Z37" i="42" s="1"/>
  <c r="L37" i="42"/>
  <c r="N37" i="42" s="1"/>
  <c r="B37" i="42"/>
  <c r="Z36" i="42"/>
  <c r="X36" i="42"/>
  <c r="V36" i="42"/>
  <c r="L36" i="42"/>
  <c r="N36" i="42" s="1"/>
  <c r="J36" i="42"/>
  <c r="B36" i="42"/>
  <c r="Z35" i="42"/>
  <c r="X35" i="42"/>
  <c r="L35" i="42"/>
  <c r="N35" i="42" s="1"/>
  <c r="B35" i="42"/>
  <c r="Z34" i="42"/>
  <c r="X34" i="42"/>
  <c r="V34" i="42"/>
  <c r="L34" i="42"/>
  <c r="N34" i="42" s="1"/>
  <c r="J34" i="42"/>
  <c r="B34" i="42"/>
  <c r="V33" i="42"/>
  <c r="T33" i="42"/>
  <c r="P33" i="42"/>
  <c r="J33" i="42"/>
  <c r="H33" i="42"/>
  <c r="D33" i="42"/>
  <c r="B33" i="42"/>
  <c r="T32" i="42"/>
  <c r="P32" i="42"/>
  <c r="X32" i="42" s="1"/>
  <c r="H32" i="42"/>
  <c r="D32" i="42"/>
  <c r="Z28" i="42"/>
  <c r="X28" i="42"/>
  <c r="N28" i="42"/>
  <c r="L28" i="42"/>
  <c r="B28" i="42"/>
  <c r="Z27" i="42"/>
  <c r="X27" i="42"/>
  <c r="N27" i="42"/>
  <c r="L27" i="42"/>
  <c r="B27" i="42"/>
  <c r="X26" i="42"/>
  <c r="Z26" i="42" s="1"/>
  <c r="N26" i="42"/>
  <c r="L26" i="42"/>
  <c r="B26" i="42"/>
  <c r="X25" i="42"/>
  <c r="Z25" i="42" s="1"/>
  <c r="V25" i="42"/>
  <c r="T25" i="42"/>
  <c r="P25" i="42"/>
  <c r="L25" i="42"/>
  <c r="N25" i="42" s="1"/>
  <c r="H25" i="42"/>
  <c r="D25" i="42"/>
  <c r="Z23" i="42"/>
  <c r="X23" i="42"/>
  <c r="P23" i="42"/>
  <c r="N23" i="42"/>
  <c r="D23" i="42"/>
  <c r="L23" i="42" s="1"/>
  <c r="B23" i="42"/>
  <c r="Z22" i="42"/>
  <c r="P22" i="42"/>
  <c r="X22" i="42" s="1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P20" i="42"/>
  <c r="X20" i="42" s="1"/>
  <c r="N20" i="42"/>
  <c r="D20" i="42"/>
  <c r="L20" i="42" s="1"/>
  <c r="B20" i="42"/>
  <c r="Z19" i="42"/>
  <c r="X19" i="42"/>
  <c r="P19" i="42"/>
  <c r="D19" i="42"/>
  <c r="L19" i="42" s="1"/>
  <c r="N19" i="42" s="1"/>
  <c r="B19" i="42"/>
  <c r="Z18" i="42"/>
  <c r="P18" i="42"/>
  <c r="X18" i="42" s="1"/>
  <c r="N18" i="42"/>
  <c r="D18" i="42"/>
  <c r="L18" i="42" s="1"/>
  <c r="B18" i="42"/>
  <c r="Z17" i="42"/>
  <c r="X17" i="42"/>
  <c r="P17" i="42"/>
  <c r="N17" i="42"/>
  <c r="D17" i="42"/>
  <c r="L17" i="42" s="1"/>
  <c r="B17" i="42"/>
  <c r="Z16" i="42"/>
  <c r="X16" i="42"/>
  <c r="P16" i="42"/>
  <c r="N16" i="42"/>
  <c r="L16" i="42"/>
  <c r="D16" i="42"/>
  <c r="B16" i="42"/>
  <c r="Z15" i="42"/>
  <c r="P15" i="42"/>
  <c r="X15" i="42" s="1"/>
  <c r="N15" i="42"/>
  <c r="D15" i="42"/>
  <c r="B15" i="42"/>
  <c r="Z14" i="42"/>
  <c r="X14" i="42"/>
  <c r="P14" i="42"/>
  <c r="N14" i="42"/>
  <c r="L14" i="42"/>
  <c r="D14" i="42"/>
  <c r="B14" i="42"/>
  <c r="X13" i="42"/>
  <c r="Z13" i="42" s="1"/>
  <c r="P13" i="42"/>
  <c r="L13" i="42"/>
  <c r="N13" i="42" s="1"/>
  <c r="D13" i="42"/>
  <c r="B13" i="42"/>
  <c r="T12" i="42"/>
  <c r="V115" i="42" s="1"/>
  <c r="H12" i="42"/>
  <c r="J88" i="42" s="1"/>
  <c r="D4" i="42"/>
  <c r="Z145" i="39"/>
  <c r="X145" i="39"/>
  <c r="L145" i="39"/>
  <c r="N145" i="39" s="1"/>
  <c r="Z141" i="39"/>
  <c r="V141" i="39"/>
  <c r="P141" i="39"/>
  <c r="X141" i="39" s="1"/>
  <c r="N141" i="39"/>
  <c r="L141" i="39"/>
  <c r="D141" i="39"/>
  <c r="B141" i="39"/>
  <c r="Z140" i="39"/>
  <c r="X140" i="39"/>
  <c r="P140" i="39"/>
  <c r="N140" i="39"/>
  <c r="L140" i="39"/>
  <c r="D140" i="39"/>
  <c r="B140" i="39"/>
  <c r="P139" i="39"/>
  <c r="X139" i="39" s="1"/>
  <c r="Z139" i="39" s="1"/>
  <c r="N139" i="39"/>
  <c r="D139" i="39"/>
  <c r="L139" i="39" s="1"/>
  <c r="B139" i="39"/>
  <c r="V138" i="39"/>
  <c r="P138" i="39"/>
  <c r="X138" i="39" s="1"/>
  <c r="Z138" i="39" s="1"/>
  <c r="D138" i="39"/>
  <c r="B138" i="39"/>
  <c r="V137" i="39"/>
  <c r="T137" i="39"/>
  <c r="P137" i="39"/>
  <c r="X137" i="39" s="1"/>
  <c r="H137" i="39"/>
  <c r="X135" i="39"/>
  <c r="Z135" i="39" s="1"/>
  <c r="V135" i="39"/>
  <c r="N135" i="39"/>
  <c r="L135" i="39"/>
  <c r="B135" i="39"/>
  <c r="T134" i="39"/>
  <c r="P134" i="39"/>
  <c r="X134" i="39" s="1"/>
  <c r="Z134" i="39" s="1"/>
  <c r="J134" i="39"/>
  <c r="H134" i="39"/>
  <c r="D134" i="39"/>
  <c r="L134" i="39" s="1"/>
  <c r="N134" i="39" s="1"/>
  <c r="B134" i="39"/>
  <c r="Z133" i="39"/>
  <c r="X133" i="39"/>
  <c r="N133" i="39"/>
  <c r="L133" i="39"/>
  <c r="B133" i="39"/>
  <c r="Z132" i="39"/>
  <c r="X132" i="39"/>
  <c r="N132" i="39"/>
  <c r="L132" i="39"/>
  <c r="B132" i="39"/>
  <c r="X131" i="39"/>
  <c r="Z131" i="39" s="1"/>
  <c r="N131" i="39"/>
  <c r="L131" i="39"/>
  <c r="B131" i="39"/>
  <c r="V130" i="39"/>
  <c r="T130" i="39"/>
  <c r="P130" i="39"/>
  <c r="X130" i="39" s="1"/>
  <c r="Z130" i="39" s="1"/>
  <c r="J130" i="39"/>
  <c r="H130" i="39"/>
  <c r="N130" i="39" s="1"/>
  <c r="D130" i="39"/>
  <c r="B130" i="39"/>
  <c r="Z129" i="39"/>
  <c r="X129" i="39"/>
  <c r="V129" i="39"/>
  <c r="N129" i="39"/>
  <c r="L129" i="39"/>
  <c r="B129" i="39"/>
  <c r="V128" i="39"/>
  <c r="T128" i="39"/>
  <c r="P128" i="39"/>
  <c r="H128" i="39"/>
  <c r="D128" i="39"/>
  <c r="B128" i="39"/>
  <c r="Z127" i="39"/>
  <c r="X127" i="39"/>
  <c r="V127" i="39"/>
  <c r="N127" i="39"/>
  <c r="L127" i="39"/>
  <c r="J127" i="39"/>
  <c r="B127" i="39"/>
  <c r="X126" i="39"/>
  <c r="Z126" i="39" s="1"/>
  <c r="N126" i="39"/>
  <c r="L126" i="39"/>
  <c r="B126" i="39"/>
  <c r="V125" i="39"/>
  <c r="T125" i="39"/>
  <c r="P125" i="39"/>
  <c r="X125" i="39" s="1"/>
  <c r="L125" i="39"/>
  <c r="N125" i="39" s="1"/>
  <c r="H125" i="39"/>
  <c r="D125" i="39"/>
  <c r="B125" i="39"/>
  <c r="X124" i="39"/>
  <c r="Z124" i="39" s="1"/>
  <c r="V124" i="39"/>
  <c r="L124" i="39"/>
  <c r="N124" i="39" s="1"/>
  <c r="B124" i="39"/>
  <c r="X123" i="39"/>
  <c r="Z123" i="39" s="1"/>
  <c r="N123" i="39"/>
  <c r="L123" i="39"/>
  <c r="J123" i="39"/>
  <c r="B123" i="39"/>
  <c r="Z122" i="39"/>
  <c r="X122" i="39"/>
  <c r="V122" i="39"/>
  <c r="N122" i="39"/>
  <c r="L122" i="39"/>
  <c r="B122" i="39"/>
  <c r="X121" i="39"/>
  <c r="Z121" i="39" s="1"/>
  <c r="N121" i="39"/>
  <c r="L121" i="39"/>
  <c r="J121" i="39"/>
  <c r="B121" i="39"/>
  <c r="Z120" i="39"/>
  <c r="X120" i="39"/>
  <c r="N120" i="39"/>
  <c r="L120" i="39"/>
  <c r="J120" i="39"/>
  <c r="B120" i="39"/>
  <c r="Z119" i="39"/>
  <c r="X119" i="39"/>
  <c r="N119" i="39"/>
  <c r="L119" i="39"/>
  <c r="B119" i="39"/>
  <c r="X118" i="39"/>
  <c r="Z118" i="39" s="1"/>
  <c r="N118" i="39"/>
  <c r="L118" i="39"/>
  <c r="J118" i="39"/>
  <c r="B118" i="39"/>
  <c r="X117" i="39"/>
  <c r="Z117" i="39" s="1"/>
  <c r="N117" i="39"/>
  <c r="L117" i="39"/>
  <c r="B117" i="39"/>
  <c r="Z116" i="39"/>
  <c r="X116" i="39"/>
  <c r="N116" i="39"/>
  <c r="L116" i="39"/>
  <c r="J116" i="39"/>
  <c r="B116" i="39"/>
  <c r="Z115" i="39"/>
  <c r="X115" i="39"/>
  <c r="N115" i="39"/>
  <c r="L115" i="39"/>
  <c r="B115" i="39"/>
  <c r="X114" i="39"/>
  <c r="T114" i="39"/>
  <c r="P114" i="39"/>
  <c r="N114" i="39"/>
  <c r="L114" i="39"/>
  <c r="H114" i="39"/>
  <c r="D114" i="39"/>
  <c r="B114" i="39"/>
  <c r="Z113" i="39"/>
  <c r="X113" i="39"/>
  <c r="V113" i="39"/>
  <c r="L113" i="39"/>
  <c r="N113" i="39" s="1"/>
  <c r="B113" i="39"/>
  <c r="Z112" i="39"/>
  <c r="X112" i="39"/>
  <c r="V112" i="39"/>
  <c r="N112" i="39"/>
  <c r="L112" i="39"/>
  <c r="B112" i="39"/>
  <c r="T111" i="39"/>
  <c r="P111" i="39"/>
  <c r="X111" i="39" s="1"/>
  <c r="N111" i="39"/>
  <c r="J111" i="39"/>
  <c r="H111" i="39"/>
  <c r="D111" i="39"/>
  <c r="L111" i="39" s="1"/>
  <c r="B111" i="39"/>
  <c r="Z110" i="39"/>
  <c r="X110" i="39"/>
  <c r="V110" i="39"/>
  <c r="N110" i="39"/>
  <c r="L110" i="39"/>
  <c r="B110" i="39"/>
  <c r="X109" i="39"/>
  <c r="Z109" i="39" s="1"/>
  <c r="L109" i="39"/>
  <c r="N109" i="39" s="1"/>
  <c r="B109" i="39"/>
  <c r="X108" i="39"/>
  <c r="Z108" i="39" s="1"/>
  <c r="N108" i="39"/>
  <c r="L108" i="39"/>
  <c r="B108" i="39"/>
  <c r="X107" i="39"/>
  <c r="Z107" i="39" s="1"/>
  <c r="V107" i="39"/>
  <c r="N107" i="39"/>
  <c r="L107" i="39"/>
  <c r="B107" i="39"/>
  <c r="Z106" i="39"/>
  <c r="X106" i="39"/>
  <c r="V106" i="39"/>
  <c r="N106" i="39"/>
  <c r="L106" i="39"/>
  <c r="B106" i="39"/>
  <c r="Z105" i="39"/>
  <c r="X105" i="39"/>
  <c r="N105" i="39"/>
  <c r="L105" i="39"/>
  <c r="B105" i="39"/>
  <c r="X104" i="39"/>
  <c r="T104" i="39"/>
  <c r="Z104" i="39" s="1"/>
  <c r="P104" i="39"/>
  <c r="H104" i="39"/>
  <c r="D104" i="39"/>
  <c r="L104" i="39" s="1"/>
  <c r="N104" i="39" s="1"/>
  <c r="B104" i="39"/>
  <c r="Z103" i="39"/>
  <c r="X103" i="39"/>
  <c r="N103" i="39"/>
  <c r="L103" i="39"/>
  <c r="F103" i="39"/>
  <c r="B103" i="39"/>
  <c r="Z102" i="39"/>
  <c r="X102" i="39"/>
  <c r="N102" i="39"/>
  <c r="L102" i="39"/>
  <c r="J102" i="39"/>
  <c r="B102" i="39"/>
  <c r="X101" i="39"/>
  <c r="Z101" i="39" s="1"/>
  <c r="N101" i="39"/>
  <c r="L101" i="39"/>
  <c r="B101" i="39"/>
  <c r="Z100" i="39"/>
  <c r="X100" i="39"/>
  <c r="T100" i="39"/>
  <c r="P100" i="39"/>
  <c r="N100" i="39"/>
  <c r="L100" i="39"/>
  <c r="H100" i="39"/>
  <c r="D100" i="39"/>
  <c r="B100" i="39"/>
  <c r="Z99" i="39"/>
  <c r="X99" i="39"/>
  <c r="L99" i="39"/>
  <c r="N99" i="39" s="1"/>
  <c r="B99" i="39"/>
  <c r="Z98" i="39"/>
  <c r="X98" i="39"/>
  <c r="V98" i="39"/>
  <c r="N98" i="39"/>
  <c r="L98" i="39"/>
  <c r="J98" i="39"/>
  <c r="B98" i="39"/>
  <c r="Z97" i="39"/>
  <c r="X97" i="39"/>
  <c r="V97" i="39"/>
  <c r="N97" i="39"/>
  <c r="L97" i="39"/>
  <c r="B97" i="39"/>
  <c r="Z96" i="39"/>
  <c r="X96" i="39"/>
  <c r="V96" i="39"/>
  <c r="L96" i="39"/>
  <c r="N96" i="39" s="1"/>
  <c r="B96" i="39"/>
  <c r="T95" i="39"/>
  <c r="P95" i="39"/>
  <c r="H95" i="39"/>
  <c r="D95" i="39"/>
  <c r="L95" i="39" s="1"/>
  <c r="N95" i="39" s="1"/>
  <c r="B95" i="39"/>
  <c r="Z94" i="39"/>
  <c r="X94" i="39"/>
  <c r="V94" i="39"/>
  <c r="N94" i="39"/>
  <c r="L94" i="39"/>
  <c r="B94" i="39"/>
  <c r="T93" i="39"/>
  <c r="P93" i="39"/>
  <c r="X93" i="39" s="1"/>
  <c r="L93" i="39"/>
  <c r="N93" i="39" s="1"/>
  <c r="J93" i="39"/>
  <c r="H93" i="39"/>
  <c r="D93" i="39"/>
  <c r="B93" i="39"/>
  <c r="Z92" i="39"/>
  <c r="X92" i="39"/>
  <c r="N92" i="39"/>
  <c r="L92" i="39"/>
  <c r="B92" i="39"/>
  <c r="Z91" i="39"/>
  <c r="T91" i="39"/>
  <c r="P91" i="39"/>
  <c r="H91" i="39"/>
  <c r="D91" i="39"/>
  <c r="B91" i="39"/>
  <c r="Z90" i="39"/>
  <c r="X90" i="39"/>
  <c r="V90" i="39"/>
  <c r="N90" i="39"/>
  <c r="L90" i="39"/>
  <c r="J90" i="39"/>
  <c r="B90" i="39"/>
  <c r="Z89" i="39"/>
  <c r="V89" i="39"/>
  <c r="T89" i="39"/>
  <c r="P89" i="39"/>
  <c r="X89" i="39" s="1"/>
  <c r="H89" i="39"/>
  <c r="N89" i="39" s="1"/>
  <c r="D89" i="39"/>
  <c r="B89" i="39"/>
  <c r="X88" i="39"/>
  <c r="Z88" i="39" s="1"/>
  <c r="N88" i="39"/>
  <c r="L88" i="39"/>
  <c r="B88" i="39"/>
  <c r="X87" i="39"/>
  <c r="Z87" i="39" s="1"/>
  <c r="V87" i="39"/>
  <c r="T87" i="39"/>
  <c r="P87" i="39"/>
  <c r="L87" i="39"/>
  <c r="H87" i="39"/>
  <c r="D87" i="39"/>
  <c r="B87" i="39"/>
  <c r="X86" i="39"/>
  <c r="Z86" i="39" s="1"/>
  <c r="N86" i="39"/>
  <c r="L86" i="39"/>
  <c r="J86" i="39"/>
  <c r="B86" i="39"/>
  <c r="X85" i="39"/>
  <c r="T85" i="39"/>
  <c r="P85" i="39"/>
  <c r="H85" i="39"/>
  <c r="D85" i="39"/>
  <c r="L85" i="39" s="1"/>
  <c r="N85" i="39" s="1"/>
  <c r="B85" i="39"/>
  <c r="Z84" i="39"/>
  <c r="X84" i="39"/>
  <c r="V84" i="39"/>
  <c r="L84" i="39"/>
  <c r="N84" i="39" s="1"/>
  <c r="B84" i="39"/>
  <c r="Z83" i="39"/>
  <c r="X83" i="39"/>
  <c r="L83" i="39"/>
  <c r="N83" i="39" s="1"/>
  <c r="J83" i="39"/>
  <c r="B83" i="39"/>
  <c r="V82" i="39"/>
  <c r="T82" i="39"/>
  <c r="P82" i="39"/>
  <c r="X82" i="39" s="1"/>
  <c r="J82" i="39"/>
  <c r="H82" i="39"/>
  <c r="D82" i="39"/>
  <c r="B82" i="39"/>
  <c r="Z81" i="39"/>
  <c r="X81" i="39"/>
  <c r="V81" i="39"/>
  <c r="N81" i="39"/>
  <c r="L81" i="39"/>
  <c r="B81" i="39"/>
  <c r="X80" i="39"/>
  <c r="T80" i="39"/>
  <c r="Z80" i="39" s="1"/>
  <c r="P80" i="39"/>
  <c r="N80" i="39"/>
  <c r="J80" i="39"/>
  <c r="H80" i="39"/>
  <c r="D80" i="39"/>
  <c r="B80" i="39"/>
  <c r="Z79" i="39"/>
  <c r="X79" i="39"/>
  <c r="N79" i="39"/>
  <c r="L79" i="39"/>
  <c r="B79" i="39"/>
  <c r="T78" i="39"/>
  <c r="X78" i="39" s="1"/>
  <c r="P78" i="39"/>
  <c r="N78" i="39"/>
  <c r="L78" i="39"/>
  <c r="H78" i="39"/>
  <c r="D78" i="39"/>
  <c r="B78" i="39"/>
  <c r="Z77" i="39"/>
  <c r="X77" i="39"/>
  <c r="V77" i="39"/>
  <c r="L77" i="39"/>
  <c r="N77" i="39" s="1"/>
  <c r="B77" i="39"/>
  <c r="T76" i="39"/>
  <c r="V76" i="39" s="1"/>
  <c r="P76" i="39"/>
  <c r="X76" i="39" s="1"/>
  <c r="Z76" i="39" s="1"/>
  <c r="J76" i="39"/>
  <c r="H76" i="39"/>
  <c r="N76" i="39" s="1"/>
  <c r="D76" i="39"/>
  <c r="L76" i="39" s="1"/>
  <c r="B76" i="39"/>
  <c r="X75" i="39"/>
  <c r="Z75" i="39" s="1"/>
  <c r="V75" i="39"/>
  <c r="N75" i="39"/>
  <c r="L75" i="39"/>
  <c r="B75" i="39"/>
  <c r="V74" i="39"/>
  <c r="T74" i="39"/>
  <c r="P74" i="39"/>
  <c r="X74" i="39" s="1"/>
  <c r="Z74" i="39" s="1"/>
  <c r="L74" i="39"/>
  <c r="H74" i="39"/>
  <c r="D74" i="39"/>
  <c r="B74" i="39"/>
  <c r="Z73" i="39"/>
  <c r="X73" i="39"/>
  <c r="N73" i="39"/>
  <c r="L73" i="39"/>
  <c r="J73" i="39"/>
  <c r="B73" i="39"/>
  <c r="Z72" i="39"/>
  <c r="X72" i="39"/>
  <c r="T72" i="39"/>
  <c r="P72" i="39"/>
  <c r="N72" i="39"/>
  <c r="L72" i="39"/>
  <c r="H72" i="39"/>
  <c r="D72" i="39"/>
  <c r="B72" i="39"/>
  <c r="Z71" i="39"/>
  <c r="X71" i="39"/>
  <c r="L71" i="39"/>
  <c r="N71" i="39" s="1"/>
  <c r="B71" i="39"/>
  <c r="Z70" i="39"/>
  <c r="X70" i="39"/>
  <c r="V70" i="39"/>
  <c r="N70" i="39"/>
  <c r="L70" i="39"/>
  <c r="J70" i="39"/>
  <c r="B70" i="39"/>
  <c r="Z69" i="39"/>
  <c r="X69" i="39"/>
  <c r="V69" i="39"/>
  <c r="L69" i="39"/>
  <c r="N69" i="39" s="1"/>
  <c r="B69" i="39"/>
  <c r="Z68" i="39"/>
  <c r="X68" i="39"/>
  <c r="V68" i="39"/>
  <c r="L68" i="39"/>
  <c r="N68" i="39" s="1"/>
  <c r="B68" i="39"/>
  <c r="T67" i="39"/>
  <c r="P67" i="39"/>
  <c r="X67" i="39" s="1"/>
  <c r="H67" i="39"/>
  <c r="D67" i="39"/>
  <c r="L67" i="39" s="1"/>
  <c r="N67" i="39" s="1"/>
  <c r="B67" i="39"/>
  <c r="Z66" i="39"/>
  <c r="X66" i="39"/>
  <c r="V66" i="39"/>
  <c r="L66" i="39"/>
  <c r="N66" i="39" s="1"/>
  <c r="B66" i="39"/>
  <c r="V65" i="39"/>
  <c r="T65" i="39"/>
  <c r="P65" i="39"/>
  <c r="X65" i="39" s="1"/>
  <c r="L65" i="39"/>
  <c r="N65" i="39" s="1"/>
  <c r="J65" i="39"/>
  <c r="H65" i="39"/>
  <c r="D65" i="39"/>
  <c r="B65" i="39"/>
  <c r="Z64" i="39"/>
  <c r="X64" i="39"/>
  <c r="N64" i="39"/>
  <c r="L64" i="39"/>
  <c r="F64" i="39"/>
  <c r="B64" i="39"/>
  <c r="T63" i="39"/>
  <c r="P63" i="39"/>
  <c r="H63" i="39"/>
  <c r="D63" i="39"/>
  <c r="B63" i="39"/>
  <c r="Z62" i="39"/>
  <c r="X62" i="39"/>
  <c r="V62" i="39"/>
  <c r="N62" i="39"/>
  <c r="L62" i="39"/>
  <c r="J62" i="39"/>
  <c r="B62" i="39"/>
  <c r="V61" i="39"/>
  <c r="T61" i="39"/>
  <c r="P61" i="39"/>
  <c r="X61" i="39" s="1"/>
  <c r="Z61" i="39" s="1"/>
  <c r="H61" i="39"/>
  <c r="D61" i="39"/>
  <c r="B61" i="39"/>
  <c r="Z60" i="39"/>
  <c r="X60" i="39"/>
  <c r="N60" i="39"/>
  <c r="L60" i="39"/>
  <c r="B60" i="39"/>
  <c r="Z59" i="39"/>
  <c r="X59" i="39"/>
  <c r="V59" i="39"/>
  <c r="N59" i="39"/>
  <c r="L59" i="39"/>
  <c r="B59" i="39"/>
  <c r="Z58" i="39"/>
  <c r="X58" i="39"/>
  <c r="V58" i="39"/>
  <c r="N58" i="39"/>
  <c r="L58" i="39"/>
  <c r="B58" i="39"/>
  <c r="X57" i="39"/>
  <c r="Z57" i="39" s="1"/>
  <c r="V57" i="39"/>
  <c r="L57" i="39"/>
  <c r="N57" i="39" s="1"/>
  <c r="B57" i="39"/>
  <c r="Z56" i="39"/>
  <c r="X56" i="39"/>
  <c r="N56" i="39"/>
  <c r="L56" i="39"/>
  <c r="B56" i="39"/>
  <c r="X55" i="39"/>
  <c r="Z55" i="39" s="1"/>
  <c r="V55" i="39"/>
  <c r="N55" i="39"/>
  <c r="L55" i="39"/>
  <c r="B55" i="39"/>
  <c r="Z54" i="39"/>
  <c r="X54" i="39"/>
  <c r="V54" i="39"/>
  <c r="L54" i="39"/>
  <c r="N54" i="39" s="1"/>
  <c r="B54" i="39"/>
  <c r="Z53" i="39"/>
  <c r="X53" i="39"/>
  <c r="V53" i="39"/>
  <c r="N53" i="39"/>
  <c r="L53" i="39"/>
  <c r="B53" i="39"/>
  <c r="X52" i="39"/>
  <c r="Z52" i="39" s="1"/>
  <c r="N52" i="39"/>
  <c r="L52" i="39"/>
  <c r="B52" i="39"/>
  <c r="X51" i="39"/>
  <c r="Z51" i="39" s="1"/>
  <c r="V51" i="39"/>
  <c r="N51" i="39"/>
  <c r="L51" i="39"/>
  <c r="B51" i="39"/>
  <c r="V50" i="39"/>
  <c r="T50" i="39"/>
  <c r="P50" i="39"/>
  <c r="X50" i="39" s="1"/>
  <c r="Z50" i="39" s="1"/>
  <c r="L50" i="39"/>
  <c r="H50" i="39"/>
  <c r="D50" i="39"/>
  <c r="B50" i="39"/>
  <c r="X49" i="39"/>
  <c r="Z49" i="39" s="1"/>
  <c r="N49" i="39"/>
  <c r="L49" i="39"/>
  <c r="J49" i="39"/>
  <c r="B49" i="39"/>
  <c r="Z48" i="39"/>
  <c r="X48" i="39"/>
  <c r="N48" i="39"/>
  <c r="L48" i="39"/>
  <c r="J48" i="39"/>
  <c r="B48" i="39"/>
  <c r="Z47" i="39"/>
  <c r="X47" i="39"/>
  <c r="N47" i="39"/>
  <c r="L47" i="39"/>
  <c r="F47" i="39"/>
  <c r="B47" i="39"/>
  <c r="Z46" i="39"/>
  <c r="X46" i="39"/>
  <c r="N46" i="39"/>
  <c r="L46" i="39"/>
  <c r="B46" i="39"/>
  <c r="X45" i="39"/>
  <c r="Z45" i="39" s="1"/>
  <c r="N45" i="39"/>
  <c r="L45" i="39"/>
  <c r="J45" i="39"/>
  <c r="B45" i="39"/>
  <c r="Z44" i="39"/>
  <c r="X44" i="39"/>
  <c r="N44" i="39"/>
  <c r="L44" i="39"/>
  <c r="B44" i="39"/>
  <c r="Z43" i="39"/>
  <c r="X43" i="39"/>
  <c r="N43" i="39"/>
  <c r="L43" i="39"/>
  <c r="B43" i="39"/>
  <c r="X42" i="39"/>
  <c r="Z42" i="39" s="1"/>
  <c r="N42" i="39"/>
  <c r="L42" i="39"/>
  <c r="J42" i="39"/>
  <c r="B42" i="39"/>
  <c r="X41" i="39"/>
  <c r="Z41" i="39" s="1"/>
  <c r="N41" i="39"/>
  <c r="L41" i="39"/>
  <c r="J41" i="39"/>
  <c r="B41" i="39"/>
  <c r="Z40" i="39"/>
  <c r="X40" i="39"/>
  <c r="N40" i="39"/>
  <c r="L40" i="39"/>
  <c r="J40" i="39"/>
  <c r="B40" i="39"/>
  <c r="Z39" i="39"/>
  <c r="T39" i="39"/>
  <c r="P39" i="39"/>
  <c r="X39" i="39" s="1"/>
  <c r="H39" i="39"/>
  <c r="D39" i="39"/>
  <c r="B39" i="39"/>
  <c r="T38" i="39"/>
  <c r="V38" i="39" s="1"/>
  <c r="P38" i="39"/>
  <c r="X38" i="39" s="1"/>
  <c r="H38" i="39"/>
  <c r="D38" i="39"/>
  <c r="L38" i="39" s="1"/>
  <c r="N38" i="39" s="1"/>
  <c r="T36" i="39"/>
  <c r="Z34" i="39"/>
  <c r="X34" i="39"/>
  <c r="V34" i="39"/>
  <c r="N34" i="39"/>
  <c r="L34" i="39"/>
  <c r="J34" i="39"/>
  <c r="B34" i="39"/>
  <c r="Z33" i="39"/>
  <c r="X33" i="39"/>
  <c r="V33" i="39"/>
  <c r="N33" i="39"/>
  <c r="L33" i="39"/>
  <c r="J33" i="39"/>
  <c r="B33" i="39"/>
  <c r="Z32" i="39"/>
  <c r="X32" i="39"/>
  <c r="V32" i="39"/>
  <c r="L32" i="39"/>
  <c r="N32" i="39" s="1"/>
  <c r="B32" i="39"/>
  <c r="T31" i="39"/>
  <c r="V31" i="39" s="1"/>
  <c r="P31" i="39"/>
  <c r="X31" i="39" s="1"/>
  <c r="N31" i="39"/>
  <c r="J31" i="39"/>
  <c r="H31" i="39"/>
  <c r="D31" i="39"/>
  <c r="L31" i="39" s="1"/>
  <c r="Z29" i="39"/>
  <c r="P29" i="39"/>
  <c r="X29" i="39" s="1"/>
  <c r="N29" i="39"/>
  <c r="D29" i="39"/>
  <c r="L29" i="39" s="1"/>
  <c r="B29" i="39"/>
  <c r="Z28" i="39"/>
  <c r="X28" i="39"/>
  <c r="P28" i="39"/>
  <c r="N28" i="39"/>
  <c r="L28" i="39"/>
  <c r="D28" i="39"/>
  <c r="D12" i="39" s="1"/>
  <c r="F105" i="39" s="1"/>
  <c r="B28" i="39"/>
  <c r="Z27" i="39"/>
  <c r="X27" i="39"/>
  <c r="P27" i="39"/>
  <c r="N27" i="39"/>
  <c r="L27" i="39"/>
  <c r="D27" i="39"/>
  <c r="B27" i="39"/>
  <c r="Z26" i="39"/>
  <c r="P26" i="39"/>
  <c r="X26" i="39" s="1"/>
  <c r="N26" i="39"/>
  <c r="D26" i="39"/>
  <c r="L26" i="39" s="1"/>
  <c r="B26" i="39"/>
  <c r="Z25" i="39"/>
  <c r="X25" i="39"/>
  <c r="P25" i="39"/>
  <c r="N25" i="39"/>
  <c r="L25" i="39"/>
  <c r="D25" i="39"/>
  <c r="B25" i="39"/>
  <c r="Z24" i="39"/>
  <c r="X24" i="39"/>
  <c r="P24" i="39"/>
  <c r="N24" i="39"/>
  <c r="L24" i="39"/>
  <c r="D24" i="39"/>
  <c r="B24" i="39"/>
  <c r="Z23" i="39"/>
  <c r="P23" i="39"/>
  <c r="X23" i="39" s="1"/>
  <c r="N23" i="39"/>
  <c r="D23" i="39"/>
  <c r="L23" i="39" s="1"/>
  <c r="B23" i="39"/>
  <c r="Z22" i="39"/>
  <c r="P22" i="39"/>
  <c r="X22" i="39" s="1"/>
  <c r="N22" i="39"/>
  <c r="L22" i="39"/>
  <c r="D22" i="39"/>
  <c r="B22" i="39"/>
  <c r="Z21" i="39"/>
  <c r="X21" i="39"/>
  <c r="P21" i="39"/>
  <c r="N21" i="39"/>
  <c r="L21" i="39"/>
  <c r="D21" i="39"/>
  <c r="B21" i="39"/>
  <c r="Z20" i="39"/>
  <c r="P20" i="39"/>
  <c r="X20" i="39" s="1"/>
  <c r="N20" i="39"/>
  <c r="D20" i="39"/>
  <c r="L20" i="39" s="1"/>
  <c r="B20" i="39"/>
  <c r="Z19" i="39"/>
  <c r="P19" i="39"/>
  <c r="X19" i="39" s="1"/>
  <c r="N19" i="39"/>
  <c r="D19" i="39"/>
  <c r="L19" i="39" s="1"/>
  <c r="B19" i="39"/>
  <c r="Z18" i="39"/>
  <c r="X18" i="39"/>
  <c r="P18" i="39"/>
  <c r="N18" i="39"/>
  <c r="L18" i="39"/>
  <c r="D18" i="39"/>
  <c r="B18" i="39"/>
  <c r="Z17" i="39"/>
  <c r="P17" i="39"/>
  <c r="X17" i="39" s="1"/>
  <c r="N17" i="39"/>
  <c r="D17" i="39"/>
  <c r="L17" i="39" s="1"/>
  <c r="B17" i="39"/>
  <c r="Z16" i="39"/>
  <c r="X16" i="39"/>
  <c r="P16" i="39"/>
  <c r="N16" i="39"/>
  <c r="D16" i="39"/>
  <c r="L16" i="39" s="1"/>
  <c r="B16" i="39"/>
  <c r="Z15" i="39"/>
  <c r="X15" i="39"/>
  <c r="P15" i="39"/>
  <c r="N15" i="39"/>
  <c r="L15" i="39"/>
  <c r="D15" i="39"/>
  <c r="B15" i="39"/>
  <c r="Z14" i="39"/>
  <c r="P14" i="39"/>
  <c r="X14" i="39" s="1"/>
  <c r="N14" i="39"/>
  <c r="D14" i="39"/>
  <c r="L14" i="39" s="1"/>
  <c r="B14" i="39"/>
  <c r="P13" i="39"/>
  <c r="L13" i="39"/>
  <c r="N13" i="39" s="1"/>
  <c r="D13" i="39"/>
  <c r="B13" i="39"/>
  <c r="T12" i="39"/>
  <c r="V133" i="39" s="1"/>
  <c r="H12" i="39"/>
  <c r="J139" i="39" s="1"/>
  <c r="D4" i="39"/>
  <c r="X139" i="36"/>
  <c r="Z139" i="36" s="1"/>
  <c r="N139" i="36"/>
  <c r="L139" i="36"/>
  <c r="Z135" i="36"/>
  <c r="P135" i="36"/>
  <c r="X135" i="36" s="1"/>
  <c r="N135" i="36"/>
  <c r="D135" i="36"/>
  <c r="L135" i="36" s="1"/>
  <c r="B135" i="36"/>
  <c r="Z134" i="36"/>
  <c r="X134" i="36"/>
  <c r="P134" i="36"/>
  <c r="N134" i="36"/>
  <c r="D134" i="36"/>
  <c r="L134" i="36" s="1"/>
  <c r="B134" i="36"/>
  <c r="X133" i="36"/>
  <c r="Z133" i="36" s="1"/>
  <c r="P133" i="36"/>
  <c r="P131" i="36" s="1"/>
  <c r="X131" i="36" s="1"/>
  <c r="N133" i="36"/>
  <c r="D133" i="36"/>
  <c r="L133" i="36" s="1"/>
  <c r="B133" i="36"/>
  <c r="Z132" i="36"/>
  <c r="X132" i="36"/>
  <c r="P132" i="36"/>
  <c r="D132" i="36"/>
  <c r="B132" i="36"/>
  <c r="T131" i="36"/>
  <c r="H131" i="36"/>
  <c r="X129" i="36"/>
  <c r="Z129" i="36" s="1"/>
  <c r="N129" i="36"/>
  <c r="L129" i="36"/>
  <c r="B129" i="36"/>
  <c r="T128" i="36"/>
  <c r="X128" i="36" s="1"/>
  <c r="P128" i="36"/>
  <c r="L128" i="36"/>
  <c r="N128" i="36" s="1"/>
  <c r="H128" i="36"/>
  <c r="D128" i="36"/>
  <c r="B128" i="36"/>
  <c r="Z127" i="36"/>
  <c r="X127" i="36"/>
  <c r="V127" i="36"/>
  <c r="L127" i="36"/>
  <c r="N127" i="36" s="1"/>
  <c r="B127" i="36"/>
  <c r="Z126" i="36"/>
  <c r="X126" i="36"/>
  <c r="N126" i="36"/>
  <c r="L126" i="36"/>
  <c r="B126" i="36"/>
  <c r="Z125" i="36"/>
  <c r="X125" i="36"/>
  <c r="L125" i="36"/>
  <c r="N125" i="36" s="1"/>
  <c r="B125" i="36"/>
  <c r="T124" i="36"/>
  <c r="P124" i="36"/>
  <c r="H124" i="36"/>
  <c r="D124" i="36"/>
  <c r="B124" i="36"/>
  <c r="X123" i="36"/>
  <c r="Z123" i="36" s="1"/>
  <c r="N123" i="36"/>
  <c r="L123" i="36"/>
  <c r="B123" i="36"/>
  <c r="T122" i="36"/>
  <c r="P122" i="36"/>
  <c r="X122" i="36" s="1"/>
  <c r="L122" i="36"/>
  <c r="H122" i="36"/>
  <c r="N122" i="36" s="1"/>
  <c r="D122" i="36"/>
  <c r="B122" i="36"/>
  <c r="X121" i="36"/>
  <c r="Z121" i="36" s="1"/>
  <c r="N121" i="36"/>
  <c r="L121" i="36"/>
  <c r="J121" i="36"/>
  <c r="B121" i="36"/>
  <c r="X120" i="36"/>
  <c r="Z120" i="36" s="1"/>
  <c r="N120" i="36"/>
  <c r="L120" i="36"/>
  <c r="B120" i="36"/>
  <c r="T119" i="36"/>
  <c r="Z119" i="36" s="1"/>
  <c r="P119" i="36"/>
  <c r="X119" i="36" s="1"/>
  <c r="L119" i="36"/>
  <c r="N119" i="36" s="1"/>
  <c r="H119" i="36"/>
  <c r="D119" i="36"/>
  <c r="B119" i="36"/>
  <c r="Z118" i="36"/>
  <c r="X118" i="36"/>
  <c r="L118" i="36"/>
  <c r="N118" i="36" s="1"/>
  <c r="B118" i="36"/>
  <c r="Z117" i="36"/>
  <c r="X117" i="36"/>
  <c r="L117" i="36"/>
  <c r="N117" i="36" s="1"/>
  <c r="B117" i="36"/>
  <c r="Z116" i="36"/>
  <c r="X116" i="36"/>
  <c r="N116" i="36"/>
  <c r="L116" i="36"/>
  <c r="B116" i="36"/>
  <c r="Z115" i="36"/>
  <c r="X115" i="36"/>
  <c r="L115" i="36"/>
  <c r="N115" i="36" s="1"/>
  <c r="B115" i="36"/>
  <c r="Z114" i="36"/>
  <c r="X114" i="36"/>
  <c r="L114" i="36"/>
  <c r="N114" i="36" s="1"/>
  <c r="B114" i="36"/>
  <c r="Z113" i="36"/>
  <c r="X113" i="36"/>
  <c r="L113" i="36"/>
  <c r="N113" i="36" s="1"/>
  <c r="B113" i="36"/>
  <c r="Z112" i="36"/>
  <c r="X112" i="36"/>
  <c r="V112" i="36"/>
  <c r="L112" i="36"/>
  <c r="N112" i="36" s="1"/>
  <c r="B112" i="36"/>
  <c r="Z111" i="36"/>
  <c r="X111" i="36"/>
  <c r="L111" i="36"/>
  <c r="N111" i="36" s="1"/>
  <c r="B111" i="36"/>
  <c r="Z110" i="36"/>
  <c r="X110" i="36"/>
  <c r="L110" i="36"/>
  <c r="N110" i="36" s="1"/>
  <c r="J110" i="36"/>
  <c r="B110" i="36"/>
  <c r="Z109" i="36"/>
  <c r="X109" i="36"/>
  <c r="L109" i="36"/>
  <c r="N109" i="36" s="1"/>
  <c r="B109" i="36"/>
  <c r="Z108" i="36"/>
  <c r="T108" i="36"/>
  <c r="P108" i="36"/>
  <c r="X108" i="36" s="1"/>
  <c r="H108" i="36"/>
  <c r="D108" i="36"/>
  <c r="L108" i="36" s="1"/>
  <c r="B108" i="36"/>
  <c r="X107" i="36"/>
  <c r="Z107" i="36" s="1"/>
  <c r="N107" i="36"/>
  <c r="L107" i="36"/>
  <c r="F107" i="36"/>
  <c r="B107" i="36"/>
  <c r="Z106" i="36"/>
  <c r="X106" i="36"/>
  <c r="N106" i="36"/>
  <c r="L106" i="36"/>
  <c r="B106" i="36"/>
  <c r="V105" i="36"/>
  <c r="T105" i="36"/>
  <c r="P105" i="36"/>
  <c r="X105" i="36" s="1"/>
  <c r="L105" i="36"/>
  <c r="N105" i="36" s="1"/>
  <c r="H105" i="36"/>
  <c r="D105" i="36"/>
  <c r="B105" i="36"/>
  <c r="X104" i="36"/>
  <c r="Z104" i="36" s="1"/>
  <c r="N104" i="36"/>
  <c r="L104" i="36"/>
  <c r="B104" i="36"/>
  <c r="X103" i="36"/>
  <c r="Z103" i="36" s="1"/>
  <c r="L103" i="36"/>
  <c r="N103" i="36" s="1"/>
  <c r="B103" i="36"/>
  <c r="Z102" i="36"/>
  <c r="X102" i="36"/>
  <c r="N102" i="36"/>
  <c r="L102" i="36"/>
  <c r="B102" i="36"/>
  <c r="X101" i="36"/>
  <c r="Z101" i="36" s="1"/>
  <c r="N101" i="36"/>
  <c r="L101" i="36"/>
  <c r="F101" i="36"/>
  <c r="B101" i="36"/>
  <c r="Z100" i="36"/>
  <c r="X100" i="36"/>
  <c r="N100" i="36"/>
  <c r="L100" i="36"/>
  <c r="B100" i="36"/>
  <c r="X99" i="36"/>
  <c r="Z99" i="36" s="1"/>
  <c r="T99" i="36"/>
  <c r="P99" i="36"/>
  <c r="J99" i="36"/>
  <c r="H99" i="36"/>
  <c r="F99" i="36"/>
  <c r="D99" i="36"/>
  <c r="B99" i="36"/>
  <c r="Z98" i="36"/>
  <c r="X98" i="36"/>
  <c r="N98" i="36"/>
  <c r="L98" i="36"/>
  <c r="B98" i="36"/>
  <c r="Z97" i="36"/>
  <c r="X97" i="36"/>
  <c r="N97" i="36"/>
  <c r="L97" i="36"/>
  <c r="B97" i="36"/>
  <c r="X96" i="36"/>
  <c r="Z96" i="36" s="1"/>
  <c r="L96" i="36"/>
  <c r="N96" i="36" s="1"/>
  <c r="B96" i="36"/>
  <c r="Z95" i="36"/>
  <c r="X95" i="36"/>
  <c r="T95" i="36"/>
  <c r="P95" i="36"/>
  <c r="N95" i="36"/>
  <c r="H95" i="36"/>
  <c r="D95" i="36"/>
  <c r="L95" i="36" s="1"/>
  <c r="B95" i="36"/>
  <c r="X94" i="36"/>
  <c r="Z94" i="36" s="1"/>
  <c r="N94" i="36"/>
  <c r="L94" i="36"/>
  <c r="B94" i="36"/>
  <c r="X93" i="36"/>
  <c r="Z93" i="36" s="1"/>
  <c r="V93" i="36"/>
  <c r="L93" i="36"/>
  <c r="N93" i="36" s="1"/>
  <c r="B93" i="36"/>
  <c r="Z92" i="36"/>
  <c r="X92" i="36"/>
  <c r="V92" i="36"/>
  <c r="L92" i="36"/>
  <c r="N92" i="36" s="1"/>
  <c r="B92" i="36"/>
  <c r="X91" i="36"/>
  <c r="Z91" i="36" s="1"/>
  <c r="L91" i="36"/>
  <c r="N91" i="36" s="1"/>
  <c r="B91" i="36"/>
  <c r="X90" i="36"/>
  <c r="V90" i="36"/>
  <c r="T90" i="36"/>
  <c r="Z90" i="36" s="1"/>
  <c r="P90" i="36"/>
  <c r="J90" i="36"/>
  <c r="H90" i="36"/>
  <c r="D90" i="36"/>
  <c r="L90" i="36" s="1"/>
  <c r="B90" i="36"/>
  <c r="X89" i="36"/>
  <c r="Z89" i="36" s="1"/>
  <c r="N89" i="36"/>
  <c r="L89" i="36"/>
  <c r="F89" i="36"/>
  <c r="B89" i="36"/>
  <c r="X88" i="36"/>
  <c r="Z88" i="36" s="1"/>
  <c r="T88" i="36"/>
  <c r="P88" i="36"/>
  <c r="H88" i="36"/>
  <c r="D88" i="36"/>
  <c r="L88" i="36" s="1"/>
  <c r="N88" i="36" s="1"/>
  <c r="B88" i="36"/>
  <c r="Z87" i="36"/>
  <c r="X87" i="36"/>
  <c r="L87" i="36"/>
  <c r="N87" i="36" s="1"/>
  <c r="B87" i="36"/>
  <c r="Z86" i="36"/>
  <c r="T86" i="36"/>
  <c r="X86" i="36" s="1"/>
  <c r="P86" i="36"/>
  <c r="N86" i="36"/>
  <c r="L86" i="36"/>
  <c r="H86" i="36"/>
  <c r="D86" i="36"/>
  <c r="B86" i="36"/>
  <c r="Z85" i="36"/>
  <c r="X85" i="36"/>
  <c r="V85" i="36"/>
  <c r="N85" i="36"/>
  <c r="L85" i="36"/>
  <c r="B85" i="36"/>
  <c r="T84" i="36"/>
  <c r="Z84" i="36" s="1"/>
  <c r="P84" i="36"/>
  <c r="X84" i="36" s="1"/>
  <c r="L84" i="36"/>
  <c r="J84" i="36"/>
  <c r="H84" i="36"/>
  <c r="N84" i="36" s="1"/>
  <c r="D84" i="36"/>
  <c r="B84" i="36"/>
  <c r="X83" i="36"/>
  <c r="Z83" i="36" s="1"/>
  <c r="N83" i="36"/>
  <c r="L83" i="36"/>
  <c r="B83" i="36"/>
  <c r="T82" i="36"/>
  <c r="P82" i="36"/>
  <c r="X82" i="36" s="1"/>
  <c r="Z82" i="36" s="1"/>
  <c r="N82" i="36"/>
  <c r="L82" i="36"/>
  <c r="H82" i="36"/>
  <c r="D82" i="36"/>
  <c r="B82" i="36"/>
  <c r="Z81" i="36"/>
  <c r="X81" i="36"/>
  <c r="L81" i="36"/>
  <c r="N81" i="36" s="1"/>
  <c r="J81" i="36"/>
  <c r="B81" i="36"/>
  <c r="Z80" i="36"/>
  <c r="X80" i="36"/>
  <c r="T80" i="36"/>
  <c r="P80" i="36"/>
  <c r="H80" i="36"/>
  <c r="L80" i="36" s="1"/>
  <c r="D80" i="36"/>
  <c r="B80" i="36"/>
  <c r="X79" i="36"/>
  <c r="Z79" i="36" s="1"/>
  <c r="L79" i="36"/>
  <c r="N79" i="36" s="1"/>
  <c r="F79" i="36"/>
  <c r="B79" i="36"/>
  <c r="X78" i="36"/>
  <c r="Z78" i="36" s="1"/>
  <c r="V78" i="36"/>
  <c r="N78" i="36"/>
  <c r="L78" i="36"/>
  <c r="B78" i="36"/>
  <c r="T77" i="36"/>
  <c r="P77" i="36"/>
  <c r="X77" i="36" s="1"/>
  <c r="Z77" i="36" s="1"/>
  <c r="H77" i="36"/>
  <c r="D77" i="36"/>
  <c r="L77" i="36" s="1"/>
  <c r="N77" i="36" s="1"/>
  <c r="B77" i="36"/>
  <c r="X76" i="36"/>
  <c r="Z76" i="36" s="1"/>
  <c r="N76" i="36"/>
  <c r="L76" i="36"/>
  <c r="B76" i="36"/>
  <c r="T75" i="36"/>
  <c r="P75" i="36"/>
  <c r="L75" i="36"/>
  <c r="N75" i="36" s="1"/>
  <c r="H75" i="36"/>
  <c r="D75" i="36"/>
  <c r="B75" i="36"/>
  <c r="Z74" i="36"/>
  <c r="X74" i="36"/>
  <c r="L74" i="36"/>
  <c r="N74" i="36" s="1"/>
  <c r="B74" i="36"/>
  <c r="T73" i="36"/>
  <c r="P73" i="36"/>
  <c r="X73" i="36" s="1"/>
  <c r="H73" i="36"/>
  <c r="D73" i="36"/>
  <c r="B73" i="36"/>
  <c r="Z72" i="36"/>
  <c r="X72" i="36"/>
  <c r="L72" i="36"/>
  <c r="N72" i="36" s="1"/>
  <c r="B72" i="36"/>
  <c r="T71" i="36"/>
  <c r="P71" i="36"/>
  <c r="X71" i="36" s="1"/>
  <c r="Z71" i="36" s="1"/>
  <c r="J71" i="36"/>
  <c r="H71" i="36"/>
  <c r="D71" i="36"/>
  <c r="L71" i="36" s="1"/>
  <c r="N71" i="36" s="1"/>
  <c r="B71" i="36"/>
  <c r="Z70" i="36"/>
  <c r="X70" i="36"/>
  <c r="N70" i="36"/>
  <c r="L70" i="36"/>
  <c r="J70" i="36"/>
  <c r="B70" i="36"/>
  <c r="X69" i="36"/>
  <c r="Z69" i="36" s="1"/>
  <c r="N69" i="36"/>
  <c r="L69" i="36"/>
  <c r="F69" i="36"/>
  <c r="B69" i="36"/>
  <c r="X68" i="36"/>
  <c r="Z68" i="36" s="1"/>
  <c r="T68" i="36"/>
  <c r="P68" i="36"/>
  <c r="H68" i="36"/>
  <c r="D68" i="36"/>
  <c r="L68" i="36" s="1"/>
  <c r="N68" i="36" s="1"/>
  <c r="B68" i="36"/>
  <c r="Z67" i="36"/>
  <c r="X67" i="36"/>
  <c r="L67" i="36"/>
  <c r="N67" i="36" s="1"/>
  <c r="B67" i="36"/>
  <c r="Z66" i="36"/>
  <c r="X66" i="36"/>
  <c r="V66" i="36"/>
  <c r="L66" i="36"/>
  <c r="N66" i="36" s="1"/>
  <c r="J66" i="36"/>
  <c r="B66" i="36"/>
  <c r="Z65" i="36"/>
  <c r="X65" i="36"/>
  <c r="L65" i="36"/>
  <c r="N65" i="36" s="1"/>
  <c r="B65" i="36"/>
  <c r="Z64" i="36"/>
  <c r="X64" i="36"/>
  <c r="L64" i="36"/>
  <c r="N64" i="36" s="1"/>
  <c r="J64" i="36"/>
  <c r="B64" i="36"/>
  <c r="Z63" i="36"/>
  <c r="T63" i="36"/>
  <c r="P63" i="36"/>
  <c r="X63" i="36" s="1"/>
  <c r="H63" i="36"/>
  <c r="D63" i="36"/>
  <c r="B63" i="36"/>
  <c r="X62" i="36"/>
  <c r="Z62" i="36" s="1"/>
  <c r="N62" i="36"/>
  <c r="L62" i="36"/>
  <c r="B62" i="36"/>
  <c r="V61" i="36"/>
  <c r="T61" i="36"/>
  <c r="P61" i="36"/>
  <c r="X61" i="36" s="1"/>
  <c r="Z61" i="36" s="1"/>
  <c r="H61" i="36"/>
  <c r="D61" i="36"/>
  <c r="L61" i="36" s="1"/>
  <c r="N61" i="36" s="1"/>
  <c r="B61" i="36"/>
  <c r="X60" i="36"/>
  <c r="Z60" i="36" s="1"/>
  <c r="N60" i="36"/>
  <c r="L60" i="36"/>
  <c r="B60" i="36"/>
  <c r="X59" i="36"/>
  <c r="Z59" i="36" s="1"/>
  <c r="N59" i="36"/>
  <c r="L59" i="36"/>
  <c r="B59" i="36"/>
  <c r="T58" i="36"/>
  <c r="P58" i="36"/>
  <c r="X58" i="36" s="1"/>
  <c r="Z58" i="36" s="1"/>
  <c r="N58" i="36"/>
  <c r="L58" i="36"/>
  <c r="H58" i="36"/>
  <c r="F58" i="36"/>
  <c r="D58" i="36"/>
  <c r="B58" i="36"/>
  <c r="Z57" i="36"/>
  <c r="X57" i="36"/>
  <c r="L57" i="36"/>
  <c r="N57" i="36" s="1"/>
  <c r="B57" i="36"/>
  <c r="Z56" i="36"/>
  <c r="X56" i="36"/>
  <c r="T56" i="36"/>
  <c r="P56" i="36"/>
  <c r="H56" i="36"/>
  <c r="L56" i="36" s="1"/>
  <c r="D56" i="36"/>
  <c r="B56" i="36"/>
  <c r="Z55" i="36"/>
  <c r="X55" i="36"/>
  <c r="N55" i="36"/>
  <c r="L55" i="36"/>
  <c r="B55" i="36"/>
  <c r="Z54" i="36"/>
  <c r="X54" i="36"/>
  <c r="N54" i="36"/>
  <c r="L54" i="36"/>
  <c r="B54" i="36"/>
  <c r="X53" i="36"/>
  <c r="Z53" i="36" s="1"/>
  <c r="L53" i="36"/>
  <c r="N53" i="36" s="1"/>
  <c r="B53" i="36"/>
  <c r="X52" i="36"/>
  <c r="Z52" i="36" s="1"/>
  <c r="V52" i="36"/>
  <c r="L52" i="36"/>
  <c r="N52" i="36" s="1"/>
  <c r="B52" i="36"/>
  <c r="Z51" i="36"/>
  <c r="X51" i="36"/>
  <c r="N51" i="36"/>
  <c r="L51" i="36"/>
  <c r="B51" i="36"/>
  <c r="X50" i="36"/>
  <c r="Z50" i="36" s="1"/>
  <c r="V50" i="36"/>
  <c r="N50" i="36"/>
  <c r="L50" i="36"/>
  <c r="B50" i="36"/>
  <c r="X49" i="36"/>
  <c r="Z49" i="36" s="1"/>
  <c r="V49" i="36"/>
  <c r="L49" i="36"/>
  <c r="N49" i="36" s="1"/>
  <c r="B49" i="36"/>
  <c r="Z48" i="36"/>
  <c r="X48" i="36"/>
  <c r="N48" i="36"/>
  <c r="L48" i="36"/>
  <c r="B48" i="36"/>
  <c r="X47" i="36"/>
  <c r="Z47" i="36" s="1"/>
  <c r="L47" i="36"/>
  <c r="N47" i="36" s="1"/>
  <c r="B47" i="36"/>
  <c r="X46" i="36"/>
  <c r="Z46" i="36" s="1"/>
  <c r="N46" i="36"/>
  <c r="L46" i="36"/>
  <c r="B46" i="36"/>
  <c r="V45" i="36"/>
  <c r="T45" i="36"/>
  <c r="P45" i="36"/>
  <c r="X45" i="36" s="1"/>
  <c r="Z45" i="36" s="1"/>
  <c r="H45" i="36"/>
  <c r="D45" i="36"/>
  <c r="L45" i="36" s="1"/>
  <c r="N45" i="36" s="1"/>
  <c r="B45" i="36"/>
  <c r="Z44" i="36"/>
  <c r="X44" i="36"/>
  <c r="N44" i="36"/>
  <c r="L44" i="36"/>
  <c r="B44" i="36"/>
  <c r="X43" i="36"/>
  <c r="Z43" i="36" s="1"/>
  <c r="N43" i="36"/>
  <c r="L43" i="36"/>
  <c r="F43" i="36"/>
  <c r="B43" i="36"/>
  <c r="Z42" i="36"/>
  <c r="X42" i="36"/>
  <c r="N42" i="36"/>
  <c r="L42" i="36"/>
  <c r="B42" i="36"/>
  <c r="Z41" i="36"/>
  <c r="X41" i="36"/>
  <c r="N41" i="36"/>
  <c r="L41" i="36"/>
  <c r="B41" i="36"/>
  <c r="Z40" i="36"/>
  <c r="X40" i="36"/>
  <c r="N40" i="36"/>
  <c r="L40" i="36"/>
  <c r="B40" i="36"/>
  <c r="X39" i="36"/>
  <c r="Z39" i="36" s="1"/>
  <c r="N39" i="36"/>
  <c r="L39" i="36"/>
  <c r="F39" i="36"/>
  <c r="B39" i="36"/>
  <c r="Z38" i="36"/>
  <c r="X38" i="36"/>
  <c r="N38" i="36"/>
  <c r="L38" i="36"/>
  <c r="B38" i="36"/>
  <c r="X37" i="36"/>
  <c r="Z37" i="36" s="1"/>
  <c r="L37" i="36"/>
  <c r="N37" i="36" s="1"/>
  <c r="F37" i="36"/>
  <c r="B37" i="36"/>
  <c r="X36" i="36"/>
  <c r="Z36" i="36" s="1"/>
  <c r="N36" i="36"/>
  <c r="L36" i="36"/>
  <c r="B36" i="36"/>
  <c r="X35" i="36"/>
  <c r="Z35" i="36" s="1"/>
  <c r="N35" i="36"/>
  <c r="L35" i="36"/>
  <c r="F35" i="36"/>
  <c r="B35" i="36"/>
  <c r="T34" i="36"/>
  <c r="P34" i="36"/>
  <c r="X34" i="36" s="1"/>
  <c r="Z34" i="36" s="1"/>
  <c r="N34" i="36"/>
  <c r="L34" i="36"/>
  <c r="H34" i="36"/>
  <c r="D34" i="36"/>
  <c r="B34" i="36"/>
  <c r="T33" i="36"/>
  <c r="P33" i="36"/>
  <c r="H33" i="36"/>
  <c r="D33" i="36"/>
  <c r="H31" i="36"/>
  <c r="Z29" i="36"/>
  <c r="X29" i="36"/>
  <c r="N29" i="36"/>
  <c r="L29" i="36"/>
  <c r="J29" i="36"/>
  <c r="B29" i="36"/>
  <c r="Z28" i="36"/>
  <c r="X28" i="36"/>
  <c r="N28" i="36"/>
  <c r="L28" i="36"/>
  <c r="J28" i="36"/>
  <c r="B28" i="36"/>
  <c r="Z27" i="36"/>
  <c r="X27" i="36"/>
  <c r="L27" i="36"/>
  <c r="N27" i="36" s="1"/>
  <c r="B27" i="36"/>
  <c r="T26" i="36"/>
  <c r="P26" i="36"/>
  <c r="N26" i="36"/>
  <c r="L26" i="36"/>
  <c r="H26" i="36"/>
  <c r="D26" i="36"/>
  <c r="Z24" i="36"/>
  <c r="P24" i="36"/>
  <c r="X24" i="36" s="1"/>
  <c r="N24" i="36"/>
  <c r="D24" i="36"/>
  <c r="L24" i="36" s="1"/>
  <c r="B24" i="36"/>
  <c r="Z23" i="36"/>
  <c r="X23" i="36"/>
  <c r="P23" i="36"/>
  <c r="N23" i="36"/>
  <c r="D23" i="36"/>
  <c r="L23" i="36" s="1"/>
  <c r="B23" i="36"/>
  <c r="Z22" i="36"/>
  <c r="X22" i="36"/>
  <c r="P22" i="36"/>
  <c r="N22" i="36"/>
  <c r="L22" i="36"/>
  <c r="D22" i="36"/>
  <c r="B22" i="36"/>
  <c r="Z21" i="36"/>
  <c r="P21" i="36"/>
  <c r="X21" i="36" s="1"/>
  <c r="N21" i="36"/>
  <c r="D21" i="36"/>
  <c r="L21" i="36" s="1"/>
  <c r="B21" i="36"/>
  <c r="Z20" i="36"/>
  <c r="P20" i="36"/>
  <c r="X20" i="36" s="1"/>
  <c r="N20" i="36"/>
  <c r="L20" i="36"/>
  <c r="D20" i="36"/>
  <c r="B20" i="36"/>
  <c r="X19" i="36"/>
  <c r="Z19" i="36" s="1"/>
  <c r="P19" i="36"/>
  <c r="N19" i="36"/>
  <c r="L19" i="36"/>
  <c r="D19" i="36"/>
  <c r="B19" i="36"/>
  <c r="Z18" i="36"/>
  <c r="P18" i="36"/>
  <c r="X18" i="36" s="1"/>
  <c r="N18" i="36"/>
  <c r="D18" i="36"/>
  <c r="L18" i="36" s="1"/>
  <c r="B18" i="36"/>
  <c r="Z17" i="36"/>
  <c r="P17" i="36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P15" i="36"/>
  <c r="X15" i="36" s="1"/>
  <c r="N15" i="36"/>
  <c r="D15" i="36"/>
  <c r="L15" i="36" s="1"/>
  <c r="B15" i="36"/>
  <c r="Z14" i="36"/>
  <c r="P14" i="36"/>
  <c r="X14" i="36" s="1"/>
  <c r="N14" i="36"/>
  <c r="L14" i="36"/>
  <c r="D14" i="36"/>
  <c r="D12" i="36" s="1"/>
  <c r="F68" i="36" s="1"/>
  <c r="B14" i="36"/>
  <c r="X13" i="36"/>
  <c r="Z13" i="36" s="1"/>
  <c r="P13" i="36"/>
  <c r="D13" i="36"/>
  <c r="L13" i="36" s="1"/>
  <c r="N13" i="36" s="1"/>
  <c r="B13" i="36"/>
  <c r="T12" i="36"/>
  <c r="V72" i="36" s="1"/>
  <c r="H12" i="36"/>
  <c r="J108" i="36" s="1"/>
  <c r="D4" i="36"/>
  <c r="X108" i="33"/>
  <c r="Z108" i="33" s="1"/>
  <c r="N108" i="33"/>
  <c r="L108" i="33"/>
  <c r="Z104" i="33"/>
  <c r="X104" i="33"/>
  <c r="P104" i="33"/>
  <c r="N104" i="33"/>
  <c r="L104" i="33"/>
  <c r="J104" i="33"/>
  <c r="D104" i="33"/>
  <c r="B104" i="33"/>
  <c r="Z103" i="33"/>
  <c r="X103" i="33"/>
  <c r="P103" i="33"/>
  <c r="J103" i="33"/>
  <c r="D103" i="33"/>
  <c r="L103" i="33" s="1"/>
  <c r="N103" i="33" s="1"/>
  <c r="B103" i="33"/>
  <c r="X102" i="33"/>
  <c r="Z102" i="33" s="1"/>
  <c r="P102" i="33"/>
  <c r="J102" i="33"/>
  <c r="D102" i="33"/>
  <c r="L102" i="33" s="1"/>
  <c r="N102" i="33" s="1"/>
  <c r="B102" i="33"/>
  <c r="X101" i="33"/>
  <c r="Z101" i="33" s="1"/>
  <c r="P101" i="33"/>
  <c r="N101" i="33"/>
  <c r="D101" i="33"/>
  <c r="L101" i="33" s="1"/>
  <c r="B101" i="33"/>
  <c r="Z100" i="33"/>
  <c r="P100" i="33"/>
  <c r="X100" i="33" s="1"/>
  <c r="N100" i="33"/>
  <c r="D100" i="33"/>
  <c r="B100" i="33"/>
  <c r="Z99" i="33"/>
  <c r="P99" i="33"/>
  <c r="P97" i="33" s="1"/>
  <c r="X97" i="33" s="1"/>
  <c r="N99" i="33"/>
  <c r="L99" i="33"/>
  <c r="D99" i="33"/>
  <c r="B99" i="33"/>
  <c r="Z98" i="33"/>
  <c r="X98" i="33"/>
  <c r="P98" i="33"/>
  <c r="N98" i="33"/>
  <c r="L98" i="33"/>
  <c r="D98" i="33"/>
  <c r="B98" i="33"/>
  <c r="Z97" i="33"/>
  <c r="V97" i="33"/>
  <c r="T97" i="33"/>
  <c r="H97" i="33"/>
  <c r="Z95" i="33"/>
  <c r="X95" i="33"/>
  <c r="N95" i="33"/>
  <c r="L95" i="33"/>
  <c r="J95" i="33"/>
  <c r="B95" i="33"/>
  <c r="T94" i="33"/>
  <c r="Z94" i="33" s="1"/>
  <c r="P94" i="33"/>
  <c r="N94" i="33"/>
  <c r="H94" i="33"/>
  <c r="D94" i="33"/>
  <c r="B94" i="33"/>
  <c r="Z93" i="33"/>
  <c r="X93" i="33"/>
  <c r="N93" i="33"/>
  <c r="L93" i="33"/>
  <c r="B93" i="33"/>
  <c r="X92" i="33"/>
  <c r="Z92" i="33" s="1"/>
  <c r="L92" i="33"/>
  <c r="N92" i="33" s="1"/>
  <c r="J92" i="33"/>
  <c r="B92" i="33"/>
  <c r="X91" i="33"/>
  <c r="T91" i="33"/>
  <c r="Z91" i="33" s="1"/>
  <c r="P91" i="33"/>
  <c r="J91" i="33"/>
  <c r="H91" i="33"/>
  <c r="D91" i="33"/>
  <c r="L91" i="33" s="1"/>
  <c r="B91" i="33"/>
  <c r="X90" i="33"/>
  <c r="Z90" i="33" s="1"/>
  <c r="N90" i="33"/>
  <c r="L90" i="33"/>
  <c r="B90" i="33"/>
  <c r="Z89" i="33"/>
  <c r="X89" i="33"/>
  <c r="N89" i="33"/>
  <c r="L89" i="33"/>
  <c r="B89" i="33"/>
  <c r="X88" i="33"/>
  <c r="Z88" i="33" s="1"/>
  <c r="N88" i="33"/>
  <c r="L88" i="33"/>
  <c r="B88" i="33"/>
  <c r="Z87" i="33"/>
  <c r="X87" i="33"/>
  <c r="N87" i="33"/>
  <c r="L87" i="33"/>
  <c r="J87" i="33"/>
  <c r="B87" i="33"/>
  <c r="Z86" i="33"/>
  <c r="X86" i="33"/>
  <c r="N86" i="33"/>
  <c r="L86" i="33"/>
  <c r="B86" i="33"/>
  <c r="X85" i="33"/>
  <c r="Z85" i="33" s="1"/>
  <c r="T85" i="33"/>
  <c r="P85" i="33"/>
  <c r="H85" i="33"/>
  <c r="D85" i="33"/>
  <c r="L85" i="33" s="1"/>
  <c r="N85" i="33" s="1"/>
  <c r="B85" i="33"/>
  <c r="Z84" i="33"/>
  <c r="X84" i="33"/>
  <c r="N84" i="33"/>
  <c r="L84" i="33"/>
  <c r="B84" i="33"/>
  <c r="Z83" i="33"/>
  <c r="X83" i="33"/>
  <c r="V83" i="33"/>
  <c r="L83" i="33"/>
  <c r="N83" i="33" s="1"/>
  <c r="J83" i="33"/>
  <c r="B83" i="33"/>
  <c r="T82" i="33"/>
  <c r="P82" i="33"/>
  <c r="H82" i="33"/>
  <c r="D82" i="33"/>
  <c r="B82" i="33"/>
  <c r="Z81" i="33"/>
  <c r="X81" i="33"/>
  <c r="N81" i="33"/>
  <c r="L81" i="33"/>
  <c r="B81" i="33"/>
  <c r="X80" i="33"/>
  <c r="Z80" i="33" s="1"/>
  <c r="L80" i="33"/>
  <c r="N80" i="33" s="1"/>
  <c r="J80" i="33"/>
  <c r="B80" i="33"/>
  <c r="X79" i="33"/>
  <c r="T79" i="33"/>
  <c r="Z79" i="33" s="1"/>
  <c r="P79" i="33"/>
  <c r="J79" i="33"/>
  <c r="H79" i="33"/>
  <c r="N79" i="33" s="1"/>
  <c r="D79" i="33"/>
  <c r="L79" i="33" s="1"/>
  <c r="B79" i="33"/>
  <c r="X78" i="33"/>
  <c r="Z78" i="33" s="1"/>
  <c r="N78" i="33"/>
  <c r="L78" i="33"/>
  <c r="B78" i="33"/>
  <c r="Z77" i="33"/>
  <c r="X77" i="33"/>
  <c r="T77" i="33"/>
  <c r="P77" i="33"/>
  <c r="H77" i="33"/>
  <c r="D77" i="33"/>
  <c r="L77" i="33" s="1"/>
  <c r="N77" i="33" s="1"/>
  <c r="B77" i="33"/>
  <c r="Z76" i="33"/>
  <c r="X76" i="33"/>
  <c r="L76" i="33"/>
  <c r="N76" i="33" s="1"/>
  <c r="B76" i="33"/>
  <c r="Z75" i="33"/>
  <c r="T75" i="33"/>
  <c r="X75" i="33" s="1"/>
  <c r="P75" i="33"/>
  <c r="N75" i="33"/>
  <c r="L75" i="33"/>
  <c r="H75" i="33"/>
  <c r="D75" i="33"/>
  <c r="B75" i="33"/>
  <c r="Z74" i="33"/>
  <c r="X74" i="33"/>
  <c r="N74" i="33"/>
  <c r="L74" i="33"/>
  <c r="B74" i="33"/>
  <c r="X73" i="33"/>
  <c r="Z73" i="33" s="1"/>
  <c r="L73" i="33"/>
  <c r="N73" i="33" s="1"/>
  <c r="B73" i="33"/>
  <c r="T72" i="33"/>
  <c r="P72" i="33"/>
  <c r="X72" i="33" s="1"/>
  <c r="Z72" i="33" s="1"/>
  <c r="L72" i="33"/>
  <c r="N72" i="33" s="1"/>
  <c r="J72" i="33"/>
  <c r="H72" i="33"/>
  <c r="D72" i="33"/>
  <c r="B72" i="33"/>
  <c r="Z71" i="33"/>
  <c r="X71" i="33"/>
  <c r="N71" i="33"/>
  <c r="L71" i="33"/>
  <c r="J71" i="33"/>
  <c r="B71" i="33"/>
  <c r="X70" i="33"/>
  <c r="Z70" i="33" s="1"/>
  <c r="T70" i="33"/>
  <c r="P70" i="33"/>
  <c r="L70" i="33"/>
  <c r="H70" i="33"/>
  <c r="D70" i="33"/>
  <c r="B70" i="33"/>
  <c r="Z69" i="33"/>
  <c r="X69" i="33"/>
  <c r="L69" i="33"/>
  <c r="N69" i="33" s="1"/>
  <c r="J69" i="33"/>
  <c r="B69" i="33"/>
  <c r="T68" i="33"/>
  <c r="P68" i="33"/>
  <c r="H68" i="33"/>
  <c r="D68" i="33"/>
  <c r="L68" i="33" s="1"/>
  <c r="B68" i="33"/>
  <c r="X67" i="33"/>
  <c r="Z67" i="33" s="1"/>
  <c r="N67" i="33"/>
  <c r="L67" i="33"/>
  <c r="B67" i="33"/>
  <c r="X66" i="33"/>
  <c r="Z66" i="33" s="1"/>
  <c r="T66" i="33"/>
  <c r="P66" i="33"/>
  <c r="H66" i="33"/>
  <c r="D66" i="33"/>
  <c r="L66" i="33" s="1"/>
  <c r="N66" i="33" s="1"/>
  <c r="B66" i="33"/>
  <c r="Z65" i="33"/>
  <c r="X65" i="33"/>
  <c r="N65" i="33"/>
  <c r="L65" i="33"/>
  <c r="B65" i="33"/>
  <c r="X64" i="33"/>
  <c r="T64" i="33"/>
  <c r="Z64" i="33" s="1"/>
  <c r="P64" i="33"/>
  <c r="N64" i="33"/>
  <c r="L64" i="33"/>
  <c r="H64" i="33"/>
  <c r="D64" i="33"/>
  <c r="B64" i="33"/>
  <c r="Z63" i="33"/>
  <c r="X63" i="33"/>
  <c r="L63" i="33"/>
  <c r="N63" i="33" s="1"/>
  <c r="J63" i="33"/>
  <c r="B63" i="33"/>
  <c r="T62" i="33"/>
  <c r="P62" i="33"/>
  <c r="X62" i="33" s="1"/>
  <c r="H62" i="33"/>
  <c r="J62" i="33" s="1"/>
  <c r="D62" i="33"/>
  <c r="L62" i="33" s="1"/>
  <c r="B62" i="33"/>
  <c r="Z61" i="33"/>
  <c r="X61" i="33"/>
  <c r="V61" i="33"/>
  <c r="N61" i="33"/>
  <c r="L61" i="33"/>
  <c r="B61" i="33"/>
  <c r="Z60" i="33"/>
  <c r="X60" i="33"/>
  <c r="N60" i="33"/>
  <c r="L60" i="33"/>
  <c r="J60" i="33"/>
  <c r="B60" i="33"/>
  <c r="X59" i="33"/>
  <c r="Z59" i="33" s="1"/>
  <c r="V59" i="33"/>
  <c r="N59" i="33"/>
  <c r="L59" i="33"/>
  <c r="B59" i="33"/>
  <c r="X58" i="33"/>
  <c r="Z58" i="33" s="1"/>
  <c r="N58" i="33"/>
  <c r="L58" i="33"/>
  <c r="B58" i="33"/>
  <c r="Z57" i="33"/>
  <c r="X57" i="33"/>
  <c r="N57" i="33"/>
  <c r="L57" i="33"/>
  <c r="B57" i="33"/>
  <c r="Z56" i="33"/>
  <c r="X56" i="33"/>
  <c r="N56" i="33"/>
  <c r="L56" i="33"/>
  <c r="J56" i="33"/>
  <c r="B56" i="33"/>
  <c r="X55" i="33"/>
  <c r="Z55" i="33" s="1"/>
  <c r="N55" i="33"/>
  <c r="L55" i="33"/>
  <c r="B55" i="33"/>
  <c r="Z54" i="33"/>
  <c r="X54" i="33"/>
  <c r="N54" i="33"/>
  <c r="L54" i="33"/>
  <c r="B54" i="33"/>
  <c r="X53" i="33"/>
  <c r="Z53" i="33" s="1"/>
  <c r="L53" i="33"/>
  <c r="N53" i="33" s="1"/>
  <c r="B53" i="33"/>
  <c r="X52" i="33"/>
  <c r="Z52" i="33" s="1"/>
  <c r="L52" i="33"/>
  <c r="N52" i="33" s="1"/>
  <c r="J52" i="33"/>
  <c r="B52" i="33"/>
  <c r="X51" i="33"/>
  <c r="T51" i="33"/>
  <c r="Z51" i="33" s="1"/>
  <c r="P51" i="33"/>
  <c r="J51" i="33"/>
  <c r="H51" i="33"/>
  <c r="D51" i="33"/>
  <c r="L51" i="33" s="1"/>
  <c r="B51" i="33"/>
  <c r="X50" i="33"/>
  <c r="Z50" i="33" s="1"/>
  <c r="N50" i="33"/>
  <c r="L50" i="33"/>
  <c r="B50" i="33"/>
  <c r="X49" i="33"/>
  <c r="Z49" i="33" s="1"/>
  <c r="N49" i="33"/>
  <c r="L49" i="33"/>
  <c r="J49" i="33"/>
  <c r="B49" i="33"/>
  <c r="X48" i="33"/>
  <c r="Z48" i="33" s="1"/>
  <c r="N48" i="33"/>
  <c r="L48" i="33"/>
  <c r="J48" i="33"/>
  <c r="B48" i="33"/>
  <c r="Z47" i="33"/>
  <c r="X47" i="33"/>
  <c r="N47" i="33"/>
  <c r="L47" i="33"/>
  <c r="J47" i="33"/>
  <c r="B47" i="33"/>
  <c r="X46" i="33"/>
  <c r="Z46" i="33" s="1"/>
  <c r="N46" i="33"/>
  <c r="L46" i="33"/>
  <c r="B46" i="33"/>
  <c r="X45" i="33"/>
  <c r="Z45" i="33" s="1"/>
  <c r="N45" i="33"/>
  <c r="L45" i="33"/>
  <c r="J45" i="33"/>
  <c r="B45" i="33"/>
  <c r="X44" i="33"/>
  <c r="Z44" i="33" s="1"/>
  <c r="N44" i="33"/>
  <c r="L44" i="33"/>
  <c r="J44" i="33"/>
  <c r="B44" i="33"/>
  <c r="Z43" i="33"/>
  <c r="X43" i="33"/>
  <c r="N43" i="33"/>
  <c r="L43" i="33"/>
  <c r="J43" i="33"/>
  <c r="B43" i="33"/>
  <c r="X42" i="33"/>
  <c r="Z42" i="33" s="1"/>
  <c r="N42" i="33"/>
  <c r="L42" i="33"/>
  <c r="B42" i="33"/>
  <c r="X41" i="33"/>
  <c r="Z41" i="33" s="1"/>
  <c r="T41" i="33"/>
  <c r="P41" i="33"/>
  <c r="H41" i="33"/>
  <c r="D41" i="33"/>
  <c r="L41" i="33" s="1"/>
  <c r="N41" i="33" s="1"/>
  <c r="B41" i="33"/>
  <c r="T40" i="33"/>
  <c r="P40" i="33"/>
  <c r="X40" i="33" s="1"/>
  <c r="Z40" i="33" s="1"/>
  <c r="H40" i="33"/>
  <c r="D40" i="33"/>
  <c r="T38" i="33"/>
  <c r="Z36" i="33"/>
  <c r="X36" i="33"/>
  <c r="N36" i="33"/>
  <c r="L36" i="33"/>
  <c r="B36" i="33"/>
  <c r="Z35" i="33"/>
  <c r="X35" i="33"/>
  <c r="N35" i="33"/>
  <c r="L35" i="33"/>
  <c r="J35" i="33"/>
  <c r="B35" i="33"/>
  <c r="Z34" i="33"/>
  <c r="X34" i="33"/>
  <c r="N34" i="33"/>
  <c r="L34" i="33"/>
  <c r="J34" i="33"/>
  <c r="B34" i="33"/>
  <c r="Z33" i="33"/>
  <c r="X33" i="33"/>
  <c r="N33" i="33"/>
  <c r="L33" i="33"/>
  <c r="J33" i="33"/>
  <c r="B33" i="33"/>
  <c r="Z32" i="33"/>
  <c r="X32" i="33"/>
  <c r="N32" i="33"/>
  <c r="L32" i="33"/>
  <c r="B32" i="33"/>
  <c r="Z31" i="33"/>
  <c r="X31" i="33"/>
  <c r="L31" i="33"/>
  <c r="N31" i="33" s="1"/>
  <c r="J31" i="33"/>
  <c r="B31" i="33"/>
  <c r="T30" i="33"/>
  <c r="P30" i="33"/>
  <c r="X30" i="33" s="1"/>
  <c r="H30" i="33"/>
  <c r="D30" i="33"/>
  <c r="Z28" i="33"/>
  <c r="P28" i="33"/>
  <c r="X28" i="33" s="1"/>
  <c r="N28" i="33"/>
  <c r="D28" i="33"/>
  <c r="L28" i="33" s="1"/>
  <c r="B28" i="33"/>
  <c r="Z27" i="33"/>
  <c r="P27" i="33"/>
  <c r="X27" i="33" s="1"/>
  <c r="N27" i="33"/>
  <c r="L27" i="33"/>
  <c r="D27" i="33"/>
  <c r="B27" i="33"/>
  <c r="Z26" i="33"/>
  <c r="X26" i="33"/>
  <c r="P26" i="33"/>
  <c r="N26" i="33"/>
  <c r="L26" i="33"/>
  <c r="D26" i="33"/>
  <c r="B26" i="33"/>
  <c r="Z25" i="33"/>
  <c r="P25" i="33"/>
  <c r="X25" i="33" s="1"/>
  <c r="N25" i="33"/>
  <c r="D25" i="33"/>
  <c r="L25" i="33" s="1"/>
  <c r="B25" i="33"/>
  <c r="Z24" i="33"/>
  <c r="X24" i="33"/>
  <c r="P24" i="33"/>
  <c r="N24" i="33"/>
  <c r="D24" i="33"/>
  <c r="L24" i="33" s="1"/>
  <c r="B24" i="33"/>
  <c r="Z23" i="33"/>
  <c r="P23" i="33"/>
  <c r="X23" i="33" s="1"/>
  <c r="N23" i="33"/>
  <c r="L23" i="33"/>
  <c r="D23" i="33"/>
  <c r="B23" i="33"/>
  <c r="Z22" i="33"/>
  <c r="P22" i="33"/>
  <c r="X22" i="33" s="1"/>
  <c r="N22" i="33"/>
  <c r="D22" i="33"/>
  <c r="L22" i="33" s="1"/>
  <c r="B22" i="33"/>
  <c r="Z21" i="33"/>
  <c r="P21" i="33"/>
  <c r="X21" i="33" s="1"/>
  <c r="N21" i="33"/>
  <c r="D21" i="33"/>
  <c r="L21" i="33" s="1"/>
  <c r="B21" i="33"/>
  <c r="X20" i="33"/>
  <c r="Z20" i="33" s="1"/>
  <c r="P20" i="33"/>
  <c r="N20" i="33"/>
  <c r="L20" i="33"/>
  <c r="D20" i="33"/>
  <c r="B20" i="33"/>
  <c r="Z19" i="33"/>
  <c r="P19" i="33"/>
  <c r="X19" i="33" s="1"/>
  <c r="N19" i="33"/>
  <c r="D19" i="33"/>
  <c r="L19" i="33" s="1"/>
  <c r="B19" i="33"/>
  <c r="Z18" i="33"/>
  <c r="X18" i="33"/>
  <c r="P18" i="33"/>
  <c r="N18" i="33"/>
  <c r="D18" i="33"/>
  <c r="L18" i="33" s="1"/>
  <c r="B18" i="33"/>
  <c r="Z17" i="33"/>
  <c r="X17" i="33"/>
  <c r="P17" i="33"/>
  <c r="N17" i="33"/>
  <c r="L17" i="33"/>
  <c r="D17" i="33"/>
  <c r="B17" i="33"/>
  <c r="Z16" i="33"/>
  <c r="P16" i="33"/>
  <c r="X16" i="33" s="1"/>
  <c r="N16" i="33"/>
  <c r="D16" i="33"/>
  <c r="B16" i="33"/>
  <c r="Z15" i="33"/>
  <c r="P15" i="33"/>
  <c r="X15" i="33" s="1"/>
  <c r="N15" i="33"/>
  <c r="L15" i="33"/>
  <c r="D15" i="33"/>
  <c r="B15" i="33"/>
  <c r="Z14" i="33"/>
  <c r="X14" i="33"/>
  <c r="P14" i="33"/>
  <c r="N14" i="33"/>
  <c r="L14" i="33"/>
  <c r="D14" i="33"/>
  <c r="B14" i="33"/>
  <c r="P13" i="33"/>
  <c r="D13" i="33"/>
  <c r="L13" i="33" s="1"/>
  <c r="N13" i="33" s="1"/>
  <c r="B13" i="33"/>
  <c r="T12" i="33"/>
  <c r="V81" i="33" s="1"/>
  <c r="H12" i="33"/>
  <c r="J93" i="33" s="1"/>
  <c r="D4" i="33"/>
  <c r="Z156" i="30"/>
  <c r="X156" i="30"/>
  <c r="V156" i="30"/>
  <c r="L156" i="30"/>
  <c r="N156" i="30" s="1"/>
  <c r="P152" i="30"/>
  <c r="N152" i="30"/>
  <c r="L152" i="30"/>
  <c r="D152" i="30"/>
  <c r="B152" i="30"/>
  <c r="X151" i="30"/>
  <c r="Z151" i="30" s="1"/>
  <c r="P151" i="30"/>
  <c r="N151" i="30"/>
  <c r="L151" i="30"/>
  <c r="D151" i="30"/>
  <c r="B151" i="30"/>
  <c r="Z150" i="30"/>
  <c r="X150" i="30"/>
  <c r="P150" i="30"/>
  <c r="L150" i="30"/>
  <c r="N150" i="30" s="1"/>
  <c r="D150" i="30"/>
  <c r="D149" i="30" s="1"/>
  <c r="L149" i="30" s="1"/>
  <c r="B150" i="30"/>
  <c r="T149" i="30"/>
  <c r="H149" i="30"/>
  <c r="X147" i="30"/>
  <c r="Z147" i="30" s="1"/>
  <c r="L147" i="30"/>
  <c r="N147" i="30" s="1"/>
  <c r="B147" i="30"/>
  <c r="Z146" i="30"/>
  <c r="X146" i="30"/>
  <c r="T146" i="30"/>
  <c r="P146" i="30"/>
  <c r="H146" i="30"/>
  <c r="D146" i="30"/>
  <c r="L146" i="30" s="1"/>
  <c r="N146" i="30" s="1"/>
  <c r="B146" i="30"/>
  <c r="Z145" i="30"/>
  <c r="X145" i="30"/>
  <c r="L145" i="30"/>
  <c r="N145" i="30" s="1"/>
  <c r="B145" i="30"/>
  <c r="Z144" i="30"/>
  <c r="X144" i="30"/>
  <c r="V144" i="30"/>
  <c r="N144" i="30"/>
  <c r="L144" i="30"/>
  <c r="J144" i="30"/>
  <c r="B144" i="30"/>
  <c r="T143" i="30"/>
  <c r="P143" i="30"/>
  <c r="X143" i="30" s="1"/>
  <c r="H143" i="30"/>
  <c r="D143" i="30"/>
  <c r="B143" i="30"/>
  <c r="X142" i="30"/>
  <c r="Z142" i="30" s="1"/>
  <c r="V142" i="30"/>
  <c r="L142" i="30"/>
  <c r="N142" i="30" s="1"/>
  <c r="B142" i="30"/>
  <c r="T141" i="30"/>
  <c r="P141" i="30"/>
  <c r="X141" i="30" s="1"/>
  <c r="Z141" i="30" s="1"/>
  <c r="H141" i="30"/>
  <c r="D141" i="30"/>
  <c r="L141" i="30" s="1"/>
  <c r="N141" i="30" s="1"/>
  <c r="B141" i="30"/>
  <c r="Z140" i="30"/>
  <c r="X140" i="30"/>
  <c r="N140" i="30"/>
  <c r="L140" i="30"/>
  <c r="J140" i="30"/>
  <c r="B140" i="30"/>
  <c r="X139" i="30"/>
  <c r="Z139" i="30" s="1"/>
  <c r="N139" i="30"/>
  <c r="L139" i="30"/>
  <c r="B139" i="30"/>
  <c r="X138" i="30"/>
  <c r="Z138" i="30" s="1"/>
  <c r="T138" i="30"/>
  <c r="P138" i="30"/>
  <c r="H138" i="30"/>
  <c r="D138" i="30"/>
  <c r="L138" i="30" s="1"/>
  <c r="N138" i="30" s="1"/>
  <c r="B138" i="30"/>
  <c r="Z137" i="30"/>
  <c r="X137" i="30"/>
  <c r="L137" i="30"/>
  <c r="N137" i="30" s="1"/>
  <c r="B137" i="30"/>
  <c r="Z136" i="30"/>
  <c r="X136" i="30"/>
  <c r="V136" i="30"/>
  <c r="L136" i="30"/>
  <c r="N136" i="30" s="1"/>
  <c r="B136" i="30"/>
  <c r="Z135" i="30"/>
  <c r="X135" i="30"/>
  <c r="N135" i="30"/>
  <c r="L135" i="30"/>
  <c r="J135" i="30"/>
  <c r="B135" i="30"/>
  <c r="Z134" i="30"/>
  <c r="X134" i="30"/>
  <c r="V134" i="30"/>
  <c r="L134" i="30"/>
  <c r="N134" i="30" s="1"/>
  <c r="B134" i="30"/>
  <c r="Z133" i="30"/>
  <c r="X133" i="30"/>
  <c r="L133" i="30"/>
  <c r="N133" i="30" s="1"/>
  <c r="B133" i="30"/>
  <c r="Z132" i="30"/>
  <c r="X132" i="30"/>
  <c r="V132" i="30"/>
  <c r="L132" i="30"/>
  <c r="N132" i="30" s="1"/>
  <c r="B132" i="30"/>
  <c r="T131" i="30"/>
  <c r="P131" i="30"/>
  <c r="X131" i="30" s="1"/>
  <c r="N131" i="30"/>
  <c r="H131" i="30"/>
  <c r="D131" i="30"/>
  <c r="L131" i="30" s="1"/>
  <c r="B131" i="30"/>
  <c r="X130" i="30"/>
  <c r="Z130" i="30" s="1"/>
  <c r="V130" i="30"/>
  <c r="L130" i="30"/>
  <c r="N130" i="30" s="1"/>
  <c r="B130" i="30"/>
  <c r="X129" i="30"/>
  <c r="Z129" i="30" s="1"/>
  <c r="N129" i="30"/>
  <c r="L129" i="30"/>
  <c r="B129" i="30"/>
  <c r="X128" i="30"/>
  <c r="V128" i="30"/>
  <c r="T128" i="30"/>
  <c r="Z128" i="30" s="1"/>
  <c r="P128" i="30"/>
  <c r="H128" i="30"/>
  <c r="D128" i="30"/>
  <c r="L128" i="30" s="1"/>
  <c r="B128" i="30"/>
  <c r="X127" i="30"/>
  <c r="Z127" i="30" s="1"/>
  <c r="N127" i="30"/>
  <c r="L127" i="30"/>
  <c r="B127" i="30"/>
  <c r="Z126" i="30"/>
  <c r="X126" i="30"/>
  <c r="N126" i="30"/>
  <c r="L126" i="30"/>
  <c r="B126" i="30"/>
  <c r="X125" i="30"/>
  <c r="Z125" i="30" s="1"/>
  <c r="V125" i="30"/>
  <c r="N125" i="30"/>
  <c r="L125" i="30"/>
  <c r="B125" i="30"/>
  <c r="T124" i="30"/>
  <c r="P124" i="30"/>
  <c r="X124" i="30" s="1"/>
  <c r="Z124" i="30" s="1"/>
  <c r="L124" i="30"/>
  <c r="N124" i="30" s="1"/>
  <c r="H124" i="30"/>
  <c r="D124" i="30"/>
  <c r="B124" i="30"/>
  <c r="Z123" i="30"/>
  <c r="X123" i="30"/>
  <c r="N123" i="30"/>
  <c r="L123" i="30"/>
  <c r="B123" i="30"/>
  <c r="Z122" i="30"/>
  <c r="X122" i="30"/>
  <c r="V122" i="30"/>
  <c r="L122" i="30"/>
  <c r="N122" i="30" s="1"/>
  <c r="J122" i="30"/>
  <c r="B122" i="30"/>
  <c r="Z121" i="30"/>
  <c r="X121" i="30"/>
  <c r="V121" i="30"/>
  <c r="L121" i="30"/>
  <c r="N121" i="30" s="1"/>
  <c r="B121" i="30"/>
  <c r="X120" i="30"/>
  <c r="T120" i="30"/>
  <c r="P120" i="30"/>
  <c r="N120" i="30"/>
  <c r="L120" i="30"/>
  <c r="H120" i="30"/>
  <c r="D120" i="30"/>
  <c r="B120" i="30"/>
  <c r="X119" i="30"/>
  <c r="Z119" i="30" s="1"/>
  <c r="V119" i="30"/>
  <c r="L119" i="30"/>
  <c r="N119" i="30" s="1"/>
  <c r="B119" i="30"/>
  <c r="X118" i="30"/>
  <c r="Z118" i="30" s="1"/>
  <c r="V118" i="30"/>
  <c r="N118" i="30"/>
  <c r="L118" i="30"/>
  <c r="B118" i="30"/>
  <c r="T117" i="30"/>
  <c r="P117" i="30"/>
  <c r="X117" i="30" s="1"/>
  <c r="Z117" i="30" s="1"/>
  <c r="J117" i="30"/>
  <c r="H117" i="30"/>
  <c r="D117" i="30"/>
  <c r="L117" i="30" s="1"/>
  <c r="N117" i="30" s="1"/>
  <c r="B117" i="30"/>
  <c r="Z116" i="30"/>
  <c r="X116" i="30"/>
  <c r="L116" i="30"/>
  <c r="N116" i="30" s="1"/>
  <c r="B116" i="30"/>
  <c r="X115" i="30"/>
  <c r="T115" i="30"/>
  <c r="Z115" i="30" s="1"/>
  <c r="P115" i="30"/>
  <c r="L115" i="30"/>
  <c r="H115" i="30"/>
  <c r="D115" i="30"/>
  <c r="B115" i="30"/>
  <c r="Z114" i="30"/>
  <c r="X114" i="30"/>
  <c r="V114" i="30"/>
  <c r="N114" i="30"/>
  <c r="L114" i="30"/>
  <c r="B114" i="30"/>
  <c r="T113" i="30"/>
  <c r="V113" i="30" s="1"/>
  <c r="P113" i="30"/>
  <c r="H113" i="30"/>
  <c r="N113" i="30" s="1"/>
  <c r="D113" i="30"/>
  <c r="L113" i="30" s="1"/>
  <c r="B113" i="30"/>
  <c r="X112" i="30"/>
  <c r="Z112" i="30" s="1"/>
  <c r="V112" i="30"/>
  <c r="N112" i="30"/>
  <c r="L112" i="30"/>
  <c r="B112" i="30"/>
  <c r="V111" i="30"/>
  <c r="T111" i="30"/>
  <c r="P111" i="30"/>
  <c r="X111" i="30" s="1"/>
  <c r="Z111" i="30" s="1"/>
  <c r="H111" i="30"/>
  <c r="D111" i="30"/>
  <c r="L111" i="30" s="1"/>
  <c r="N111" i="30" s="1"/>
  <c r="B111" i="30"/>
  <c r="Z110" i="30"/>
  <c r="X110" i="30"/>
  <c r="N110" i="30"/>
  <c r="L110" i="30"/>
  <c r="B110" i="30"/>
  <c r="X109" i="30"/>
  <c r="T109" i="30"/>
  <c r="P109" i="30"/>
  <c r="L109" i="30"/>
  <c r="H109" i="30"/>
  <c r="N109" i="30" s="1"/>
  <c r="D109" i="30"/>
  <c r="B109" i="30"/>
  <c r="Z108" i="30"/>
  <c r="X108" i="30"/>
  <c r="V108" i="30"/>
  <c r="L108" i="30"/>
  <c r="N108" i="30" s="1"/>
  <c r="B108" i="30"/>
  <c r="T107" i="30"/>
  <c r="P107" i="30"/>
  <c r="X107" i="30" s="1"/>
  <c r="H107" i="30"/>
  <c r="D107" i="30"/>
  <c r="L107" i="30" s="1"/>
  <c r="N107" i="30" s="1"/>
  <c r="B107" i="30"/>
  <c r="Z106" i="30"/>
  <c r="X106" i="30"/>
  <c r="V106" i="30"/>
  <c r="N106" i="30"/>
  <c r="L106" i="30"/>
  <c r="B106" i="30"/>
  <c r="X105" i="30"/>
  <c r="Z105" i="30" s="1"/>
  <c r="L105" i="30"/>
  <c r="N105" i="30" s="1"/>
  <c r="B105" i="30"/>
  <c r="X104" i="30"/>
  <c r="V104" i="30"/>
  <c r="T104" i="30"/>
  <c r="Z104" i="30" s="1"/>
  <c r="P104" i="30"/>
  <c r="H104" i="30"/>
  <c r="D104" i="30"/>
  <c r="L104" i="30" s="1"/>
  <c r="B104" i="30"/>
  <c r="X103" i="30"/>
  <c r="Z103" i="30" s="1"/>
  <c r="L103" i="30"/>
  <c r="N103" i="30" s="1"/>
  <c r="B103" i="30"/>
  <c r="X102" i="30"/>
  <c r="Z102" i="30" s="1"/>
  <c r="T102" i="30"/>
  <c r="P102" i="30"/>
  <c r="N102" i="30"/>
  <c r="H102" i="30"/>
  <c r="D102" i="30"/>
  <c r="L102" i="30" s="1"/>
  <c r="B102" i="30"/>
  <c r="Z101" i="30"/>
  <c r="X101" i="30"/>
  <c r="V101" i="30"/>
  <c r="L101" i="30"/>
  <c r="N101" i="30" s="1"/>
  <c r="B101" i="30"/>
  <c r="T100" i="30"/>
  <c r="P100" i="30"/>
  <c r="N100" i="30"/>
  <c r="L100" i="30"/>
  <c r="H100" i="30"/>
  <c r="D100" i="30"/>
  <c r="B100" i="30"/>
  <c r="Z99" i="30"/>
  <c r="X99" i="30"/>
  <c r="V99" i="30"/>
  <c r="N99" i="30"/>
  <c r="L99" i="30"/>
  <c r="B99" i="30"/>
  <c r="X98" i="30"/>
  <c r="Z98" i="30" s="1"/>
  <c r="V98" i="30"/>
  <c r="N98" i="30"/>
  <c r="L98" i="30"/>
  <c r="B98" i="30"/>
  <c r="X97" i="30"/>
  <c r="Z97" i="30" s="1"/>
  <c r="T97" i="30"/>
  <c r="P97" i="30"/>
  <c r="N97" i="30"/>
  <c r="L97" i="30"/>
  <c r="H97" i="30"/>
  <c r="D97" i="30"/>
  <c r="B97" i="30"/>
  <c r="Z96" i="30"/>
  <c r="X96" i="30"/>
  <c r="L96" i="30"/>
  <c r="N96" i="30" s="1"/>
  <c r="J96" i="30"/>
  <c r="B96" i="30"/>
  <c r="X95" i="30"/>
  <c r="T95" i="30"/>
  <c r="P95" i="30"/>
  <c r="H95" i="30"/>
  <c r="D95" i="30"/>
  <c r="B95" i="30"/>
  <c r="Z94" i="30"/>
  <c r="X94" i="30"/>
  <c r="V94" i="30"/>
  <c r="L94" i="30"/>
  <c r="N94" i="30" s="1"/>
  <c r="B94" i="30"/>
  <c r="Z93" i="30"/>
  <c r="X93" i="30"/>
  <c r="V93" i="30"/>
  <c r="N93" i="30"/>
  <c r="L93" i="30"/>
  <c r="B93" i="30"/>
  <c r="Z92" i="30"/>
  <c r="X92" i="30"/>
  <c r="T92" i="30"/>
  <c r="V92" i="30" s="1"/>
  <c r="P92" i="30"/>
  <c r="N92" i="30"/>
  <c r="L92" i="30"/>
  <c r="H92" i="30"/>
  <c r="D92" i="30"/>
  <c r="B92" i="30"/>
  <c r="X91" i="30"/>
  <c r="Z91" i="30" s="1"/>
  <c r="V91" i="30"/>
  <c r="L91" i="30"/>
  <c r="N91" i="30" s="1"/>
  <c r="B91" i="30"/>
  <c r="V90" i="30"/>
  <c r="T90" i="30"/>
  <c r="P90" i="30"/>
  <c r="X90" i="30" s="1"/>
  <c r="L90" i="30"/>
  <c r="H90" i="30"/>
  <c r="N90" i="30" s="1"/>
  <c r="D90" i="30"/>
  <c r="B90" i="30"/>
  <c r="Z89" i="30"/>
  <c r="X89" i="30"/>
  <c r="V89" i="30"/>
  <c r="N89" i="30"/>
  <c r="L89" i="30"/>
  <c r="J89" i="30"/>
  <c r="B89" i="30"/>
  <c r="Z88" i="30"/>
  <c r="X88" i="30"/>
  <c r="N88" i="30"/>
  <c r="L88" i="30"/>
  <c r="B88" i="30"/>
  <c r="X87" i="30"/>
  <c r="Z87" i="30" s="1"/>
  <c r="N87" i="30"/>
  <c r="L87" i="30"/>
  <c r="B87" i="30"/>
  <c r="Z86" i="30"/>
  <c r="X86" i="30"/>
  <c r="N86" i="30"/>
  <c r="L86" i="30"/>
  <c r="J86" i="30"/>
  <c r="B86" i="30"/>
  <c r="Z85" i="30"/>
  <c r="X85" i="30"/>
  <c r="V85" i="30"/>
  <c r="N85" i="30"/>
  <c r="L85" i="30"/>
  <c r="B85" i="30"/>
  <c r="Z84" i="30"/>
  <c r="X84" i="30"/>
  <c r="N84" i="30"/>
  <c r="L84" i="30"/>
  <c r="B84" i="30"/>
  <c r="X83" i="30"/>
  <c r="Z83" i="30" s="1"/>
  <c r="L83" i="30"/>
  <c r="N83" i="30" s="1"/>
  <c r="B83" i="30"/>
  <c r="Z82" i="30"/>
  <c r="X82" i="30"/>
  <c r="N82" i="30"/>
  <c r="L82" i="30"/>
  <c r="B82" i="30"/>
  <c r="X81" i="30"/>
  <c r="Z81" i="30" s="1"/>
  <c r="V81" i="30"/>
  <c r="N81" i="30"/>
  <c r="L81" i="30"/>
  <c r="J81" i="30"/>
  <c r="B81" i="30"/>
  <c r="Z80" i="30"/>
  <c r="X80" i="30"/>
  <c r="N80" i="30"/>
  <c r="L80" i="30"/>
  <c r="B80" i="30"/>
  <c r="T79" i="30"/>
  <c r="P79" i="30"/>
  <c r="H79" i="30"/>
  <c r="D79" i="30"/>
  <c r="B79" i="30"/>
  <c r="Z78" i="30"/>
  <c r="X78" i="30"/>
  <c r="V78" i="30"/>
  <c r="N78" i="30"/>
  <c r="L78" i="30"/>
  <c r="J78" i="30"/>
  <c r="B78" i="30"/>
  <c r="Z77" i="30"/>
  <c r="X77" i="30"/>
  <c r="V77" i="30"/>
  <c r="L77" i="30"/>
  <c r="N77" i="30" s="1"/>
  <c r="B77" i="30"/>
  <c r="Z76" i="30"/>
  <c r="X76" i="30"/>
  <c r="V76" i="30"/>
  <c r="L76" i="30"/>
  <c r="N76" i="30" s="1"/>
  <c r="B76" i="30"/>
  <c r="Z75" i="30"/>
  <c r="X75" i="30"/>
  <c r="N75" i="30"/>
  <c r="L75" i="30"/>
  <c r="J75" i="30"/>
  <c r="B75" i="30"/>
  <c r="Z74" i="30"/>
  <c r="X74" i="30"/>
  <c r="V74" i="30"/>
  <c r="N74" i="30"/>
  <c r="L74" i="30"/>
  <c r="B74" i="30"/>
  <c r="Z73" i="30"/>
  <c r="X73" i="30"/>
  <c r="V73" i="30"/>
  <c r="L73" i="30"/>
  <c r="N73" i="30" s="1"/>
  <c r="B73" i="30"/>
  <c r="Z72" i="30"/>
  <c r="X72" i="30"/>
  <c r="V72" i="30"/>
  <c r="L72" i="30"/>
  <c r="N72" i="30" s="1"/>
  <c r="B72" i="30"/>
  <c r="X71" i="30"/>
  <c r="Z71" i="30" s="1"/>
  <c r="L71" i="30"/>
  <c r="N71" i="30" s="1"/>
  <c r="J71" i="30"/>
  <c r="B71" i="30"/>
  <c r="Z70" i="30"/>
  <c r="X70" i="30"/>
  <c r="V70" i="30"/>
  <c r="L70" i="30"/>
  <c r="N70" i="30" s="1"/>
  <c r="B70" i="30"/>
  <c r="T69" i="30"/>
  <c r="Z69" i="30" s="1"/>
  <c r="P69" i="30"/>
  <c r="X69" i="30" s="1"/>
  <c r="H69" i="30"/>
  <c r="D69" i="30"/>
  <c r="B69" i="30"/>
  <c r="T68" i="30"/>
  <c r="P68" i="30"/>
  <c r="X68" i="30" s="1"/>
  <c r="H68" i="30"/>
  <c r="D68" i="30"/>
  <c r="L68" i="30" s="1"/>
  <c r="Z64" i="30"/>
  <c r="X64" i="30"/>
  <c r="V64" i="30"/>
  <c r="N64" i="30"/>
  <c r="L64" i="30"/>
  <c r="B64" i="30"/>
  <c r="Z63" i="30"/>
  <c r="X63" i="30"/>
  <c r="V63" i="30"/>
  <c r="N63" i="30"/>
  <c r="L63" i="30"/>
  <c r="B63" i="30"/>
  <c r="Z62" i="30"/>
  <c r="X62" i="30"/>
  <c r="V62" i="30"/>
  <c r="N62" i="30"/>
  <c r="L62" i="30"/>
  <c r="B62" i="30"/>
  <c r="Z61" i="30"/>
  <c r="X61" i="30"/>
  <c r="N61" i="30"/>
  <c r="L61" i="30"/>
  <c r="B61" i="30"/>
  <c r="Z60" i="30"/>
  <c r="X60" i="30"/>
  <c r="V60" i="30"/>
  <c r="N60" i="30"/>
  <c r="L60" i="30"/>
  <c r="B60" i="30"/>
  <c r="Z59" i="30"/>
  <c r="X59" i="30"/>
  <c r="V59" i="30"/>
  <c r="N59" i="30"/>
  <c r="L59" i="30"/>
  <c r="B59" i="30"/>
  <c r="Z58" i="30"/>
  <c r="X58" i="30"/>
  <c r="V58" i="30"/>
  <c r="N58" i="30"/>
  <c r="L58" i="30"/>
  <c r="B58" i="30"/>
  <c r="Z57" i="30"/>
  <c r="X57" i="30"/>
  <c r="N57" i="30"/>
  <c r="L57" i="30"/>
  <c r="B57" i="30"/>
  <c r="Z56" i="30"/>
  <c r="X56" i="30"/>
  <c r="V56" i="30"/>
  <c r="N56" i="30"/>
  <c r="L56" i="30"/>
  <c r="B56" i="30"/>
  <c r="Z55" i="30"/>
  <c r="X55" i="30"/>
  <c r="V55" i="30"/>
  <c r="N55" i="30"/>
  <c r="L55" i="30"/>
  <c r="B55" i="30"/>
  <c r="Z54" i="30"/>
  <c r="X54" i="30"/>
  <c r="V54" i="30"/>
  <c r="N54" i="30"/>
  <c r="L54" i="30"/>
  <c r="B54" i="30"/>
  <c r="Z53" i="30"/>
  <c r="X53" i="30"/>
  <c r="N53" i="30"/>
  <c r="L53" i="30"/>
  <c r="B53" i="30"/>
  <c r="Z52" i="30"/>
  <c r="X52" i="30"/>
  <c r="V52" i="30"/>
  <c r="N52" i="30"/>
  <c r="L52" i="30"/>
  <c r="B52" i="30"/>
  <c r="Z51" i="30"/>
  <c r="X51" i="30"/>
  <c r="V51" i="30"/>
  <c r="N51" i="30"/>
  <c r="L51" i="30"/>
  <c r="B51" i="30"/>
  <c r="Z50" i="30"/>
  <c r="X50" i="30"/>
  <c r="V50" i="30"/>
  <c r="N50" i="30"/>
  <c r="L50" i="30"/>
  <c r="B50" i="30"/>
  <c r="Z49" i="30"/>
  <c r="X49" i="30"/>
  <c r="N49" i="30"/>
  <c r="L49" i="30"/>
  <c r="B49" i="30"/>
  <c r="Z48" i="30"/>
  <c r="X48" i="30"/>
  <c r="V48" i="30"/>
  <c r="N48" i="30"/>
  <c r="L48" i="30"/>
  <c r="B48" i="30"/>
  <c r="Z47" i="30"/>
  <c r="X47" i="30"/>
  <c r="V47" i="30"/>
  <c r="N47" i="30"/>
  <c r="L47" i="30"/>
  <c r="B47" i="30"/>
  <c r="Z46" i="30"/>
  <c r="X46" i="30"/>
  <c r="V46" i="30"/>
  <c r="N46" i="30"/>
  <c r="L46" i="30"/>
  <c r="B46" i="30"/>
  <c r="Z45" i="30"/>
  <c r="X45" i="30"/>
  <c r="N45" i="30"/>
  <c r="L45" i="30"/>
  <c r="B45" i="30"/>
  <c r="Z44" i="30"/>
  <c r="X44" i="30"/>
  <c r="V44" i="30"/>
  <c r="N44" i="30"/>
  <c r="L44" i="30"/>
  <c r="B44" i="30"/>
  <c r="X43" i="30"/>
  <c r="Z43" i="30" s="1"/>
  <c r="V43" i="30"/>
  <c r="L43" i="30"/>
  <c r="N43" i="30" s="1"/>
  <c r="B43" i="30"/>
  <c r="V42" i="30"/>
  <c r="T42" i="30"/>
  <c r="P42" i="30"/>
  <c r="X42" i="30" s="1"/>
  <c r="H42" i="30"/>
  <c r="D42" i="30"/>
  <c r="Z40" i="30"/>
  <c r="P40" i="30"/>
  <c r="X40" i="30" s="1"/>
  <c r="N40" i="30"/>
  <c r="L40" i="30"/>
  <c r="D40" i="30"/>
  <c r="B40" i="30"/>
  <c r="Z39" i="30"/>
  <c r="P39" i="30"/>
  <c r="X39" i="30" s="1"/>
  <c r="N39" i="30"/>
  <c r="L39" i="30"/>
  <c r="D39" i="30"/>
  <c r="B39" i="30"/>
  <c r="Z38" i="30"/>
  <c r="X38" i="30"/>
  <c r="P38" i="30"/>
  <c r="N38" i="30"/>
  <c r="D38" i="30"/>
  <c r="L38" i="30" s="1"/>
  <c r="B38" i="30"/>
  <c r="Z37" i="30"/>
  <c r="X37" i="30"/>
  <c r="P37" i="30"/>
  <c r="N37" i="30"/>
  <c r="D37" i="30"/>
  <c r="L37" i="30" s="1"/>
  <c r="B37" i="30"/>
  <c r="Z36" i="30"/>
  <c r="X36" i="30"/>
  <c r="P36" i="30"/>
  <c r="N36" i="30"/>
  <c r="L36" i="30"/>
  <c r="D36" i="30"/>
  <c r="B36" i="30"/>
  <c r="Z35" i="30"/>
  <c r="P35" i="30"/>
  <c r="X35" i="30" s="1"/>
  <c r="N35" i="30"/>
  <c r="L35" i="30"/>
  <c r="D35" i="30"/>
  <c r="B35" i="30"/>
  <c r="Z34" i="30"/>
  <c r="X34" i="30"/>
  <c r="P34" i="30"/>
  <c r="N34" i="30"/>
  <c r="L34" i="30"/>
  <c r="D34" i="30"/>
  <c r="B34" i="30"/>
  <c r="Z33" i="30"/>
  <c r="P33" i="30"/>
  <c r="X33" i="30" s="1"/>
  <c r="N33" i="30"/>
  <c r="L33" i="30"/>
  <c r="D33" i="30"/>
  <c r="B33" i="30"/>
  <c r="Z32" i="30"/>
  <c r="X32" i="30"/>
  <c r="P32" i="30"/>
  <c r="N32" i="30"/>
  <c r="D32" i="30"/>
  <c r="L32" i="30" s="1"/>
  <c r="B32" i="30"/>
  <c r="Z31" i="30"/>
  <c r="X31" i="30"/>
  <c r="P31" i="30"/>
  <c r="N31" i="30"/>
  <c r="L31" i="30"/>
  <c r="D31" i="30"/>
  <c r="B31" i="30"/>
  <c r="Z30" i="30"/>
  <c r="X30" i="30"/>
  <c r="P30" i="30"/>
  <c r="N30" i="30"/>
  <c r="L30" i="30"/>
  <c r="D30" i="30"/>
  <c r="B30" i="30"/>
  <c r="Z29" i="30"/>
  <c r="P29" i="30"/>
  <c r="X29" i="30" s="1"/>
  <c r="N29" i="30"/>
  <c r="L29" i="30"/>
  <c r="D29" i="30"/>
  <c r="B29" i="30"/>
  <c r="Z28" i="30"/>
  <c r="P28" i="30"/>
  <c r="X28" i="30" s="1"/>
  <c r="N28" i="30"/>
  <c r="L28" i="30"/>
  <c r="D28" i="30"/>
  <c r="B28" i="30"/>
  <c r="Z27" i="30"/>
  <c r="P27" i="30"/>
  <c r="X27" i="30" s="1"/>
  <c r="N27" i="30"/>
  <c r="L27" i="30"/>
  <c r="D27" i="30"/>
  <c r="B27" i="30"/>
  <c r="Z26" i="30"/>
  <c r="P26" i="30"/>
  <c r="X26" i="30" s="1"/>
  <c r="N26" i="30"/>
  <c r="D26" i="30"/>
  <c r="L26" i="30" s="1"/>
  <c r="B26" i="30"/>
  <c r="Z25" i="30"/>
  <c r="X25" i="30"/>
  <c r="P25" i="30"/>
  <c r="N25" i="30"/>
  <c r="D25" i="30"/>
  <c r="L25" i="30" s="1"/>
  <c r="B25" i="30"/>
  <c r="Z24" i="30"/>
  <c r="X24" i="30"/>
  <c r="P24" i="30"/>
  <c r="N24" i="30"/>
  <c r="L24" i="30"/>
  <c r="D24" i="30"/>
  <c r="B24" i="30"/>
  <c r="Z23" i="30"/>
  <c r="P23" i="30"/>
  <c r="X23" i="30" s="1"/>
  <c r="N23" i="30"/>
  <c r="L23" i="30"/>
  <c r="D23" i="30"/>
  <c r="B23" i="30"/>
  <c r="Z22" i="30"/>
  <c r="X22" i="30"/>
  <c r="P22" i="30"/>
  <c r="N22" i="30"/>
  <c r="L22" i="30"/>
  <c r="D22" i="30"/>
  <c r="B22" i="30"/>
  <c r="Z21" i="30"/>
  <c r="P21" i="30"/>
  <c r="X21" i="30" s="1"/>
  <c r="N21" i="30"/>
  <c r="L21" i="30"/>
  <c r="D21" i="30"/>
  <c r="B21" i="30"/>
  <c r="Z20" i="30"/>
  <c r="X20" i="30"/>
  <c r="P20" i="30"/>
  <c r="N20" i="30"/>
  <c r="D20" i="30"/>
  <c r="L20" i="30" s="1"/>
  <c r="B20" i="30"/>
  <c r="Z19" i="30"/>
  <c r="X19" i="30"/>
  <c r="P19" i="30"/>
  <c r="N19" i="30"/>
  <c r="D19" i="30"/>
  <c r="L19" i="30" s="1"/>
  <c r="B19" i="30"/>
  <c r="Z18" i="30"/>
  <c r="X18" i="30"/>
  <c r="P18" i="30"/>
  <c r="N18" i="30"/>
  <c r="L18" i="30"/>
  <c r="D18" i="30"/>
  <c r="B18" i="30"/>
  <c r="Z17" i="30"/>
  <c r="P17" i="30"/>
  <c r="X17" i="30" s="1"/>
  <c r="N17" i="30"/>
  <c r="L17" i="30"/>
  <c r="D17" i="30"/>
  <c r="B17" i="30"/>
  <c r="Z16" i="30"/>
  <c r="P16" i="30"/>
  <c r="X16" i="30" s="1"/>
  <c r="N16" i="30"/>
  <c r="L16" i="30"/>
  <c r="D16" i="30"/>
  <c r="B16" i="30"/>
  <c r="Z15" i="30"/>
  <c r="P15" i="30"/>
  <c r="N15" i="30"/>
  <c r="L15" i="30"/>
  <c r="D15" i="30"/>
  <c r="B15" i="30"/>
  <c r="Z14" i="30"/>
  <c r="X14" i="30"/>
  <c r="P14" i="30"/>
  <c r="N14" i="30"/>
  <c r="D14" i="30"/>
  <c r="L14" i="30" s="1"/>
  <c r="B14" i="30"/>
  <c r="X13" i="30"/>
  <c r="Z13" i="30" s="1"/>
  <c r="P13" i="30"/>
  <c r="D13" i="30"/>
  <c r="B13" i="30"/>
  <c r="T12" i="30"/>
  <c r="V146" i="30" s="1"/>
  <c r="H12" i="30"/>
  <c r="J152" i="30" s="1"/>
  <c r="D4" i="30"/>
  <c r="Z128" i="27"/>
  <c r="X128" i="27"/>
  <c r="V128" i="27"/>
  <c r="L128" i="27"/>
  <c r="N128" i="27" s="1"/>
  <c r="Z124" i="27"/>
  <c r="P124" i="27"/>
  <c r="X124" i="27" s="1"/>
  <c r="D124" i="27"/>
  <c r="L124" i="27" s="1"/>
  <c r="N124" i="27" s="1"/>
  <c r="B124" i="27"/>
  <c r="Z123" i="27"/>
  <c r="P123" i="27"/>
  <c r="N123" i="27"/>
  <c r="D123" i="27"/>
  <c r="B123" i="27"/>
  <c r="Z122" i="27"/>
  <c r="X122" i="27"/>
  <c r="P122" i="27"/>
  <c r="N122" i="27"/>
  <c r="L122" i="27"/>
  <c r="D122" i="27"/>
  <c r="B122" i="27"/>
  <c r="Z121" i="27"/>
  <c r="X121" i="27"/>
  <c r="P121" i="27"/>
  <c r="N121" i="27"/>
  <c r="D121" i="27"/>
  <c r="L121" i="27" s="1"/>
  <c r="B121" i="27"/>
  <c r="T120" i="27"/>
  <c r="H120" i="27"/>
  <c r="Z118" i="27"/>
  <c r="X118" i="27"/>
  <c r="V118" i="27"/>
  <c r="N118" i="27"/>
  <c r="L118" i="27"/>
  <c r="B118" i="27"/>
  <c r="Z117" i="27"/>
  <c r="X117" i="27"/>
  <c r="V117" i="27"/>
  <c r="N117" i="27"/>
  <c r="L117" i="27"/>
  <c r="B117" i="27"/>
  <c r="V116" i="27"/>
  <c r="T116" i="27"/>
  <c r="P116" i="27"/>
  <c r="X116" i="27" s="1"/>
  <c r="N116" i="27"/>
  <c r="J116" i="27"/>
  <c r="H116" i="27"/>
  <c r="D116" i="27"/>
  <c r="L116" i="27" s="1"/>
  <c r="B116" i="27"/>
  <c r="X115" i="27"/>
  <c r="Z115" i="27" s="1"/>
  <c r="L115" i="27"/>
  <c r="N115" i="27" s="1"/>
  <c r="B115" i="27"/>
  <c r="T114" i="27"/>
  <c r="P114" i="27"/>
  <c r="X114" i="27" s="1"/>
  <c r="L114" i="27"/>
  <c r="N114" i="27" s="1"/>
  <c r="J114" i="27"/>
  <c r="H114" i="27"/>
  <c r="D114" i="27"/>
  <c r="B114" i="27"/>
  <c r="Z113" i="27"/>
  <c r="X113" i="27"/>
  <c r="L113" i="27"/>
  <c r="N113" i="27" s="1"/>
  <c r="J113" i="27"/>
  <c r="B113" i="27"/>
  <c r="Z112" i="27"/>
  <c r="X112" i="27"/>
  <c r="L112" i="27"/>
  <c r="N112" i="27" s="1"/>
  <c r="B112" i="27"/>
  <c r="X111" i="27"/>
  <c r="T111" i="27"/>
  <c r="Z111" i="27" s="1"/>
  <c r="P111" i="27"/>
  <c r="H111" i="27"/>
  <c r="D111" i="27"/>
  <c r="L111" i="27" s="1"/>
  <c r="B111" i="27"/>
  <c r="Z110" i="27"/>
  <c r="X110" i="27"/>
  <c r="V110" i="27"/>
  <c r="L110" i="27"/>
  <c r="N110" i="27" s="1"/>
  <c r="B110" i="27"/>
  <c r="X109" i="27"/>
  <c r="Z109" i="27" s="1"/>
  <c r="V109" i="27"/>
  <c r="L109" i="27"/>
  <c r="N109" i="27" s="1"/>
  <c r="B109" i="27"/>
  <c r="X108" i="27"/>
  <c r="Z108" i="27" s="1"/>
  <c r="V108" i="27"/>
  <c r="L108" i="27"/>
  <c r="N108" i="27" s="1"/>
  <c r="J108" i="27"/>
  <c r="B108" i="27"/>
  <c r="T107" i="27"/>
  <c r="P107" i="27"/>
  <c r="X107" i="27" s="1"/>
  <c r="Z107" i="27" s="1"/>
  <c r="H107" i="27"/>
  <c r="D107" i="27"/>
  <c r="B107" i="27"/>
  <c r="X106" i="27"/>
  <c r="Z106" i="27" s="1"/>
  <c r="N106" i="27"/>
  <c r="L106" i="27"/>
  <c r="B106" i="27"/>
  <c r="X105" i="27"/>
  <c r="T105" i="27"/>
  <c r="Z105" i="27" s="1"/>
  <c r="P105" i="27"/>
  <c r="H105" i="27"/>
  <c r="D105" i="27"/>
  <c r="L105" i="27" s="1"/>
  <c r="B105" i="27"/>
  <c r="Z104" i="27"/>
  <c r="X104" i="27"/>
  <c r="N104" i="27"/>
  <c r="L104" i="27"/>
  <c r="B104" i="27"/>
  <c r="X103" i="27"/>
  <c r="Z103" i="27" s="1"/>
  <c r="N103" i="27"/>
  <c r="L103" i="27"/>
  <c r="B103" i="27"/>
  <c r="Z102" i="27"/>
  <c r="X102" i="27"/>
  <c r="V102" i="27"/>
  <c r="N102" i="27"/>
  <c r="L102" i="27"/>
  <c r="J102" i="27"/>
  <c r="B102" i="27"/>
  <c r="T101" i="27"/>
  <c r="Z101" i="27" s="1"/>
  <c r="P101" i="27"/>
  <c r="X101" i="27" s="1"/>
  <c r="N101" i="27"/>
  <c r="L101" i="27"/>
  <c r="H101" i="27"/>
  <c r="D101" i="27"/>
  <c r="B101" i="27"/>
  <c r="X100" i="27"/>
  <c r="Z100" i="27" s="1"/>
  <c r="V100" i="27"/>
  <c r="L100" i="27"/>
  <c r="N100" i="27" s="1"/>
  <c r="J100" i="27"/>
  <c r="B100" i="27"/>
  <c r="T99" i="27"/>
  <c r="P99" i="27"/>
  <c r="X99" i="27" s="1"/>
  <c r="Z99" i="27" s="1"/>
  <c r="J99" i="27"/>
  <c r="H99" i="27"/>
  <c r="D99" i="27"/>
  <c r="B99" i="27"/>
  <c r="X98" i="27"/>
  <c r="Z98" i="27" s="1"/>
  <c r="N98" i="27"/>
  <c r="L98" i="27"/>
  <c r="B98" i="27"/>
  <c r="X97" i="27"/>
  <c r="T97" i="27"/>
  <c r="Z97" i="27" s="1"/>
  <c r="P97" i="27"/>
  <c r="H97" i="27"/>
  <c r="N97" i="27" s="1"/>
  <c r="D97" i="27"/>
  <c r="L97" i="27" s="1"/>
  <c r="B97" i="27"/>
  <c r="Z96" i="27"/>
  <c r="X96" i="27"/>
  <c r="N96" i="27"/>
  <c r="L96" i="27"/>
  <c r="B96" i="27"/>
  <c r="X95" i="27"/>
  <c r="Z95" i="27" s="1"/>
  <c r="N95" i="27"/>
  <c r="L95" i="27"/>
  <c r="B95" i="27"/>
  <c r="T94" i="27"/>
  <c r="P94" i="27"/>
  <c r="N94" i="27"/>
  <c r="L94" i="27"/>
  <c r="H94" i="27"/>
  <c r="D94" i="27"/>
  <c r="B94" i="27"/>
  <c r="X93" i="27"/>
  <c r="Z93" i="27" s="1"/>
  <c r="V93" i="27"/>
  <c r="L93" i="27"/>
  <c r="N93" i="27" s="1"/>
  <c r="B93" i="27"/>
  <c r="V92" i="27"/>
  <c r="T92" i="27"/>
  <c r="P92" i="27"/>
  <c r="X92" i="27" s="1"/>
  <c r="J92" i="27"/>
  <c r="H92" i="27"/>
  <c r="D92" i="27"/>
  <c r="L92" i="27" s="1"/>
  <c r="N92" i="27" s="1"/>
  <c r="B92" i="27"/>
  <c r="X91" i="27"/>
  <c r="Z91" i="27" s="1"/>
  <c r="V91" i="27"/>
  <c r="N91" i="27"/>
  <c r="L91" i="27"/>
  <c r="B91" i="27"/>
  <c r="T90" i="27"/>
  <c r="Z90" i="27" s="1"/>
  <c r="P90" i="27"/>
  <c r="X90" i="27" s="1"/>
  <c r="L90" i="27"/>
  <c r="N90" i="27" s="1"/>
  <c r="J90" i="27"/>
  <c r="H90" i="27"/>
  <c r="D90" i="27"/>
  <c r="B90" i="27"/>
  <c r="Z89" i="27"/>
  <c r="X89" i="27"/>
  <c r="N89" i="27"/>
  <c r="L89" i="27"/>
  <c r="J89" i="27"/>
  <c r="B89" i="27"/>
  <c r="Z88" i="27"/>
  <c r="X88" i="27"/>
  <c r="N88" i="27"/>
  <c r="L88" i="27"/>
  <c r="B88" i="27"/>
  <c r="T87" i="27"/>
  <c r="P87" i="27"/>
  <c r="H87" i="27"/>
  <c r="D87" i="27"/>
  <c r="L87" i="27" s="1"/>
  <c r="B87" i="27"/>
  <c r="Z86" i="27"/>
  <c r="X86" i="27"/>
  <c r="V86" i="27"/>
  <c r="L86" i="27"/>
  <c r="N86" i="27" s="1"/>
  <c r="B86" i="27"/>
  <c r="V85" i="27"/>
  <c r="T85" i="27"/>
  <c r="P85" i="27"/>
  <c r="X85" i="27" s="1"/>
  <c r="H85" i="27"/>
  <c r="D85" i="27"/>
  <c r="L85" i="27" s="1"/>
  <c r="N85" i="27" s="1"/>
  <c r="B85" i="27"/>
  <c r="Z84" i="27"/>
  <c r="X84" i="27"/>
  <c r="V84" i="27"/>
  <c r="N84" i="27"/>
  <c r="L84" i="27"/>
  <c r="B84" i="27"/>
  <c r="Z83" i="27"/>
  <c r="X83" i="27"/>
  <c r="V83" i="27"/>
  <c r="N83" i="27"/>
  <c r="L83" i="27"/>
  <c r="B83" i="27"/>
  <c r="X82" i="27"/>
  <c r="Z82" i="27" s="1"/>
  <c r="N82" i="27"/>
  <c r="L82" i="27"/>
  <c r="B82" i="27"/>
  <c r="X81" i="27"/>
  <c r="Z81" i="27" s="1"/>
  <c r="V81" i="27"/>
  <c r="N81" i="27"/>
  <c r="L81" i="27"/>
  <c r="B81" i="27"/>
  <c r="Z80" i="27"/>
  <c r="X80" i="27"/>
  <c r="V80" i="27"/>
  <c r="N80" i="27"/>
  <c r="L80" i="27"/>
  <c r="B80" i="27"/>
  <c r="X79" i="27"/>
  <c r="Z79" i="27" s="1"/>
  <c r="V79" i="27"/>
  <c r="L79" i="27"/>
  <c r="N79" i="27" s="1"/>
  <c r="B79" i="27"/>
  <c r="X78" i="27"/>
  <c r="Z78" i="27" s="1"/>
  <c r="N78" i="27"/>
  <c r="L78" i="27"/>
  <c r="B78" i="27"/>
  <c r="Z77" i="27"/>
  <c r="X77" i="27"/>
  <c r="V77" i="27"/>
  <c r="N77" i="27"/>
  <c r="L77" i="27"/>
  <c r="B77" i="27"/>
  <c r="X76" i="27"/>
  <c r="Z76" i="27" s="1"/>
  <c r="V76" i="27"/>
  <c r="N76" i="27"/>
  <c r="L76" i="27"/>
  <c r="B76" i="27"/>
  <c r="Z75" i="27"/>
  <c r="X75" i="27"/>
  <c r="V75" i="27"/>
  <c r="N75" i="27"/>
  <c r="L75" i="27"/>
  <c r="B75" i="27"/>
  <c r="T74" i="27"/>
  <c r="Z74" i="27" s="1"/>
  <c r="P74" i="27"/>
  <c r="X74" i="27" s="1"/>
  <c r="L74" i="27"/>
  <c r="N74" i="27" s="1"/>
  <c r="J74" i="27"/>
  <c r="H74" i="27"/>
  <c r="D74" i="27"/>
  <c r="B74" i="27"/>
  <c r="Z73" i="27"/>
  <c r="X73" i="27"/>
  <c r="L73" i="27"/>
  <c r="N73" i="27" s="1"/>
  <c r="J73" i="27"/>
  <c r="B73" i="27"/>
  <c r="Z72" i="27"/>
  <c r="X72" i="27"/>
  <c r="N72" i="27"/>
  <c r="L72" i="27"/>
  <c r="B72" i="27"/>
  <c r="Z71" i="27"/>
  <c r="X71" i="27"/>
  <c r="N71" i="27"/>
  <c r="L71" i="27"/>
  <c r="B71" i="27"/>
  <c r="Z70" i="27"/>
  <c r="X70" i="27"/>
  <c r="V70" i="27"/>
  <c r="N70" i="27"/>
  <c r="L70" i="27"/>
  <c r="J70" i="27"/>
  <c r="B70" i="27"/>
  <c r="Z69" i="27"/>
  <c r="X69" i="27"/>
  <c r="N69" i="27"/>
  <c r="L69" i="27"/>
  <c r="J69" i="27"/>
  <c r="B69" i="27"/>
  <c r="Z68" i="27"/>
  <c r="X68" i="27"/>
  <c r="N68" i="27"/>
  <c r="L68" i="27"/>
  <c r="B68" i="27"/>
  <c r="X67" i="27"/>
  <c r="Z67" i="27" s="1"/>
  <c r="N67" i="27"/>
  <c r="L67" i="27"/>
  <c r="B67" i="27"/>
  <c r="Z66" i="27"/>
  <c r="X66" i="27"/>
  <c r="V66" i="27"/>
  <c r="N66" i="27"/>
  <c r="L66" i="27"/>
  <c r="J66" i="27"/>
  <c r="B66" i="27"/>
  <c r="Z65" i="27"/>
  <c r="X65" i="27"/>
  <c r="L65" i="27"/>
  <c r="N65" i="27" s="1"/>
  <c r="J65" i="27"/>
  <c r="B65" i="27"/>
  <c r="Z64" i="27"/>
  <c r="X64" i="27"/>
  <c r="N64" i="27"/>
  <c r="L64" i="27"/>
  <c r="B64" i="27"/>
  <c r="T63" i="27"/>
  <c r="P63" i="27"/>
  <c r="H63" i="27"/>
  <c r="D63" i="27"/>
  <c r="L63" i="27" s="1"/>
  <c r="B63" i="27"/>
  <c r="V62" i="27"/>
  <c r="T62" i="27"/>
  <c r="P62" i="27"/>
  <c r="X62" i="27" s="1"/>
  <c r="Z62" i="27" s="1"/>
  <c r="H62" i="27"/>
  <c r="D62" i="27"/>
  <c r="L62" i="27" s="1"/>
  <c r="V60" i="27"/>
  <c r="Z58" i="27"/>
  <c r="X58" i="27"/>
  <c r="V58" i="27"/>
  <c r="N58" i="27"/>
  <c r="L58" i="27"/>
  <c r="B58" i="27"/>
  <c r="Z57" i="27"/>
  <c r="X57" i="27"/>
  <c r="V57" i="27"/>
  <c r="N57" i="27"/>
  <c r="L57" i="27"/>
  <c r="B57" i="27"/>
  <c r="Z56" i="27"/>
  <c r="X56" i="27"/>
  <c r="V56" i="27"/>
  <c r="N56" i="27"/>
  <c r="L56" i="27"/>
  <c r="J56" i="27"/>
  <c r="B56" i="27"/>
  <c r="Z55" i="27"/>
  <c r="X55" i="27"/>
  <c r="V55" i="27"/>
  <c r="N55" i="27"/>
  <c r="L55" i="27"/>
  <c r="B55" i="27"/>
  <c r="Z54" i="27"/>
  <c r="X54" i="27"/>
  <c r="V54" i="27"/>
  <c r="N54" i="27"/>
  <c r="L54" i="27"/>
  <c r="B54" i="27"/>
  <c r="Z53" i="27"/>
  <c r="X53" i="27"/>
  <c r="V53" i="27"/>
  <c r="N53" i="27"/>
  <c r="L53" i="27"/>
  <c r="B53" i="27"/>
  <c r="Z52" i="27"/>
  <c r="X52" i="27"/>
  <c r="V52" i="27"/>
  <c r="N52" i="27"/>
  <c r="L52" i="27"/>
  <c r="J52" i="27"/>
  <c r="B52" i="27"/>
  <c r="Z51" i="27"/>
  <c r="X51" i="27"/>
  <c r="V51" i="27"/>
  <c r="N51" i="27"/>
  <c r="L51" i="27"/>
  <c r="B51" i="27"/>
  <c r="Z50" i="27"/>
  <c r="X50" i="27"/>
  <c r="V50" i="27"/>
  <c r="N50" i="27"/>
  <c r="L50" i="27"/>
  <c r="B50" i="27"/>
  <c r="Z49" i="27"/>
  <c r="X49" i="27"/>
  <c r="V49" i="27"/>
  <c r="N49" i="27"/>
  <c r="L49" i="27"/>
  <c r="B49" i="27"/>
  <c r="Z48" i="27"/>
  <c r="X48" i="27"/>
  <c r="V48" i="27"/>
  <c r="N48" i="27"/>
  <c r="L48" i="27"/>
  <c r="J48" i="27"/>
  <c r="B48" i="27"/>
  <c r="Z47" i="27"/>
  <c r="X47" i="27"/>
  <c r="V47" i="27"/>
  <c r="N47" i="27"/>
  <c r="L47" i="27"/>
  <c r="B47" i="27"/>
  <c r="Z46" i="27"/>
  <c r="X46" i="27"/>
  <c r="V46" i="27"/>
  <c r="N46" i="27"/>
  <c r="L46" i="27"/>
  <c r="B46" i="27"/>
  <c r="Z45" i="27"/>
  <c r="X45" i="27"/>
  <c r="V45" i="27"/>
  <c r="N45" i="27"/>
  <c r="L45" i="27"/>
  <c r="B45" i="27"/>
  <c r="Z44" i="27"/>
  <c r="X44" i="27"/>
  <c r="V44" i="27"/>
  <c r="N44" i="27"/>
  <c r="L44" i="27"/>
  <c r="J44" i="27"/>
  <c r="B44" i="27"/>
  <c r="Z43" i="27"/>
  <c r="X43" i="27"/>
  <c r="V43" i="27"/>
  <c r="L43" i="27"/>
  <c r="N43" i="27" s="1"/>
  <c r="B43" i="27"/>
  <c r="V42" i="27"/>
  <c r="T42" i="27"/>
  <c r="T60" i="27" s="1"/>
  <c r="P42" i="27"/>
  <c r="X42" i="27" s="1"/>
  <c r="Z42" i="27" s="1"/>
  <c r="J42" i="27"/>
  <c r="H42" i="27"/>
  <c r="D42" i="27"/>
  <c r="L42" i="27" s="1"/>
  <c r="Z40" i="27"/>
  <c r="P40" i="27"/>
  <c r="X40" i="27" s="1"/>
  <c r="N40" i="27"/>
  <c r="D40" i="27"/>
  <c r="L40" i="27" s="1"/>
  <c r="B40" i="27"/>
  <c r="Z39" i="27"/>
  <c r="X39" i="27"/>
  <c r="P39" i="27"/>
  <c r="N39" i="27"/>
  <c r="L39" i="27"/>
  <c r="D39" i="27"/>
  <c r="B39" i="27"/>
  <c r="Z38" i="27"/>
  <c r="X38" i="27"/>
  <c r="P38" i="27"/>
  <c r="N38" i="27"/>
  <c r="L38" i="27"/>
  <c r="D38" i="27"/>
  <c r="B38" i="27"/>
  <c r="Z37" i="27"/>
  <c r="P37" i="27"/>
  <c r="X37" i="27" s="1"/>
  <c r="N37" i="27"/>
  <c r="D37" i="27"/>
  <c r="L37" i="27" s="1"/>
  <c r="B37" i="27"/>
  <c r="Z36" i="27"/>
  <c r="X36" i="27"/>
  <c r="P36" i="27"/>
  <c r="N36" i="27"/>
  <c r="L36" i="27"/>
  <c r="D36" i="27"/>
  <c r="B36" i="27"/>
  <c r="Z35" i="27"/>
  <c r="X35" i="27"/>
  <c r="P35" i="27"/>
  <c r="N35" i="27"/>
  <c r="L35" i="27"/>
  <c r="D35" i="27"/>
  <c r="B35" i="27"/>
  <c r="Z34" i="27"/>
  <c r="P34" i="27"/>
  <c r="X34" i="27" s="1"/>
  <c r="N34" i="27"/>
  <c r="D34" i="27"/>
  <c r="L34" i="27" s="1"/>
  <c r="B34" i="27"/>
  <c r="Z33" i="27"/>
  <c r="X33" i="27"/>
  <c r="P33" i="27"/>
  <c r="N33" i="27"/>
  <c r="L33" i="27"/>
  <c r="D33" i="27"/>
  <c r="B33" i="27"/>
  <c r="Z32" i="27"/>
  <c r="P32" i="27"/>
  <c r="X32" i="27" s="1"/>
  <c r="N32" i="27"/>
  <c r="L32" i="27"/>
  <c r="D32" i="27"/>
  <c r="B32" i="27"/>
  <c r="Z31" i="27"/>
  <c r="P31" i="27"/>
  <c r="X31" i="27" s="1"/>
  <c r="N31" i="27"/>
  <c r="D31" i="27"/>
  <c r="L31" i="27" s="1"/>
  <c r="B31" i="27"/>
  <c r="Z30" i="27"/>
  <c r="X30" i="27"/>
  <c r="P30" i="27"/>
  <c r="N30" i="27"/>
  <c r="L30" i="27"/>
  <c r="D30" i="27"/>
  <c r="B30" i="27"/>
  <c r="Z29" i="27"/>
  <c r="X29" i="27"/>
  <c r="P29" i="27"/>
  <c r="N29" i="27"/>
  <c r="D29" i="27"/>
  <c r="L29" i="27" s="1"/>
  <c r="B29" i="27"/>
  <c r="Z28" i="27"/>
  <c r="P28" i="27"/>
  <c r="X28" i="27" s="1"/>
  <c r="N28" i="27"/>
  <c r="D28" i="27"/>
  <c r="L28" i="27" s="1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L26" i="27"/>
  <c r="D26" i="27"/>
  <c r="B26" i="27"/>
  <c r="Z25" i="27"/>
  <c r="P25" i="27"/>
  <c r="X25" i="27" s="1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X23" i="27"/>
  <c r="P23" i="27"/>
  <c r="N23" i="27"/>
  <c r="L23" i="27"/>
  <c r="D23" i="27"/>
  <c r="B23" i="27"/>
  <c r="Z22" i="27"/>
  <c r="P22" i="27"/>
  <c r="X22" i="27" s="1"/>
  <c r="N22" i="27"/>
  <c r="D22" i="27"/>
  <c r="L22" i="27" s="1"/>
  <c r="B22" i="27"/>
  <c r="X21" i="27"/>
  <c r="Z21" i="27" s="1"/>
  <c r="P21" i="27"/>
  <c r="L21" i="27"/>
  <c r="N21" i="27" s="1"/>
  <c r="D21" i="27"/>
  <c r="B21" i="27"/>
  <c r="Z20" i="27"/>
  <c r="P20" i="27"/>
  <c r="X20" i="27" s="1"/>
  <c r="N20" i="27"/>
  <c r="L20" i="27"/>
  <c r="D20" i="27"/>
  <c r="B20" i="27"/>
  <c r="Z19" i="27"/>
  <c r="P19" i="27"/>
  <c r="X19" i="27" s="1"/>
  <c r="N19" i="27"/>
  <c r="D19" i="27"/>
  <c r="L19" i="27" s="1"/>
  <c r="B19" i="27"/>
  <c r="Z18" i="27"/>
  <c r="X18" i="27"/>
  <c r="P18" i="27"/>
  <c r="N18" i="27"/>
  <c r="L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L14" i="27"/>
  <c r="D14" i="27"/>
  <c r="B14" i="27"/>
  <c r="Z13" i="27"/>
  <c r="P13" i="27"/>
  <c r="N13" i="27"/>
  <c r="D13" i="27"/>
  <c r="B13" i="27"/>
  <c r="T12" i="27"/>
  <c r="V113" i="27" s="1"/>
  <c r="H12" i="27"/>
  <c r="J128" i="27" s="1"/>
  <c r="D4" i="27"/>
  <c r="Z138" i="24"/>
  <c r="X138" i="24"/>
  <c r="L138" i="24"/>
  <c r="N138" i="24" s="1"/>
  <c r="Z134" i="24"/>
  <c r="X134" i="24"/>
  <c r="R134" i="24"/>
  <c r="P134" i="24"/>
  <c r="N134" i="24"/>
  <c r="D134" i="24"/>
  <c r="L134" i="24" s="1"/>
  <c r="B134" i="24"/>
  <c r="Z133" i="24"/>
  <c r="X133" i="24"/>
  <c r="V133" i="24"/>
  <c r="T133" i="24"/>
  <c r="P133" i="24"/>
  <c r="H133" i="24"/>
  <c r="N133" i="24" s="1"/>
  <c r="Z131" i="24"/>
  <c r="X131" i="24"/>
  <c r="V131" i="24"/>
  <c r="N131" i="24"/>
  <c r="L131" i="24"/>
  <c r="B131" i="24"/>
  <c r="T130" i="24"/>
  <c r="Z130" i="24" s="1"/>
  <c r="P130" i="24"/>
  <c r="X130" i="24" s="1"/>
  <c r="L130" i="24"/>
  <c r="H130" i="24"/>
  <c r="N130" i="24" s="1"/>
  <c r="D130" i="24"/>
  <c r="B130" i="24"/>
  <c r="Z129" i="24"/>
  <c r="X129" i="24"/>
  <c r="V129" i="24"/>
  <c r="N129" i="24"/>
  <c r="L129" i="24"/>
  <c r="J129" i="24"/>
  <c r="B129" i="24"/>
  <c r="T128" i="24"/>
  <c r="Z128" i="24" s="1"/>
  <c r="P128" i="24"/>
  <c r="X128" i="24" s="1"/>
  <c r="L128" i="24"/>
  <c r="N128" i="24" s="1"/>
  <c r="H128" i="24"/>
  <c r="D128" i="24"/>
  <c r="B128" i="24"/>
  <c r="X127" i="24"/>
  <c r="Z127" i="24" s="1"/>
  <c r="V127" i="24"/>
  <c r="L127" i="24"/>
  <c r="N127" i="24" s="1"/>
  <c r="J127" i="24"/>
  <c r="B127" i="24"/>
  <c r="T126" i="24"/>
  <c r="P126" i="24"/>
  <c r="X126" i="24" s="1"/>
  <c r="Z126" i="24" s="1"/>
  <c r="H126" i="24"/>
  <c r="D126" i="24"/>
  <c r="B126" i="24"/>
  <c r="Z125" i="24"/>
  <c r="X125" i="24"/>
  <c r="N125" i="24"/>
  <c r="L125" i="24"/>
  <c r="B125" i="24"/>
  <c r="X124" i="24"/>
  <c r="Z124" i="24" s="1"/>
  <c r="N124" i="24"/>
  <c r="L124" i="24"/>
  <c r="B124" i="24"/>
  <c r="X123" i="24"/>
  <c r="Z123" i="24" s="1"/>
  <c r="V123" i="24"/>
  <c r="T123" i="24"/>
  <c r="P123" i="24"/>
  <c r="L123" i="24"/>
  <c r="H123" i="24"/>
  <c r="N123" i="24" s="1"/>
  <c r="D123" i="24"/>
  <c r="B123" i="24"/>
  <c r="Z122" i="24"/>
  <c r="X122" i="24"/>
  <c r="N122" i="24"/>
  <c r="L122" i="24"/>
  <c r="B122" i="24"/>
  <c r="T121" i="24"/>
  <c r="P121" i="24"/>
  <c r="N121" i="24"/>
  <c r="H121" i="24"/>
  <c r="L121" i="24" s="1"/>
  <c r="D121" i="24"/>
  <c r="B121" i="24"/>
  <c r="X120" i="24"/>
  <c r="Z120" i="24" s="1"/>
  <c r="V120" i="24"/>
  <c r="L120" i="24"/>
  <c r="N120" i="24" s="1"/>
  <c r="B120" i="24"/>
  <c r="X119" i="24"/>
  <c r="Z119" i="24" s="1"/>
  <c r="V119" i="24"/>
  <c r="L119" i="24"/>
  <c r="N119" i="24" s="1"/>
  <c r="J119" i="24"/>
  <c r="B119" i="24"/>
  <c r="T118" i="24"/>
  <c r="P118" i="24"/>
  <c r="X118" i="24" s="1"/>
  <c r="Z118" i="24" s="1"/>
  <c r="H118" i="24"/>
  <c r="D118" i="24"/>
  <c r="B118" i="24"/>
  <c r="X117" i="24"/>
  <c r="Z117" i="24" s="1"/>
  <c r="N117" i="24"/>
  <c r="L117" i="24"/>
  <c r="B117" i="24"/>
  <c r="Z116" i="24"/>
  <c r="X116" i="24"/>
  <c r="N116" i="24"/>
  <c r="L116" i="24"/>
  <c r="B116" i="24"/>
  <c r="X115" i="24"/>
  <c r="Z115" i="24" s="1"/>
  <c r="V115" i="24"/>
  <c r="T115" i="24"/>
  <c r="P115" i="24"/>
  <c r="L115" i="24"/>
  <c r="H115" i="24"/>
  <c r="N115" i="24" s="1"/>
  <c r="D115" i="24"/>
  <c r="B115" i="24"/>
  <c r="X114" i="24"/>
  <c r="Z114" i="24" s="1"/>
  <c r="N114" i="24"/>
  <c r="L114" i="24"/>
  <c r="B114" i="24"/>
  <c r="T113" i="24"/>
  <c r="P113" i="24"/>
  <c r="N113" i="24"/>
  <c r="H113" i="24"/>
  <c r="L113" i="24" s="1"/>
  <c r="D113" i="24"/>
  <c r="B113" i="24"/>
  <c r="X112" i="24"/>
  <c r="Z112" i="24" s="1"/>
  <c r="V112" i="24"/>
  <c r="L112" i="24"/>
  <c r="N112" i="24" s="1"/>
  <c r="B112" i="24"/>
  <c r="V111" i="24"/>
  <c r="T111" i="24"/>
  <c r="Z111" i="24" s="1"/>
  <c r="P111" i="24"/>
  <c r="X111" i="24" s="1"/>
  <c r="N111" i="24"/>
  <c r="J111" i="24"/>
  <c r="H111" i="24"/>
  <c r="D111" i="24"/>
  <c r="L111" i="24" s="1"/>
  <c r="B111" i="24"/>
  <c r="Z110" i="24"/>
  <c r="X110" i="24"/>
  <c r="N110" i="24"/>
  <c r="L110" i="24"/>
  <c r="B110" i="24"/>
  <c r="X109" i="24"/>
  <c r="T109" i="24"/>
  <c r="Z109" i="24" s="1"/>
  <c r="P109" i="24"/>
  <c r="N109" i="24"/>
  <c r="L109" i="24"/>
  <c r="J109" i="24"/>
  <c r="H109" i="24"/>
  <c r="D109" i="24"/>
  <c r="B109" i="24"/>
  <c r="Z108" i="24"/>
  <c r="X108" i="24"/>
  <c r="L108" i="24"/>
  <c r="N108" i="24" s="1"/>
  <c r="J108" i="24"/>
  <c r="B108" i="24"/>
  <c r="T107" i="24"/>
  <c r="X107" i="24" s="1"/>
  <c r="Z107" i="24" s="1"/>
  <c r="P107" i="24"/>
  <c r="H107" i="24"/>
  <c r="D107" i="24"/>
  <c r="B107" i="24"/>
  <c r="Z106" i="24"/>
  <c r="X106" i="24"/>
  <c r="V106" i="24"/>
  <c r="N106" i="24"/>
  <c r="L106" i="24"/>
  <c r="B106" i="24"/>
  <c r="Z105" i="24"/>
  <c r="X105" i="24"/>
  <c r="V105" i="24"/>
  <c r="L105" i="24"/>
  <c r="N105" i="24" s="1"/>
  <c r="B105" i="24"/>
  <c r="T104" i="24"/>
  <c r="P104" i="24"/>
  <c r="H104" i="24"/>
  <c r="D104" i="24"/>
  <c r="L104" i="24" s="1"/>
  <c r="N104" i="24" s="1"/>
  <c r="B104" i="24"/>
  <c r="Z103" i="24"/>
  <c r="X103" i="24"/>
  <c r="V103" i="24"/>
  <c r="N103" i="24"/>
  <c r="L103" i="24"/>
  <c r="B103" i="24"/>
  <c r="T102" i="24"/>
  <c r="Z102" i="24" s="1"/>
  <c r="P102" i="24"/>
  <c r="X102" i="24" s="1"/>
  <c r="L102" i="24"/>
  <c r="H102" i="24"/>
  <c r="N102" i="24" s="1"/>
  <c r="D102" i="24"/>
  <c r="B102" i="24"/>
  <c r="Z101" i="24"/>
  <c r="X101" i="24"/>
  <c r="V101" i="24"/>
  <c r="N101" i="24"/>
  <c r="L101" i="24"/>
  <c r="J101" i="24"/>
  <c r="B101" i="24"/>
  <c r="T100" i="24"/>
  <c r="Z100" i="24" s="1"/>
  <c r="P100" i="24"/>
  <c r="X100" i="24" s="1"/>
  <c r="H100" i="24"/>
  <c r="D100" i="24"/>
  <c r="B100" i="24"/>
  <c r="Z99" i="24"/>
  <c r="X99" i="24"/>
  <c r="V99" i="24"/>
  <c r="N99" i="24"/>
  <c r="L99" i="24"/>
  <c r="J99" i="24"/>
  <c r="B99" i="24"/>
  <c r="Z98" i="24"/>
  <c r="X98" i="24"/>
  <c r="V98" i="24"/>
  <c r="N98" i="24"/>
  <c r="L98" i="24"/>
  <c r="B98" i="24"/>
  <c r="Z97" i="24"/>
  <c r="X97" i="24"/>
  <c r="V97" i="24"/>
  <c r="L97" i="24"/>
  <c r="N97" i="24" s="1"/>
  <c r="B97" i="24"/>
  <c r="X96" i="24"/>
  <c r="Z96" i="24" s="1"/>
  <c r="V96" i="24"/>
  <c r="L96" i="24"/>
  <c r="N96" i="24" s="1"/>
  <c r="B96" i="24"/>
  <c r="Z95" i="24"/>
  <c r="X95" i="24"/>
  <c r="V95" i="24"/>
  <c r="N95" i="24"/>
  <c r="L95" i="24"/>
  <c r="J95" i="24"/>
  <c r="B95" i="24"/>
  <c r="Z94" i="24"/>
  <c r="X94" i="24"/>
  <c r="V94" i="24"/>
  <c r="N94" i="24"/>
  <c r="L94" i="24"/>
  <c r="B94" i="24"/>
  <c r="Z93" i="24"/>
  <c r="X93" i="24"/>
  <c r="V93" i="24"/>
  <c r="N93" i="24"/>
  <c r="L93" i="24"/>
  <c r="B93" i="24"/>
  <c r="Z92" i="24"/>
  <c r="X92" i="24"/>
  <c r="V92" i="24"/>
  <c r="R92" i="24"/>
  <c r="N92" i="24"/>
  <c r="L92" i="24"/>
  <c r="B92" i="24"/>
  <c r="Z91" i="24"/>
  <c r="X91" i="24"/>
  <c r="V91" i="24"/>
  <c r="N91" i="24"/>
  <c r="L91" i="24"/>
  <c r="J91" i="24"/>
  <c r="B91" i="24"/>
  <c r="Z90" i="24"/>
  <c r="X90" i="24"/>
  <c r="V90" i="24"/>
  <c r="L90" i="24"/>
  <c r="N90" i="24" s="1"/>
  <c r="B90" i="24"/>
  <c r="Z89" i="24"/>
  <c r="V89" i="24"/>
  <c r="T89" i="24"/>
  <c r="P89" i="24"/>
  <c r="X89" i="24" s="1"/>
  <c r="J89" i="24"/>
  <c r="H89" i="24"/>
  <c r="D89" i="24"/>
  <c r="L89" i="24" s="1"/>
  <c r="B89" i="24"/>
  <c r="Z88" i="24"/>
  <c r="X88" i="24"/>
  <c r="N88" i="24"/>
  <c r="L88" i="24"/>
  <c r="B88" i="24"/>
  <c r="X87" i="24"/>
  <c r="Z87" i="24" s="1"/>
  <c r="V87" i="24"/>
  <c r="N87" i="24"/>
  <c r="L87" i="24"/>
  <c r="B87" i="24"/>
  <c r="X86" i="24"/>
  <c r="Z86" i="24" s="1"/>
  <c r="V86" i="24"/>
  <c r="N86" i="24"/>
  <c r="L86" i="24"/>
  <c r="B86" i="24"/>
  <c r="Z85" i="24"/>
  <c r="X85" i="24"/>
  <c r="N85" i="24"/>
  <c r="L85" i="24"/>
  <c r="B85" i="24"/>
  <c r="X84" i="24"/>
  <c r="Z84" i="24" s="1"/>
  <c r="V84" i="24"/>
  <c r="N84" i="24"/>
  <c r="L84" i="24"/>
  <c r="B84" i="24"/>
  <c r="X83" i="24"/>
  <c r="Z83" i="24" s="1"/>
  <c r="V83" i="24"/>
  <c r="N83" i="24"/>
  <c r="L83" i="24"/>
  <c r="B83" i="24"/>
  <c r="X82" i="24"/>
  <c r="Z82" i="24" s="1"/>
  <c r="V82" i="24"/>
  <c r="L82" i="24"/>
  <c r="N82" i="24" s="1"/>
  <c r="B82" i="24"/>
  <c r="X81" i="24"/>
  <c r="Z81" i="24" s="1"/>
  <c r="N81" i="24"/>
  <c r="L81" i="24"/>
  <c r="B81" i="24"/>
  <c r="X80" i="24"/>
  <c r="Z80" i="24" s="1"/>
  <c r="V80" i="24"/>
  <c r="N80" i="24"/>
  <c r="L80" i="24"/>
  <c r="B80" i="24"/>
  <c r="X79" i="24"/>
  <c r="Z79" i="24" s="1"/>
  <c r="V79" i="24"/>
  <c r="T79" i="24"/>
  <c r="P79" i="24"/>
  <c r="L79" i="24"/>
  <c r="H79" i="24"/>
  <c r="N79" i="24" s="1"/>
  <c r="D79" i="24"/>
  <c r="B79" i="24"/>
  <c r="T78" i="24"/>
  <c r="Z78" i="24" s="1"/>
  <c r="P78" i="24"/>
  <c r="X78" i="24" s="1"/>
  <c r="H78" i="24"/>
  <c r="D78" i="24"/>
  <c r="T76" i="24"/>
  <c r="T136" i="24" s="1"/>
  <c r="Z74" i="24"/>
  <c r="X74" i="24"/>
  <c r="N74" i="24"/>
  <c r="L74" i="24"/>
  <c r="B74" i="24"/>
  <c r="Z73" i="24"/>
  <c r="X73" i="24"/>
  <c r="V73" i="24"/>
  <c r="N73" i="24"/>
  <c r="L73" i="24"/>
  <c r="J73" i="24"/>
  <c r="B73" i="24"/>
  <c r="Z72" i="24"/>
  <c r="X72" i="24"/>
  <c r="N72" i="24"/>
  <c r="L72" i="24"/>
  <c r="J72" i="24"/>
  <c r="B72" i="24"/>
  <c r="Z71" i="24"/>
  <c r="X71" i="24"/>
  <c r="N71" i="24"/>
  <c r="L71" i="24"/>
  <c r="J71" i="24"/>
  <c r="B71" i="24"/>
  <c r="Z70" i="24"/>
  <c r="X70" i="24"/>
  <c r="N70" i="24"/>
  <c r="L70" i="24"/>
  <c r="B70" i="24"/>
  <c r="Z69" i="24"/>
  <c r="X69" i="24"/>
  <c r="V69" i="24"/>
  <c r="N69" i="24"/>
  <c r="L69" i="24"/>
  <c r="J69" i="24"/>
  <c r="B69" i="24"/>
  <c r="Z68" i="24"/>
  <c r="X68" i="24"/>
  <c r="N68" i="24"/>
  <c r="L68" i="24"/>
  <c r="J68" i="24"/>
  <c r="B68" i="24"/>
  <c r="Z67" i="24"/>
  <c r="X67" i="24"/>
  <c r="N67" i="24"/>
  <c r="L67" i="24"/>
  <c r="J67" i="24"/>
  <c r="B67" i="24"/>
  <c r="Z66" i="24"/>
  <c r="X66" i="24"/>
  <c r="N66" i="24"/>
  <c r="L66" i="24"/>
  <c r="B66" i="24"/>
  <c r="Z65" i="24"/>
  <c r="X65" i="24"/>
  <c r="V65" i="24"/>
  <c r="N65" i="24"/>
  <c r="L65" i="24"/>
  <c r="J65" i="24"/>
  <c r="B65" i="24"/>
  <c r="Z64" i="24"/>
  <c r="X64" i="24"/>
  <c r="N64" i="24"/>
  <c r="L64" i="24"/>
  <c r="J64" i="24"/>
  <c r="B64" i="24"/>
  <c r="Z63" i="24"/>
  <c r="X63" i="24"/>
  <c r="N63" i="24"/>
  <c r="L63" i="24"/>
  <c r="J63" i="24"/>
  <c r="B63" i="24"/>
  <c r="Z62" i="24"/>
  <c r="X62" i="24"/>
  <c r="N62" i="24"/>
  <c r="L62" i="24"/>
  <c r="B62" i="24"/>
  <c r="Z61" i="24"/>
  <c r="X61" i="24"/>
  <c r="V61" i="24"/>
  <c r="N61" i="24"/>
  <c r="L61" i="24"/>
  <c r="J61" i="24"/>
  <c r="B61" i="24"/>
  <c r="Z60" i="24"/>
  <c r="X60" i="24"/>
  <c r="N60" i="24"/>
  <c r="L60" i="24"/>
  <c r="J60" i="24"/>
  <c r="B60" i="24"/>
  <c r="Z59" i="24"/>
  <c r="X59" i="24"/>
  <c r="N59" i="24"/>
  <c r="L59" i="24"/>
  <c r="J59" i="24"/>
  <c r="B59" i="24"/>
  <c r="Z58" i="24"/>
  <c r="X58" i="24"/>
  <c r="N58" i="24"/>
  <c r="L58" i="24"/>
  <c r="B58" i="24"/>
  <c r="Z57" i="24"/>
  <c r="X57" i="24"/>
  <c r="V57" i="24"/>
  <c r="N57" i="24"/>
  <c r="L57" i="24"/>
  <c r="J57" i="24"/>
  <c r="B57" i="24"/>
  <c r="Z56" i="24"/>
  <c r="X56" i="24"/>
  <c r="N56" i="24"/>
  <c r="L56" i="24"/>
  <c r="J56" i="24"/>
  <c r="B56" i="24"/>
  <c r="Z55" i="24"/>
  <c r="X55" i="24"/>
  <c r="N55" i="24"/>
  <c r="L55" i="24"/>
  <c r="J55" i="24"/>
  <c r="B55" i="24"/>
  <c r="Z54" i="24"/>
  <c r="X54" i="24"/>
  <c r="N54" i="24"/>
  <c r="L54" i="24"/>
  <c r="B54" i="24"/>
  <c r="Z53" i="24"/>
  <c r="X53" i="24"/>
  <c r="V53" i="24"/>
  <c r="N53" i="24"/>
  <c r="L53" i="24"/>
  <c r="J53" i="24"/>
  <c r="B53" i="24"/>
  <c r="Z52" i="24"/>
  <c r="X52" i="24"/>
  <c r="N52" i="24"/>
  <c r="L52" i="24"/>
  <c r="J52" i="24"/>
  <c r="B52" i="24"/>
  <c r="Z51" i="24"/>
  <c r="X51" i="24"/>
  <c r="L51" i="24"/>
  <c r="N51" i="24" s="1"/>
  <c r="J51" i="24"/>
  <c r="B51" i="24"/>
  <c r="X50" i="24"/>
  <c r="Z50" i="24" s="1"/>
  <c r="T50" i="24"/>
  <c r="P50" i="24"/>
  <c r="H50" i="24"/>
  <c r="D50" i="24"/>
  <c r="Z48" i="24"/>
  <c r="X48" i="24"/>
  <c r="P48" i="24"/>
  <c r="N48" i="24"/>
  <c r="L48" i="24"/>
  <c r="D48" i="24"/>
  <c r="B48" i="24"/>
  <c r="Z47" i="24"/>
  <c r="P47" i="24"/>
  <c r="X47" i="24" s="1"/>
  <c r="N47" i="24"/>
  <c r="D47" i="24"/>
  <c r="L47" i="24" s="1"/>
  <c r="B47" i="24"/>
  <c r="Z46" i="24"/>
  <c r="X46" i="24"/>
  <c r="P46" i="24"/>
  <c r="N46" i="24"/>
  <c r="L46" i="24"/>
  <c r="D46" i="24"/>
  <c r="B46" i="24"/>
  <c r="Z45" i="24"/>
  <c r="P45" i="24"/>
  <c r="X45" i="24" s="1"/>
  <c r="N45" i="24"/>
  <c r="L45" i="24"/>
  <c r="D45" i="24"/>
  <c r="B45" i="24"/>
  <c r="Z44" i="24"/>
  <c r="P44" i="24"/>
  <c r="X44" i="24" s="1"/>
  <c r="N44" i="24"/>
  <c r="D44" i="24"/>
  <c r="L44" i="24" s="1"/>
  <c r="B44" i="24"/>
  <c r="Z43" i="24"/>
  <c r="X43" i="24"/>
  <c r="P43" i="24"/>
  <c r="N43" i="24"/>
  <c r="L43" i="24"/>
  <c r="D43" i="24"/>
  <c r="B43" i="24"/>
  <c r="Z42" i="24"/>
  <c r="P42" i="24"/>
  <c r="X42" i="24" s="1"/>
  <c r="N42" i="24"/>
  <c r="D42" i="24"/>
  <c r="L42" i="24" s="1"/>
  <c r="B42" i="24"/>
  <c r="Z41" i="24"/>
  <c r="P41" i="24"/>
  <c r="X41" i="24" s="1"/>
  <c r="N41" i="24"/>
  <c r="D41" i="24"/>
  <c r="L41" i="24" s="1"/>
  <c r="B41" i="24"/>
  <c r="Z40" i="24"/>
  <c r="X40" i="24"/>
  <c r="P40" i="24"/>
  <c r="N40" i="24"/>
  <c r="L40" i="24"/>
  <c r="D40" i="24"/>
  <c r="B40" i="24"/>
  <c r="Z39" i="24"/>
  <c r="X39" i="24"/>
  <c r="P39" i="24"/>
  <c r="N39" i="24"/>
  <c r="D39" i="24"/>
  <c r="L39" i="24" s="1"/>
  <c r="B39" i="24"/>
  <c r="Z38" i="24"/>
  <c r="P38" i="24"/>
  <c r="X38" i="24" s="1"/>
  <c r="N38" i="24"/>
  <c r="D38" i="24"/>
  <c r="L38" i="24" s="1"/>
  <c r="B38" i="24"/>
  <c r="Z37" i="24"/>
  <c r="X37" i="24"/>
  <c r="P37" i="24"/>
  <c r="N37" i="24"/>
  <c r="L37" i="24"/>
  <c r="D37" i="24"/>
  <c r="B37" i="24"/>
  <c r="Z36" i="24"/>
  <c r="X36" i="24"/>
  <c r="P36" i="24"/>
  <c r="N36" i="24"/>
  <c r="L36" i="24"/>
  <c r="D36" i="24"/>
  <c r="B36" i="24"/>
  <c r="Z35" i="24"/>
  <c r="P35" i="24"/>
  <c r="X35" i="24" s="1"/>
  <c r="N35" i="24"/>
  <c r="D35" i="24"/>
  <c r="L35" i="24" s="1"/>
  <c r="B35" i="24"/>
  <c r="Z34" i="24"/>
  <c r="X34" i="24"/>
  <c r="P34" i="24"/>
  <c r="N34" i="24"/>
  <c r="L34" i="24"/>
  <c r="D34" i="24"/>
  <c r="B34" i="24"/>
  <c r="Z33" i="24"/>
  <c r="P33" i="24"/>
  <c r="X33" i="24" s="1"/>
  <c r="N33" i="24"/>
  <c r="L33" i="24"/>
  <c r="D33" i="24"/>
  <c r="B33" i="24"/>
  <c r="Z32" i="24"/>
  <c r="P32" i="24"/>
  <c r="X32" i="24" s="1"/>
  <c r="N32" i="24"/>
  <c r="D32" i="24"/>
  <c r="L32" i="24" s="1"/>
  <c r="B32" i="24"/>
  <c r="Z31" i="24"/>
  <c r="X31" i="24"/>
  <c r="P31" i="24"/>
  <c r="N31" i="24"/>
  <c r="L31" i="24"/>
  <c r="D31" i="24"/>
  <c r="B31" i="24"/>
  <c r="P30" i="24"/>
  <c r="X30" i="24" s="1"/>
  <c r="Z30" i="24" s="1"/>
  <c r="D30" i="24"/>
  <c r="L30" i="24" s="1"/>
  <c r="N30" i="24" s="1"/>
  <c r="B30" i="24"/>
  <c r="Z29" i="24"/>
  <c r="P29" i="24"/>
  <c r="X29" i="24" s="1"/>
  <c r="N29" i="24"/>
  <c r="D29" i="24"/>
  <c r="L29" i="24" s="1"/>
  <c r="B29" i="24"/>
  <c r="Z28" i="24"/>
  <c r="X28" i="24"/>
  <c r="P28" i="24"/>
  <c r="N28" i="24"/>
  <c r="D28" i="24"/>
  <c r="L28" i="24" s="1"/>
  <c r="B28" i="24"/>
  <c r="Z27" i="24"/>
  <c r="X27" i="24"/>
  <c r="P27" i="24"/>
  <c r="N27" i="24"/>
  <c r="D27" i="24"/>
  <c r="L27" i="24" s="1"/>
  <c r="B27" i="24"/>
  <c r="Z26" i="24"/>
  <c r="P26" i="24"/>
  <c r="X26" i="24" s="1"/>
  <c r="N26" i="24"/>
  <c r="D26" i="24"/>
  <c r="L26" i="24" s="1"/>
  <c r="B26" i="24"/>
  <c r="Z25" i="24"/>
  <c r="X25" i="24"/>
  <c r="P25" i="24"/>
  <c r="N25" i="24"/>
  <c r="L25" i="24"/>
  <c r="D25" i="24"/>
  <c r="B25" i="24"/>
  <c r="Z24" i="24"/>
  <c r="X24" i="24"/>
  <c r="P24" i="24"/>
  <c r="N24" i="24"/>
  <c r="L24" i="24"/>
  <c r="D24" i="24"/>
  <c r="B24" i="24"/>
  <c r="Z23" i="24"/>
  <c r="P23" i="24"/>
  <c r="X23" i="24" s="1"/>
  <c r="N23" i="24"/>
  <c r="D23" i="24"/>
  <c r="L23" i="24" s="1"/>
  <c r="B23" i="24"/>
  <c r="Z22" i="24"/>
  <c r="X22" i="24"/>
  <c r="P22" i="24"/>
  <c r="N22" i="24"/>
  <c r="L22" i="24"/>
  <c r="D22" i="24"/>
  <c r="B22" i="24"/>
  <c r="Z21" i="24"/>
  <c r="P21" i="24"/>
  <c r="X21" i="24" s="1"/>
  <c r="N21" i="24"/>
  <c r="L21" i="24"/>
  <c r="D21" i="24"/>
  <c r="B21" i="24"/>
  <c r="Z20" i="24"/>
  <c r="P20" i="24"/>
  <c r="X20" i="24" s="1"/>
  <c r="N20" i="24"/>
  <c r="D20" i="24"/>
  <c r="L20" i="24" s="1"/>
  <c r="B20" i="24"/>
  <c r="Z19" i="24"/>
  <c r="P19" i="24"/>
  <c r="P12" i="24" s="1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P17" i="24"/>
  <c r="X17" i="24" s="1"/>
  <c r="N17" i="24"/>
  <c r="D17" i="24"/>
  <c r="L17" i="24" s="1"/>
  <c r="B17" i="24"/>
  <c r="Z16" i="24"/>
  <c r="X16" i="24"/>
  <c r="P16" i="24"/>
  <c r="N16" i="24"/>
  <c r="D16" i="24"/>
  <c r="L16" i="24" s="1"/>
  <c r="B16" i="24"/>
  <c r="Z15" i="24"/>
  <c r="X15" i="24"/>
  <c r="P15" i="24"/>
  <c r="N15" i="24"/>
  <c r="D15" i="24"/>
  <c r="L15" i="24" s="1"/>
  <c r="B15" i="24"/>
  <c r="Z14" i="24"/>
  <c r="P14" i="24"/>
  <c r="X14" i="24" s="1"/>
  <c r="N14" i="24"/>
  <c r="D14" i="24"/>
  <c r="L14" i="24" s="1"/>
  <c r="B14" i="24"/>
  <c r="X13" i="24"/>
  <c r="Z13" i="24" s="1"/>
  <c r="P13" i="24"/>
  <c r="L13" i="24"/>
  <c r="N13" i="24" s="1"/>
  <c r="D13" i="24"/>
  <c r="B13" i="24"/>
  <c r="T12" i="24"/>
  <c r="V124" i="24" s="1"/>
  <c r="H12" i="24"/>
  <c r="J130" i="24" s="1"/>
  <c r="D4" i="24"/>
  <c r="Z118" i="21"/>
  <c r="X118" i="21"/>
  <c r="V118" i="21"/>
  <c r="N118" i="21"/>
  <c r="L118" i="21"/>
  <c r="V114" i="21"/>
  <c r="T114" i="21"/>
  <c r="Z114" i="21" s="1"/>
  <c r="P114" i="21"/>
  <c r="X114" i="21" s="1"/>
  <c r="N114" i="21"/>
  <c r="H114" i="21"/>
  <c r="D114" i="21"/>
  <c r="L114" i="21" s="1"/>
  <c r="X112" i="21"/>
  <c r="Z112" i="21" s="1"/>
  <c r="V112" i="21"/>
  <c r="L112" i="21"/>
  <c r="N112" i="21" s="1"/>
  <c r="B112" i="21"/>
  <c r="T111" i="21"/>
  <c r="P111" i="21"/>
  <c r="X111" i="21" s="1"/>
  <c r="Z111" i="21" s="1"/>
  <c r="H111" i="21"/>
  <c r="D111" i="21"/>
  <c r="L111" i="21" s="1"/>
  <c r="B111" i="21"/>
  <c r="X110" i="21"/>
  <c r="Z110" i="21" s="1"/>
  <c r="N110" i="21"/>
  <c r="L110" i="21"/>
  <c r="B110" i="21"/>
  <c r="X109" i="21"/>
  <c r="T109" i="21"/>
  <c r="Z109" i="21" s="1"/>
  <c r="P109" i="21"/>
  <c r="H109" i="21"/>
  <c r="N109" i="21" s="1"/>
  <c r="D109" i="21"/>
  <c r="L109" i="21" s="1"/>
  <c r="B109" i="21"/>
  <c r="Z108" i="21"/>
  <c r="X108" i="21"/>
  <c r="N108" i="21"/>
  <c r="L108" i="21"/>
  <c r="B108" i="21"/>
  <c r="T107" i="21"/>
  <c r="X107" i="21" s="1"/>
  <c r="Z107" i="21" s="1"/>
  <c r="P107" i="21"/>
  <c r="H107" i="21"/>
  <c r="N107" i="21" s="1"/>
  <c r="D107" i="21"/>
  <c r="B107" i="21"/>
  <c r="Z106" i="21"/>
  <c r="X106" i="21"/>
  <c r="V106" i="21"/>
  <c r="L106" i="21"/>
  <c r="N106" i="21" s="1"/>
  <c r="B106" i="21"/>
  <c r="X105" i="21"/>
  <c r="T105" i="21"/>
  <c r="P105" i="21"/>
  <c r="H105" i="21"/>
  <c r="D105" i="21"/>
  <c r="L105" i="21" s="1"/>
  <c r="N105" i="21" s="1"/>
  <c r="B105" i="21"/>
  <c r="X104" i="21"/>
  <c r="Z104" i="21" s="1"/>
  <c r="V104" i="21"/>
  <c r="N104" i="21"/>
  <c r="L104" i="21"/>
  <c r="B104" i="21"/>
  <c r="X103" i="21"/>
  <c r="Z103" i="21" s="1"/>
  <c r="L103" i="21"/>
  <c r="N103" i="21" s="1"/>
  <c r="B103" i="21"/>
  <c r="Z102" i="21"/>
  <c r="X102" i="21"/>
  <c r="N102" i="21"/>
  <c r="L102" i="21"/>
  <c r="B102" i="21"/>
  <c r="X101" i="21"/>
  <c r="Z101" i="21" s="1"/>
  <c r="N101" i="21"/>
  <c r="L101" i="21"/>
  <c r="B101" i="21"/>
  <c r="Z100" i="21"/>
  <c r="X100" i="21"/>
  <c r="V100" i="21"/>
  <c r="N100" i="21"/>
  <c r="L100" i="21"/>
  <c r="B100" i="21"/>
  <c r="X99" i="21"/>
  <c r="Z99" i="21" s="1"/>
  <c r="N99" i="21"/>
  <c r="L99" i="21"/>
  <c r="B99" i="21"/>
  <c r="X98" i="21"/>
  <c r="Z98" i="21" s="1"/>
  <c r="N98" i="21"/>
  <c r="L98" i="21"/>
  <c r="B98" i="21"/>
  <c r="X97" i="21"/>
  <c r="Z97" i="21" s="1"/>
  <c r="N97" i="21"/>
  <c r="L97" i="21"/>
  <c r="B97" i="21"/>
  <c r="Z96" i="21"/>
  <c r="X96" i="21"/>
  <c r="V96" i="21"/>
  <c r="T96" i="21"/>
  <c r="P96" i="21"/>
  <c r="L96" i="21"/>
  <c r="H96" i="21"/>
  <c r="N96" i="21" s="1"/>
  <c r="D96" i="21"/>
  <c r="B96" i="21"/>
  <c r="X95" i="21"/>
  <c r="Z95" i="21" s="1"/>
  <c r="N95" i="21"/>
  <c r="L95" i="21"/>
  <c r="B95" i="21"/>
  <c r="Z94" i="21"/>
  <c r="V94" i="21"/>
  <c r="T94" i="21"/>
  <c r="X94" i="21" s="1"/>
  <c r="P94" i="21"/>
  <c r="N94" i="21"/>
  <c r="H94" i="21"/>
  <c r="L94" i="21" s="1"/>
  <c r="D94" i="21"/>
  <c r="B94" i="21"/>
  <c r="X93" i="21"/>
  <c r="Z93" i="21" s="1"/>
  <c r="V93" i="21"/>
  <c r="L93" i="21"/>
  <c r="N93" i="21" s="1"/>
  <c r="B93" i="21"/>
  <c r="X92" i="21"/>
  <c r="Z92" i="21" s="1"/>
  <c r="V92" i="21"/>
  <c r="L92" i="21"/>
  <c r="N92" i="21" s="1"/>
  <c r="B92" i="21"/>
  <c r="Z91" i="21"/>
  <c r="X91" i="21"/>
  <c r="L91" i="21"/>
  <c r="N91" i="21" s="1"/>
  <c r="B91" i="21"/>
  <c r="Z90" i="21"/>
  <c r="X90" i="21"/>
  <c r="V90" i="21"/>
  <c r="L90" i="21"/>
  <c r="N90" i="21" s="1"/>
  <c r="B90" i="21"/>
  <c r="Z89" i="21"/>
  <c r="X89" i="21"/>
  <c r="V89" i="21"/>
  <c r="N89" i="21"/>
  <c r="L89" i="21"/>
  <c r="B89" i="21"/>
  <c r="V88" i="21"/>
  <c r="T88" i="21"/>
  <c r="P88" i="21"/>
  <c r="X88" i="21" s="1"/>
  <c r="N88" i="21"/>
  <c r="H88" i="21"/>
  <c r="D88" i="21"/>
  <c r="L88" i="21" s="1"/>
  <c r="B88" i="21"/>
  <c r="X87" i="21"/>
  <c r="Z87" i="21" s="1"/>
  <c r="L87" i="21"/>
  <c r="N87" i="21" s="1"/>
  <c r="B87" i="21"/>
  <c r="Z86" i="21"/>
  <c r="X86" i="21"/>
  <c r="N86" i="21"/>
  <c r="L86" i="21"/>
  <c r="B86" i="21"/>
  <c r="X85" i="21"/>
  <c r="T85" i="21"/>
  <c r="Z85" i="21" s="1"/>
  <c r="P85" i="21"/>
  <c r="H85" i="21"/>
  <c r="D85" i="21"/>
  <c r="L85" i="21" s="1"/>
  <c r="B85" i="21"/>
  <c r="Z84" i="21"/>
  <c r="X84" i="21"/>
  <c r="N84" i="21"/>
  <c r="L84" i="21"/>
  <c r="B84" i="21"/>
  <c r="Z83" i="21"/>
  <c r="X83" i="21"/>
  <c r="N83" i="21"/>
  <c r="L83" i="21"/>
  <c r="B83" i="21"/>
  <c r="Z82" i="21"/>
  <c r="X82" i="21"/>
  <c r="V82" i="21"/>
  <c r="N82" i="21"/>
  <c r="L82" i="21"/>
  <c r="B82" i="21"/>
  <c r="T81" i="21"/>
  <c r="P81" i="21"/>
  <c r="H81" i="21"/>
  <c r="D81" i="21"/>
  <c r="B81" i="21"/>
  <c r="X80" i="21"/>
  <c r="Z80" i="21" s="1"/>
  <c r="V80" i="21"/>
  <c r="L80" i="21"/>
  <c r="N80" i="21" s="1"/>
  <c r="B80" i="21"/>
  <c r="V79" i="21"/>
  <c r="T79" i="21"/>
  <c r="P79" i="21"/>
  <c r="X79" i="21" s="1"/>
  <c r="Z79" i="21" s="1"/>
  <c r="H79" i="21"/>
  <c r="D79" i="21"/>
  <c r="B79" i="21"/>
  <c r="Z78" i="21"/>
  <c r="X78" i="21"/>
  <c r="N78" i="21"/>
  <c r="L78" i="21"/>
  <c r="B78" i="21"/>
  <c r="X77" i="21"/>
  <c r="T77" i="21"/>
  <c r="Z77" i="21" s="1"/>
  <c r="P77" i="21"/>
  <c r="H77" i="21"/>
  <c r="N77" i="21" s="1"/>
  <c r="D77" i="21"/>
  <c r="B77" i="21"/>
  <c r="Z76" i="21"/>
  <c r="X76" i="21"/>
  <c r="L76" i="21"/>
  <c r="N76" i="21" s="1"/>
  <c r="B76" i="21"/>
  <c r="Z75" i="21"/>
  <c r="T75" i="21"/>
  <c r="X75" i="21" s="1"/>
  <c r="P75" i="21"/>
  <c r="H75" i="21"/>
  <c r="D75" i="21"/>
  <c r="B75" i="21"/>
  <c r="Z74" i="21"/>
  <c r="X74" i="21"/>
  <c r="V74" i="21"/>
  <c r="L74" i="21"/>
  <c r="N74" i="21" s="1"/>
  <c r="B74" i="21"/>
  <c r="T73" i="21"/>
  <c r="P73" i="21"/>
  <c r="H73" i="21"/>
  <c r="D73" i="21"/>
  <c r="L73" i="21" s="1"/>
  <c r="N73" i="21" s="1"/>
  <c r="B73" i="21"/>
  <c r="Z72" i="21"/>
  <c r="X72" i="21"/>
  <c r="V72" i="21"/>
  <c r="N72" i="21"/>
  <c r="L72" i="21"/>
  <c r="B72" i="21"/>
  <c r="T71" i="21"/>
  <c r="P71" i="21"/>
  <c r="X71" i="21" s="1"/>
  <c r="L71" i="21"/>
  <c r="H71" i="21"/>
  <c r="N71" i="21" s="1"/>
  <c r="D71" i="21"/>
  <c r="B71" i="21"/>
  <c r="Z70" i="21"/>
  <c r="X70" i="21"/>
  <c r="V70" i="21"/>
  <c r="N70" i="21"/>
  <c r="L70" i="21"/>
  <c r="B70" i="21"/>
  <c r="Z69" i="21"/>
  <c r="T69" i="21"/>
  <c r="P69" i="21"/>
  <c r="X69" i="21" s="1"/>
  <c r="N69" i="21"/>
  <c r="H69" i="21"/>
  <c r="L69" i="21" s="1"/>
  <c r="D69" i="21"/>
  <c r="B69" i="21"/>
  <c r="Z68" i="21"/>
  <c r="X68" i="21"/>
  <c r="V68" i="21"/>
  <c r="L68" i="21"/>
  <c r="N68" i="21" s="1"/>
  <c r="B68" i="21"/>
  <c r="V67" i="21"/>
  <c r="T67" i="21"/>
  <c r="P67" i="21"/>
  <c r="X67" i="21" s="1"/>
  <c r="Z67" i="21" s="1"/>
  <c r="L67" i="21"/>
  <c r="H67" i="21"/>
  <c r="D67" i="21"/>
  <c r="B67" i="21"/>
  <c r="X66" i="21"/>
  <c r="Z66" i="21" s="1"/>
  <c r="N66" i="21"/>
  <c r="L66" i="21"/>
  <c r="B66" i="21"/>
  <c r="X65" i="21"/>
  <c r="T65" i="21"/>
  <c r="Z65" i="21" s="1"/>
  <c r="P65" i="21"/>
  <c r="H65" i="21"/>
  <c r="D65" i="21"/>
  <c r="L65" i="21" s="1"/>
  <c r="B65" i="21"/>
  <c r="Z64" i="21"/>
  <c r="X64" i="21"/>
  <c r="N64" i="21"/>
  <c r="L64" i="21"/>
  <c r="B64" i="21"/>
  <c r="Z63" i="21"/>
  <c r="X63" i="21"/>
  <c r="T63" i="21"/>
  <c r="P63" i="21"/>
  <c r="H63" i="21"/>
  <c r="N63" i="21" s="1"/>
  <c r="D63" i="21"/>
  <c r="B63" i="21"/>
  <c r="Z62" i="21"/>
  <c r="X62" i="21"/>
  <c r="V62" i="21"/>
  <c r="L62" i="21"/>
  <c r="N62" i="21" s="1"/>
  <c r="B62" i="21"/>
  <c r="X61" i="21"/>
  <c r="Z61" i="21" s="1"/>
  <c r="V61" i="21"/>
  <c r="L61" i="21"/>
  <c r="N61" i="21" s="1"/>
  <c r="B61" i="21"/>
  <c r="X60" i="21"/>
  <c r="Z60" i="21" s="1"/>
  <c r="V60" i="21"/>
  <c r="L60" i="21"/>
  <c r="N60" i="21" s="1"/>
  <c r="B60" i="21"/>
  <c r="V59" i="21"/>
  <c r="T59" i="21"/>
  <c r="P59" i="21"/>
  <c r="X59" i="21" s="1"/>
  <c r="Z59" i="21" s="1"/>
  <c r="H59" i="21"/>
  <c r="D59" i="21"/>
  <c r="B59" i="21"/>
  <c r="X58" i="21"/>
  <c r="Z58" i="21" s="1"/>
  <c r="N58" i="21"/>
  <c r="L58" i="21"/>
  <c r="B58" i="21"/>
  <c r="X57" i="21"/>
  <c r="T57" i="21"/>
  <c r="Z57" i="21" s="1"/>
  <c r="P57" i="21"/>
  <c r="L57" i="21"/>
  <c r="H57" i="21"/>
  <c r="D57" i="21"/>
  <c r="B57" i="21"/>
  <c r="Z56" i="21"/>
  <c r="X56" i="21"/>
  <c r="N56" i="21"/>
  <c r="L56" i="21"/>
  <c r="B56" i="21"/>
  <c r="Z55" i="21"/>
  <c r="T55" i="21"/>
  <c r="X55" i="21" s="1"/>
  <c r="P55" i="21"/>
  <c r="H55" i="21"/>
  <c r="D55" i="21"/>
  <c r="B55" i="21"/>
  <c r="Z54" i="21"/>
  <c r="X54" i="21"/>
  <c r="V54" i="21"/>
  <c r="L54" i="21"/>
  <c r="N54" i="21" s="1"/>
  <c r="B54" i="21"/>
  <c r="T53" i="21"/>
  <c r="P53" i="21"/>
  <c r="H53" i="21"/>
  <c r="D53" i="21"/>
  <c r="L53" i="21" s="1"/>
  <c r="N53" i="21" s="1"/>
  <c r="B53" i="21"/>
  <c r="Z52" i="21"/>
  <c r="X52" i="21"/>
  <c r="V52" i="21"/>
  <c r="N52" i="21"/>
  <c r="L52" i="21"/>
  <c r="B52" i="21"/>
  <c r="Z51" i="21"/>
  <c r="X51" i="21"/>
  <c r="N51" i="21"/>
  <c r="L51" i="21"/>
  <c r="B51" i="21"/>
  <c r="X50" i="21"/>
  <c r="Z50" i="21" s="1"/>
  <c r="N50" i="21"/>
  <c r="L50" i="21"/>
  <c r="B50" i="21"/>
  <c r="X49" i="21"/>
  <c r="Z49" i="21" s="1"/>
  <c r="N49" i="21"/>
  <c r="L49" i="21"/>
  <c r="B49" i="21"/>
  <c r="Z48" i="21"/>
  <c r="X48" i="21"/>
  <c r="V48" i="21"/>
  <c r="N48" i="21"/>
  <c r="L48" i="21"/>
  <c r="B48" i="21"/>
  <c r="X47" i="21"/>
  <c r="Z47" i="21" s="1"/>
  <c r="N47" i="21"/>
  <c r="L47" i="21"/>
  <c r="B47" i="21"/>
  <c r="X46" i="21"/>
  <c r="Z46" i="21" s="1"/>
  <c r="N46" i="21"/>
  <c r="L46" i="21"/>
  <c r="B46" i="21"/>
  <c r="Z45" i="21"/>
  <c r="X45" i="21"/>
  <c r="N45" i="21"/>
  <c r="L45" i="21"/>
  <c r="B45" i="21"/>
  <c r="X44" i="21"/>
  <c r="Z44" i="21" s="1"/>
  <c r="V44" i="21"/>
  <c r="N44" i="21"/>
  <c r="L44" i="21"/>
  <c r="B44" i="21"/>
  <c r="X43" i="21"/>
  <c r="Z43" i="21" s="1"/>
  <c r="V43" i="21"/>
  <c r="N43" i="21"/>
  <c r="L43" i="21"/>
  <c r="B43" i="21"/>
  <c r="X42" i="21"/>
  <c r="Z42" i="21" s="1"/>
  <c r="T42" i="21"/>
  <c r="P42" i="21"/>
  <c r="N42" i="21"/>
  <c r="L42" i="21"/>
  <c r="H42" i="21"/>
  <c r="D42" i="21"/>
  <c r="B42" i="21"/>
  <c r="Z41" i="21"/>
  <c r="X41" i="21"/>
  <c r="N41" i="21"/>
  <c r="L41" i="21"/>
  <c r="B41" i="21"/>
  <c r="Z40" i="21"/>
  <c r="X40" i="21"/>
  <c r="N40" i="21"/>
  <c r="L40" i="21"/>
  <c r="B40" i="21"/>
  <c r="Z39" i="21"/>
  <c r="X39" i="21"/>
  <c r="N39" i="21"/>
  <c r="L39" i="21"/>
  <c r="B39" i="21"/>
  <c r="Z38" i="21"/>
  <c r="X38" i="21"/>
  <c r="V38" i="21"/>
  <c r="N38" i="21"/>
  <c r="L38" i="21"/>
  <c r="B38" i="21"/>
  <c r="Z37" i="21"/>
  <c r="X37" i="21"/>
  <c r="L37" i="21"/>
  <c r="N37" i="21" s="1"/>
  <c r="B37" i="21"/>
  <c r="Z36" i="21"/>
  <c r="X36" i="21"/>
  <c r="N36" i="21"/>
  <c r="L36" i="21"/>
  <c r="B36" i="21"/>
  <c r="Z35" i="21"/>
  <c r="X35" i="21"/>
  <c r="N35" i="21"/>
  <c r="L35" i="21"/>
  <c r="B35" i="21"/>
  <c r="X34" i="21"/>
  <c r="Z34" i="21" s="1"/>
  <c r="V34" i="21"/>
  <c r="N34" i="21"/>
  <c r="L34" i="21"/>
  <c r="B34" i="21"/>
  <c r="Z33" i="21"/>
  <c r="X33" i="21"/>
  <c r="L33" i="21"/>
  <c r="N33" i="21" s="1"/>
  <c r="B33" i="21"/>
  <c r="T32" i="21"/>
  <c r="P32" i="21"/>
  <c r="L32" i="21"/>
  <c r="N32" i="21" s="1"/>
  <c r="H32" i="21"/>
  <c r="D32" i="21"/>
  <c r="B32" i="21"/>
  <c r="T31" i="21"/>
  <c r="V31" i="21" s="1"/>
  <c r="P31" i="21"/>
  <c r="X31" i="21" s="1"/>
  <c r="Z31" i="21" s="1"/>
  <c r="N31" i="21"/>
  <c r="H31" i="21"/>
  <c r="L31" i="21" s="1"/>
  <c r="D31" i="21"/>
  <c r="Z27" i="21"/>
  <c r="X27" i="21"/>
  <c r="V27" i="21"/>
  <c r="N27" i="21"/>
  <c r="L27" i="21"/>
  <c r="B27" i="21"/>
  <c r="Z26" i="21"/>
  <c r="X26" i="21"/>
  <c r="V26" i="21"/>
  <c r="N26" i="21"/>
  <c r="L26" i="21"/>
  <c r="B26" i="21"/>
  <c r="X25" i="21"/>
  <c r="Z25" i="21" s="1"/>
  <c r="V25" i="21"/>
  <c r="L25" i="21"/>
  <c r="N25" i="21" s="1"/>
  <c r="B25" i="21"/>
  <c r="V24" i="21"/>
  <c r="T24" i="21"/>
  <c r="P24" i="21"/>
  <c r="H24" i="21"/>
  <c r="D24" i="21"/>
  <c r="Z22" i="21"/>
  <c r="P22" i="21"/>
  <c r="X22" i="21" s="1"/>
  <c r="N22" i="21"/>
  <c r="D22" i="21"/>
  <c r="L22" i="21" s="1"/>
  <c r="B22" i="21"/>
  <c r="Z21" i="21"/>
  <c r="P21" i="21"/>
  <c r="X21" i="21" s="1"/>
  <c r="N21" i="21"/>
  <c r="L21" i="21"/>
  <c r="D21" i="21"/>
  <c r="B21" i="21"/>
  <c r="Z20" i="21"/>
  <c r="X20" i="21"/>
  <c r="P20" i="2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X18" i="21"/>
  <c r="P18" i="21"/>
  <c r="N18" i="21"/>
  <c r="L18" i="21"/>
  <c r="D18" i="21"/>
  <c r="B18" i="21"/>
  <c r="Z17" i="21"/>
  <c r="X17" i="21"/>
  <c r="P17" i="21"/>
  <c r="L17" i="21"/>
  <c r="N17" i="21" s="1"/>
  <c r="D17" i="21"/>
  <c r="B17" i="21"/>
  <c r="Z16" i="21"/>
  <c r="P16" i="21"/>
  <c r="X16" i="21" s="1"/>
  <c r="N16" i="21"/>
  <c r="D16" i="21"/>
  <c r="L16" i="21" s="1"/>
  <c r="B16" i="21"/>
  <c r="Z15" i="21"/>
  <c r="P15" i="21"/>
  <c r="X15" i="21" s="1"/>
  <c r="N15" i="21"/>
  <c r="L15" i="21"/>
  <c r="D15" i="21"/>
  <c r="B15" i="21"/>
  <c r="Z14" i="21"/>
  <c r="X14" i="21"/>
  <c r="P14" i="21"/>
  <c r="N14" i="21"/>
  <c r="L14" i="21"/>
  <c r="D14" i="21"/>
  <c r="B14" i="21"/>
  <c r="P13" i="21"/>
  <c r="D13" i="21"/>
  <c r="L13" i="21" s="1"/>
  <c r="N13" i="21" s="1"/>
  <c r="B13" i="21"/>
  <c r="T12" i="21"/>
  <c r="V109" i="21" s="1"/>
  <c r="H12" i="21"/>
  <c r="J111" i="21" s="1"/>
  <c r="D4" i="21"/>
  <c r="X297" i="18"/>
  <c r="Z297" i="18" s="1"/>
  <c r="L297" i="18"/>
  <c r="N297" i="18" s="1"/>
  <c r="Z293" i="18"/>
  <c r="X293" i="18"/>
  <c r="P293" i="18"/>
  <c r="N293" i="18"/>
  <c r="D293" i="18"/>
  <c r="L293" i="18" s="1"/>
  <c r="B293" i="18"/>
  <c r="Z292" i="18"/>
  <c r="X292" i="18"/>
  <c r="P292" i="18"/>
  <c r="L292" i="18"/>
  <c r="N292" i="18" s="1"/>
  <c r="D292" i="18"/>
  <c r="B292" i="18"/>
  <c r="Z291" i="18"/>
  <c r="X291" i="18"/>
  <c r="V291" i="18"/>
  <c r="P291" i="18"/>
  <c r="N291" i="18"/>
  <c r="D291" i="18"/>
  <c r="L291" i="18" s="1"/>
  <c r="B291" i="18"/>
  <c r="Z290" i="18"/>
  <c r="V290" i="18"/>
  <c r="P290" i="18"/>
  <c r="X290" i="18" s="1"/>
  <c r="N290" i="18"/>
  <c r="L290" i="18"/>
  <c r="D290" i="18"/>
  <c r="B290" i="18"/>
  <c r="P289" i="18"/>
  <c r="X289" i="18" s="1"/>
  <c r="Z289" i="18" s="1"/>
  <c r="J289" i="18"/>
  <c r="D289" i="18"/>
  <c r="L289" i="18" s="1"/>
  <c r="N289" i="18" s="1"/>
  <c r="B289" i="18"/>
  <c r="P288" i="18"/>
  <c r="N288" i="18"/>
  <c r="L288" i="18"/>
  <c r="D288" i="18"/>
  <c r="B288" i="18"/>
  <c r="Z287" i="18"/>
  <c r="X287" i="18"/>
  <c r="P287" i="18"/>
  <c r="N287" i="18"/>
  <c r="L287" i="18"/>
  <c r="D287" i="18"/>
  <c r="B287" i="18"/>
  <c r="Z286" i="18"/>
  <c r="P286" i="18"/>
  <c r="X286" i="18" s="1"/>
  <c r="N286" i="18"/>
  <c r="L286" i="18"/>
  <c r="D286" i="18"/>
  <c r="B286" i="18"/>
  <c r="Z285" i="18"/>
  <c r="X285" i="18"/>
  <c r="P285" i="18"/>
  <c r="N285" i="18"/>
  <c r="D285" i="18"/>
  <c r="L285" i="18" s="1"/>
  <c r="B285" i="18"/>
  <c r="Z284" i="18"/>
  <c r="P284" i="18"/>
  <c r="X284" i="18" s="1"/>
  <c r="N284" i="18"/>
  <c r="D284" i="18"/>
  <c r="L284" i="18" s="1"/>
  <c r="B284" i="18"/>
  <c r="Z283" i="18"/>
  <c r="X283" i="18"/>
  <c r="P283" i="18"/>
  <c r="N283" i="18"/>
  <c r="D283" i="18"/>
  <c r="L283" i="18" s="1"/>
  <c r="B283" i="18"/>
  <c r="Z282" i="18"/>
  <c r="V282" i="18"/>
  <c r="P282" i="18"/>
  <c r="X282" i="18" s="1"/>
  <c r="N282" i="18"/>
  <c r="L282" i="18"/>
  <c r="D282" i="18"/>
  <c r="B282" i="18"/>
  <c r="T281" i="18"/>
  <c r="H281" i="18"/>
  <c r="Z279" i="18"/>
  <c r="X279" i="18"/>
  <c r="L279" i="18"/>
  <c r="N279" i="18" s="1"/>
  <c r="B279" i="18"/>
  <c r="T278" i="18"/>
  <c r="P278" i="18"/>
  <c r="X278" i="18" s="1"/>
  <c r="N278" i="18"/>
  <c r="H278" i="18"/>
  <c r="D278" i="18"/>
  <c r="L278" i="18" s="1"/>
  <c r="B278" i="18"/>
  <c r="X277" i="18"/>
  <c r="Z277" i="18" s="1"/>
  <c r="V277" i="18"/>
  <c r="N277" i="18"/>
  <c r="L277" i="18"/>
  <c r="B277" i="18"/>
  <c r="Z276" i="18"/>
  <c r="X276" i="18"/>
  <c r="N276" i="18"/>
  <c r="L276" i="18"/>
  <c r="B276" i="18"/>
  <c r="Z275" i="18"/>
  <c r="X275" i="18"/>
  <c r="N275" i="18"/>
  <c r="L275" i="18"/>
  <c r="B275" i="18"/>
  <c r="V274" i="18"/>
  <c r="T274" i="18"/>
  <c r="P274" i="18"/>
  <c r="X274" i="18" s="1"/>
  <c r="Z274" i="18" s="1"/>
  <c r="H274" i="18"/>
  <c r="D274" i="18"/>
  <c r="L274" i="18" s="1"/>
  <c r="N274" i="18" s="1"/>
  <c r="B274" i="18"/>
  <c r="X273" i="18"/>
  <c r="Z273" i="18" s="1"/>
  <c r="L273" i="18"/>
  <c r="N273" i="18" s="1"/>
  <c r="B273" i="18"/>
  <c r="X272" i="18"/>
  <c r="Z272" i="18" s="1"/>
  <c r="T272" i="18"/>
  <c r="P272" i="18"/>
  <c r="N272" i="18"/>
  <c r="L272" i="18"/>
  <c r="H272" i="18"/>
  <c r="D272" i="18"/>
  <c r="B272" i="18"/>
  <c r="Z271" i="18"/>
  <c r="X271" i="18"/>
  <c r="L271" i="18"/>
  <c r="N271" i="18" s="1"/>
  <c r="B271" i="18"/>
  <c r="Z270" i="18"/>
  <c r="X270" i="18"/>
  <c r="V270" i="18"/>
  <c r="L270" i="18"/>
  <c r="N270" i="18" s="1"/>
  <c r="J270" i="18"/>
  <c r="B270" i="18"/>
  <c r="T269" i="18"/>
  <c r="P269" i="18"/>
  <c r="X269" i="18" s="1"/>
  <c r="H269" i="18"/>
  <c r="N269" i="18" s="1"/>
  <c r="D269" i="18"/>
  <c r="L269" i="18" s="1"/>
  <c r="B269" i="18"/>
  <c r="Z268" i="18"/>
  <c r="X268" i="18"/>
  <c r="N268" i="18"/>
  <c r="L268" i="18"/>
  <c r="B268" i="18"/>
  <c r="X267" i="18"/>
  <c r="Z267" i="18" s="1"/>
  <c r="L267" i="18"/>
  <c r="N267" i="18" s="1"/>
  <c r="B267" i="18"/>
  <c r="X266" i="18"/>
  <c r="Z266" i="18" s="1"/>
  <c r="V266" i="18"/>
  <c r="N266" i="18"/>
  <c r="L266" i="18"/>
  <c r="B266" i="18"/>
  <c r="X265" i="18"/>
  <c r="Z265" i="18" s="1"/>
  <c r="V265" i="18"/>
  <c r="L265" i="18"/>
  <c r="N265" i="18" s="1"/>
  <c r="B265" i="18"/>
  <c r="Z264" i="18"/>
  <c r="X264" i="18"/>
  <c r="L264" i="18"/>
  <c r="N264" i="18" s="1"/>
  <c r="B264" i="18"/>
  <c r="X263" i="18"/>
  <c r="Z263" i="18" s="1"/>
  <c r="L263" i="18"/>
  <c r="N263" i="18" s="1"/>
  <c r="B263" i="18"/>
  <c r="X262" i="18"/>
  <c r="Z262" i="18" s="1"/>
  <c r="V262" i="18"/>
  <c r="N262" i="18"/>
  <c r="L262" i="18"/>
  <c r="B262" i="18"/>
  <c r="X261" i="18"/>
  <c r="V261" i="18"/>
  <c r="T261" i="18"/>
  <c r="Z261" i="18" s="1"/>
  <c r="P261" i="18"/>
  <c r="L261" i="18"/>
  <c r="H261" i="18"/>
  <c r="N261" i="18" s="1"/>
  <c r="D261" i="18"/>
  <c r="B261" i="18"/>
  <c r="X260" i="18"/>
  <c r="Z260" i="18" s="1"/>
  <c r="N260" i="18"/>
  <c r="L260" i="18"/>
  <c r="B260" i="18"/>
  <c r="X259" i="18"/>
  <c r="Z259" i="18" s="1"/>
  <c r="N259" i="18"/>
  <c r="L259" i="18"/>
  <c r="B259" i="18"/>
  <c r="Z258" i="18"/>
  <c r="X258" i="18"/>
  <c r="T258" i="18"/>
  <c r="P258" i="18"/>
  <c r="N258" i="18"/>
  <c r="L258" i="18"/>
  <c r="H258" i="18"/>
  <c r="D258" i="18"/>
  <c r="B258" i="18"/>
  <c r="X257" i="18"/>
  <c r="Z257" i="18" s="1"/>
  <c r="L257" i="18"/>
  <c r="N257" i="18" s="1"/>
  <c r="B257" i="18"/>
  <c r="Z256" i="18"/>
  <c r="X256" i="18"/>
  <c r="V256" i="18"/>
  <c r="N256" i="18"/>
  <c r="L256" i="18"/>
  <c r="B256" i="18"/>
  <c r="Z255" i="18"/>
  <c r="X255" i="18"/>
  <c r="L255" i="18"/>
  <c r="N255" i="18" s="1"/>
  <c r="B255" i="18"/>
  <c r="Z254" i="18"/>
  <c r="X254" i="18"/>
  <c r="V254" i="18"/>
  <c r="L254" i="18"/>
  <c r="N254" i="18" s="1"/>
  <c r="J254" i="18"/>
  <c r="B254" i="18"/>
  <c r="T253" i="18"/>
  <c r="P253" i="18"/>
  <c r="X253" i="18" s="1"/>
  <c r="H253" i="18"/>
  <c r="D253" i="18"/>
  <c r="B253" i="18"/>
  <c r="Z252" i="18"/>
  <c r="X252" i="18"/>
  <c r="N252" i="18"/>
  <c r="L252" i="18"/>
  <c r="B252" i="18"/>
  <c r="X251" i="18"/>
  <c r="Z251" i="18" s="1"/>
  <c r="L251" i="18"/>
  <c r="N251" i="18" s="1"/>
  <c r="B251" i="18"/>
  <c r="X250" i="18"/>
  <c r="Z250" i="18" s="1"/>
  <c r="V250" i="18"/>
  <c r="N250" i="18"/>
  <c r="L250" i="18"/>
  <c r="B250" i="18"/>
  <c r="X249" i="18"/>
  <c r="Z249" i="18" s="1"/>
  <c r="V249" i="18"/>
  <c r="L249" i="18"/>
  <c r="N249" i="18" s="1"/>
  <c r="B249" i="18"/>
  <c r="T248" i="18"/>
  <c r="P248" i="18"/>
  <c r="X248" i="18" s="1"/>
  <c r="Z248" i="18" s="1"/>
  <c r="J248" i="18"/>
  <c r="H248" i="18"/>
  <c r="D248" i="18"/>
  <c r="L248" i="18" s="1"/>
  <c r="N248" i="18" s="1"/>
  <c r="B248" i="18"/>
  <c r="X247" i="18"/>
  <c r="Z247" i="18" s="1"/>
  <c r="N247" i="18"/>
  <c r="L247" i="18"/>
  <c r="B247" i="18"/>
  <c r="Z246" i="18"/>
  <c r="X246" i="18"/>
  <c r="N246" i="18"/>
  <c r="L246" i="18"/>
  <c r="J246" i="18"/>
  <c r="B246" i="18"/>
  <c r="X245" i="18"/>
  <c r="Z245" i="18" s="1"/>
  <c r="L245" i="18"/>
  <c r="N245" i="18" s="1"/>
  <c r="B245" i="18"/>
  <c r="Z244" i="18"/>
  <c r="X244" i="18"/>
  <c r="N244" i="18"/>
  <c r="L244" i="18"/>
  <c r="B244" i="18"/>
  <c r="T243" i="18"/>
  <c r="P243" i="18"/>
  <c r="L243" i="18"/>
  <c r="H243" i="18"/>
  <c r="N243" i="18" s="1"/>
  <c r="D243" i="18"/>
  <c r="B243" i="18"/>
  <c r="Z242" i="18"/>
  <c r="X242" i="18"/>
  <c r="V242" i="18"/>
  <c r="L242" i="18"/>
  <c r="N242" i="18" s="1"/>
  <c r="B242" i="18"/>
  <c r="T241" i="18"/>
  <c r="Z241" i="18" s="1"/>
  <c r="P241" i="18"/>
  <c r="X241" i="18" s="1"/>
  <c r="N241" i="18"/>
  <c r="H241" i="18"/>
  <c r="D241" i="18"/>
  <c r="L241" i="18" s="1"/>
  <c r="B241" i="18"/>
  <c r="Z240" i="18"/>
  <c r="X240" i="18"/>
  <c r="N240" i="18"/>
  <c r="L240" i="18"/>
  <c r="B240" i="18"/>
  <c r="X239" i="18"/>
  <c r="T239" i="18"/>
  <c r="Z239" i="18" s="1"/>
  <c r="P239" i="18"/>
  <c r="L239" i="18"/>
  <c r="H239" i="18"/>
  <c r="D239" i="18"/>
  <c r="B239" i="18"/>
  <c r="Z238" i="18"/>
  <c r="X238" i="18"/>
  <c r="N238" i="18"/>
  <c r="L238" i="18"/>
  <c r="J238" i="18"/>
  <c r="B238" i="18"/>
  <c r="X237" i="18"/>
  <c r="T237" i="18"/>
  <c r="P237" i="18"/>
  <c r="H237" i="18"/>
  <c r="D237" i="18"/>
  <c r="B237" i="18"/>
  <c r="Z236" i="18"/>
  <c r="X236" i="18"/>
  <c r="V236" i="18"/>
  <c r="N236" i="18"/>
  <c r="L236" i="18"/>
  <c r="B236" i="18"/>
  <c r="T235" i="18"/>
  <c r="Z235" i="18" s="1"/>
  <c r="P235" i="18"/>
  <c r="X235" i="18" s="1"/>
  <c r="H235" i="18"/>
  <c r="D235" i="18"/>
  <c r="L235" i="18" s="1"/>
  <c r="B235" i="18"/>
  <c r="X234" i="18"/>
  <c r="Z234" i="18" s="1"/>
  <c r="V234" i="18"/>
  <c r="N234" i="18"/>
  <c r="L234" i="18"/>
  <c r="B234" i="18"/>
  <c r="X233" i="18"/>
  <c r="V233" i="18"/>
  <c r="T233" i="18"/>
  <c r="P233" i="18"/>
  <c r="L233" i="18"/>
  <c r="H233" i="18"/>
  <c r="N233" i="18" s="1"/>
  <c r="D233" i="18"/>
  <c r="B233" i="18"/>
  <c r="X232" i="18"/>
  <c r="Z232" i="18" s="1"/>
  <c r="N232" i="18"/>
  <c r="L232" i="18"/>
  <c r="B232" i="18"/>
  <c r="X231" i="18"/>
  <c r="Z231" i="18" s="1"/>
  <c r="N231" i="18"/>
  <c r="L231" i="18"/>
  <c r="B231" i="18"/>
  <c r="Z230" i="18"/>
  <c r="X230" i="18"/>
  <c r="T230" i="18"/>
  <c r="P230" i="18"/>
  <c r="L230" i="18"/>
  <c r="N230" i="18" s="1"/>
  <c r="H230" i="18"/>
  <c r="D230" i="18"/>
  <c r="B230" i="18"/>
  <c r="X229" i="18"/>
  <c r="Z229" i="18" s="1"/>
  <c r="L229" i="18"/>
  <c r="N229" i="18" s="1"/>
  <c r="J229" i="18"/>
  <c r="B229" i="18"/>
  <c r="V228" i="18"/>
  <c r="T228" i="18"/>
  <c r="P228" i="18"/>
  <c r="X228" i="18" s="1"/>
  <c r="Z228" i="18" s="1"/>
  <c r="H228" i="18"/>
  <c r="D228" i="18"/>
  <c r="L228" i="18" s="1"/>
  <c r="B228" i="18"/>
  <c r="X227" i="18"/>
  <c r="Z227" i="18" s="1"/>
  <c r="L227" i="18"/>
  <c r="N227" i="18" s="1"/>
  <c r="B227" i="18"/>
  <c r="X226" i="18"/>
  <c r="Z226" i="18" s="1"/>
  <c r="V226" i="18"/>
  <c r="T226" i="18"/>
  <c r="P226" i="18"/>
  <c r="H226" i="18"/>
  <c r="D226" i="18"/>
  <c r="L226" i="18" s="1"/>
  <c r="N226" i="18" s="1"/>
  <c r="B226" i="18"/>
  <c r="Z225" i="18"/>
  <c r="X225" i="18"/>
  <c r="N225" i="18"/>
  <c r="L225" i="18"/>
  <c r="B225" i="18"/>
  <c r="Z224" i="18"/>
  <c r="X224" i="18"/>
  <c r="N224" i="18"/>
  <c r="L224" i="18"/>
  <c r="B224" i="18"/>
  <c r="T223" i="18"/>
  <c r="P223" i="18"/>
  <c r="L223" i="18"/>
  <c r="H223" i="18"/>
  <c r="D223" i="18"/>
  <c r="B223" i="18"/>
  <c r="Z222" i="18"/>
  <c r="X222" i="18"/>
  <c r="V222" i="18"/>
  <c r="N222" i="18"/>
  <c r="L222" i="18"/>
  <c r="B222" i="18"/>
  <c r="X221" i="18"/>
  <c r="Z221" i="18" s="1"/>
  <c r="L221" i="18"/>
  <c r="N221" i="18" s="1"/>
  <c r="B221" i="18"/>
  <c r="Z220" i="18"/>
  <c r="V220" i="18"/>
  <c r="T220" i="18"/>
  <c r="P220" i="18"/>
  <c r="X220" i="18" s="1"/>
  <c r="H220" i="18"/>
  <c r="D220" i="18"/>
  <c r="B220" i="18"/>
  <c r="X219" i="18"/>
  <c r="Z219" i="18" s="1"/>
  <c r="L219" i="18"/>
  <c r="N219" i="18" s="1"/>
  <c r="B219" i="18"/>
  <c r="X218" i="18"/>
  <c r="Z218" i="18" s="1"/>
  <c r="V218" i="18"/>
  <c r="N218" i="18"/>
  <c r="L218" i="18"/>
  <c r="B218" i="18"/>
  <c r="X217" i="18"/>
  <c r="Z217" i="18" s="1"/>
  <c r="V217" i="18"/>
  <c r="L217" i="18"/>
  <c r="N217" i="18" s="1"/>
  <c r="B217" i="18"/>
  <c r="Z216" i="18"/>
  <c r="X216" i="18"/>
  <c r="L216" i="18"/>
  <c r="N216" i="18" s="1"/>
  <c r="B216" i="18"/>
  <c r="X215" i="18"/>
  <c r="T215" i="18"/>
  <c r="Z215" i="18" s="1"/>
  <c r="P215" i="18"/>
  <c r="H215" i="18"/>
  <c r="D215" i="18"/>
  <c r="L215" i="18" s="1"/>
  <c r="B215" i="18"/>
  <c r="Z214" i="18"/>
  <c r="X214" i="18"/>
  <c r="V214" i="18"/>
  <c r="N214" i="18"/>
  <c r="L214" i="18"/>
  <c r="B214" i="18"/>
  <c r="X213" i="18"/>
  <c r="T213" i="18"/>
  <c r="Z213" i="18" s="1"/>
  <c r="P213" i="18"/>
  <c r="H213" i="18"/>
  <c r="D213" i="18"/>
  <c r="B213" i="18"/>
  <c r="Z212" i="18"/>
  <c r="X212" i="18"/>
  <c r="V212" i="18"/>
  <c r="N212" i="18"/>
  <c r="L212" i="18"/>
  <c r="B212" i="18"/>
  <c r="Z211" i="18"/>
  <c r="X211" i="18"/>
  <c r="L211" i="18"/>
  <c r="N211" i="18" s="1"/>
  <c r="B211" i="18"/>
  <c r="V210" i="18"/>
  <c r="T210" i="18"/>
  <c r="P210" i="18"/>
  <c r="X210" i="18" s="1"/>
  <c r="H210" i="18"/>
  <c r="D210" i="18"/>
  <c r="L210" i="18" s="1"/>
  <c r="N210" i="18" s="1"/>
  <c r="B210" i="18"/>
  <c r="X209" i="18"/>
  <c r="Z209" i="18" s="1"/>
  <c r="V209" i="18"/>
  <c r="L209" i="18"/>
  <c r="N209" i="18" s="1"/>
  <c r="B209" i="18"/>
  <c r="V208" i="18"/>
  <c r="T208" i="18"/>
  <c r="P208" i="18"/>
  <c r="X208" i="18" s="1"/>
  <c r="Z208" i="18" s="1"/>
  <c r="L208" i="18"/>
  <c r="N208" i="18" s="1"/>
  <c r="J208" i="18"/>
  <c r="H208" i="18"/>
  <c r="D208" i="18"/>
  <c r="B208" i="18"/>
  <c r="Z207" i="18"/>
  <c r="X207" i="18"/>
  <c r="N207" i="18"/>
  <c r="L207" i="18"/>
  <c r="B207" i="18"/>
  <c r="Z206" i="18"/>
  <c r="X206" i="18"/>
  <c r="V206" i="18"/>
  <c r="N206" i="18"/>
  <c r="L206" i="18"/>
  <c r="J206" i="18"/>
  <c r="B206" i="18"/>
  <c r="X205" i="18"/>
  <c r="Z205" i="18" s="1"/>
  <c r="L205" i="18"/>
  <c r="N205" i="18" s="1"/>
  <c r="B205" i="18"/>
  <c r="Z204" i="18"/>
  <c r="X204" i="18"/>
  <c r="N204" i="18"/>
  <c r="L204" i="18"/>
  <c r="B204" i="18"/>
  <c r="Z203" i="18"/>
  <c r="X203" i="18"/>
  <c r="N203" i="18"/>
  <c r="L203" i="18"/>
  <c r="B203" i="18"/>
  <c r="Z202" i="18"/>
  <c r="X202" i="18"/>
  <c r="V202" i="18"/>
  <c r="N202" i="18"/>
  <c r="L202" i="18"/>
  <c r="J202" i="18"/>
  <c r="B202" i="18"/>
  <c r="X201" i="18"/>
  <c r="Z201" i="18" s="1"/>
  <c r="L201" i="18"/>
  <c r="N201" i="18" s="1"/>
  <c r="B201" i="18"/>
  <c r="Z200" i="18"/>
  <c r="X200" i="18"/>
  <c r="N200" i="18"/>
  <c r="L200" i="18"/>
  <c r="B200" i="18"/>
  <c r="X199" i="18"/>
  <c r="Z199" i="18" s="1"/>
  <c r="N199" i="18"/>
  <c r="L199" i="18"/>
  <c r="B199" i="18"/>
  <c r="Z198" i="18"/>
  <c r="X198" i="18"/>
  <c r="V198" i="18"/>
  <c r="N198" i="18"/>
  <c r="L198" i="18"/>
  <c r="J198" i="18"/>
  <c r="B198" i="18"/>
  <c r="X197" i="18"/>
  <c r="T197" i="18"/>
  <c r="P197" i="18"/>
  <c r="H197" i="18"/>
  <c r="D197" i="18"/>
  <c r="B197" i="18"/>
  <c r="Z196" i="18"/>
  <c r="X196" i="18"/>
  <c r="V196" i="18"/>
  <c r="N196" i="18"/>
  <c r="L196" i="18"/>
  <c r="B196" i="18"/>
  <c r="Z195" i="18"/>
  <c r="X195" i="18"/>
  <c r="L195" i="18"/>
  <c r="N195" i="18" s="1"/>
  <c r="B195" i="18"/>
  <c r="Z194" i="18"/>
  <c r="X194" i="18"/>
  <c r="V194" i="18"/>
  <c r="L194" i="18"/>
  <c r="N194" i="18" s="1"/>
  <c r="J194" i="18"/>
  <c r="B194" i="18"/>
  <c r="Z193" i="18"/>
  <c r="X193" i="18"/>
  <c r="N193" i="18"/>
  <c r="L193" i="18"/>
  <c r="B193" i="18"/>
  <c r="Z192" i="18"/>
  <c r="X192" i="18"/>
  <c r="V192" i="18"/>
  <c r="N192" i="18"/>
  <c r="L192" i="18"/>
  <c r="B192" i="18"/>
  <c r="Z191" i="18"/>
  <c r="X191" i="18"/>
  <c r="L191" i="18"/>
  <c r="N191" i="18" s="1"/>
  <c r="B191" i="18"/>
  <c r="Z190" i="18"/>
  <c r="X190" i="18"/>
  <c r="V190" i="18"/>
  <c r="L190" i="18"/>
  <c r="N190" i="18" s="1"/>
  <c r="J190" i="18"/>
  <c r="B190" i="18"/>
  <c r="X189" i="18"/>
  <c r="Z189" i="18" s="1"/>
  <c r="L189" i="18"/>
  <c r="N189" i="18" s="1"/>
  <c r="J189" i="18"/>
  <c r="B189" i="18"/>
  <c r="Z188" i="18"/>
  <c r="X188" i="18"/>
  <c r="V188" i="18"/>
  <c r="N188" i="18"/>
  <c r="L188" i="18"/>
  <c r="B188" i="18"/>
  <c r="Z187" i="18"/>
  <c r="X187" i="18"/>
  <c r="L187" i="18"/>
  <c r="N187" i="18" s="1"/>
  <c r="B187" i="18"/>
  <c r="V186" i="18"/>
  <c r="T186" i="18"/>
  <c r="P186" i="18"/>
  <c r="X186" i="18" s="1"/>
  <c r="H186" i="18"/>
  <c r="D186" i="18"/>
  <c r="L186" i="18" s="1"/>
  <c r="N186" i="18" s="1"/>
  <c r="B186" i="18"/>
  <c r="T185" i="18"/>
  <c r="V185" i="18" s="1"/>
  <c r="P185" i="18"/>
  <c r="X185" i="18" s="1"/>
  <c r="H185" i="18"/>
  <c r="D185" i="18"/>
  <c r="L185" i="18" s="1"/>
  <c r="Z181" i="18"/>
  <c r="X181" i="18"/>
  <c r="V181" i="18"/>
  <c r="N181" i="18"/>
  <c r="L181" i="18"/>
  <c r="B181" i="18"/>
  <c r="Z180" i="18"/>
  <c r="X180" i="18"/>
  <c r="V180" i="18"/>
  <c r="N180" i="18"/>
  <c r="L180" i="18"/>
  <c r="B180" i="18"/>
  <c r="Z179" i="18"/>
  <c r="X179" i="18"/>
  <c r="N179" i="18"/>
  <c r="L179" i="18"/>
  <c r="B179" i="18"/>
  <c r="Z178" i="18"/>
  <c r="X178" i="18"/>
  <c r="V178" i="18"/>
  <c r="N178" i="18"/>
  <c r="L178" i="18"/>
  <c r="B178" i="18"/>
  <c r="Z177" i="18"/>
  <c r="X177" i="18"/>
  <c r="V177" i="18"/>
  <c r="N177" i="18"/>
  <c r="L177" i="18"/>
  <c r="B177" i="18"/>
  <c r="Z176" i="18"/>
  <c r="X176" i="18"/>
  <c r="V176" i="18"/>
  <c r="N176" i="18"/>
  <c r="L176" i="18"/>
  <c r="B176" i="18"/>
  <c r="Z175" i="18"/>
  <c r="X175" i="18"/>
  <c r="N175" i="18"/>
  <c r="L175" i="18"/>
  <c r="B175" i="18"/>
  <c r="Z174" i="18"/>
  <c r="X174" i="18"/>
  <c r="V174" i="18"/>
  <c r="N174" i="18"/>
  <c r="L174" i="18"/>
  <c r="B174" i="18"/>
  <c r="Z173" i="18"/>
  <c r="X173" i="18"/>
  <c r="V173" i="18"/>
  <c r="N173" i="18"/>
  <c r="L173" i="18"/>
  <c r="B173" i="18"/>
  <c r="Z172" i="18"/>
  <c r="X172" i="18"/>
  <c r="V172" i="18"/>
  <c r="N172" i="18"/>
  <c r="L172" i="18"/>
  <c r="B172" i="18"/>
  <c r="Z171" i="18"/>
  <c r="X171" i="18"/>
  <c r="N171" i="18"/>
  <c r="L171" i="18"/>
  <c r="B171" i="18"/>
  <c r="Z170" i="18"/>
  <c r="X170" i="18"/>
  <c r="V170" i="18"/>
  <c r="N170" i="18"/>
  <c r="L170" i="18"/>
  <c r="B170" i="18"/>
  <c r="Z169" i="18"/>
  <c r="X169" i="18"/>
  <c r="V169" i="18"/>
  <c r="N169" i="18"/>
  <c r="L169" i="18"/>
  <c r="B169" i="18"/>
  <c r="Z168" i="18"/>
  <c r="X168" i="18"/>
  <c r="V168" i="18"/>
  <c r="N168" i="18"/>
  <c r="L168" i="18"/>
  <c r="B168" i="18"/>
  <c r="Z167" i="18"/>
  <c r="X167" i="18"/>
  <c r="N167" i="18"/>
  <c r="L167" i="18"/>
  <c r="B167" i="18"/>
  <c r="Z166" i="18"/>
  <c r="X166" i="18"/>
  <c r="V166" i="18"/>
  <c r="N166" i="18"/>
  <c r="L166" i="18"/>
  <c r="B166" i="18"/>
  <c r="Z165" i="18"/>
  <c r="X165" i="18"/>
  <c r="V165" i="18"/>
  <c r="N165" i="18"/>
  <c r="L165" i="18"/>
  <c r="B165" i="18"/>
  <c r="Z164" i="18"/>
  <c r="X164" i="18"/>
  <c r="V164" i="18"/>
  <c r="N164" i="18"/>
  <c r="L164" i="18"/>
  <c r="B164" i="18"/>
  <c r="Z163" i="18"/>
  <c r="X163" i="18"/>
  <c r="N163" i="18"/>
  <c r="L163" i="18"/>
  <c r="B163" i="18"/>
  <c r="Z162" i="18"/>
  <c r="X162" i="18"/>
  <c r="V162" i="18"/>
  <c r="N162" i="18"/>
  <c r="L162" i="18"/>
  <c r="B162" i="18"/>
  <c r="Z161" i="18"/>
  <c r="X161" i="18"/>
  <c r="V161" i="18"/>
  <c r="N161" i="18"/>
  <c r="L161" i="18"/>
  <c r="B161" i="18"/>
  <c r="Z160" i="18"/>
  <c r="X160" i="18"/>
  <c r="V160" i="18"/>
  <c r="N160" i="18"/>
  <c r="L160" i="18"/>
  <c r="B160" i="18"/>
  <c r="Z159" i="18"/>
  <c r="X159" i="18"/>
  <c r="N159" i="18"/>
  <c r="L159" i="18"/>
  <c r="B159" i="18"/>
  <c r="Z158" i="18"/>
  <c r="X158" i="18"/>
  <c r="V158" i="18"/>
  <c r="N158" i="18"/>
  <c r="L158" i="18"/>
  <c r="B158" i="18"/>
  <c r="Z157" i="18"/>
  <c r="X157" i="18"/>
  <c r="V157" i="18"/>
  <c r="N157" i="18"/>
  <c r="L157" i="18"/>
  <c r="B157" i="18"/>
  <c r="Z156" i="18"/>
  <c r="X156" i="18"/>
  <c r="V156" i="18"/>
  <c r="N156" i="18"/>
  <c r="L156" i="18"/>
  <c r="B156" i="18"/>
  <c r="Z155" i="18"/>
  <c r="X155" i="18"/>
  <c r="N155" i="18"/>
  <c r="L155" i="18"/>
  <c r="B155" i="18"/>
  <c r="Z154" i="18"/>
  <c r="X154" i="18"/>
  <c r="V154" i="18"/>
  <c r="N154" i="18"/>
  <c r="L154" i="18"/>
  <c r="B154" i="18"/>
  <c r="Z153" i="18"/>
  <c r="X153" i="18"/>
  <c r="V153" i="18"/>
  <c r="N153" i="18"/>
  <c r="L153" i="18"/>
  <c r="B153" i="18"/>
  <c r="Z152" i="18"/>
  <c r="X152" i="18"/>
  <c r="V152" i="18"/>
  <c r="N152" i="18"/>
  <c r="L152" i="18"/>
  <c r="B152" i="18"/>
  <c r="Z151" i="18"/>
  <c r="X151" i="18"/>
  <c r="N151" i="18"/>
  <c r="L151" i="18"/>
  <c r="B151" i="18"/>
  <c r="Z150" i="18"/>
  <c r="X150" i="18"/>
  <c r="V150" i="18"/>
  <c r="N150" i="18"/>
  <c r="L150" i="18"/>
  <c r="B150" i="18"/>
  <c r="Z149" i="18"/>
  <c r="X149" i="18"/>
  <c r="V149" i="18"/>
  <c r="N149" i="18"/>
  <c r="L149" i="18"/>
  <c r="B149" i="18"/>
  <c r="Z148" i="18"/>
  <c r="X148" i="18"/>
  <c r="V148" i="18"/>
  <c r="N148" i="18"/>
  <c r="L148" i="18"/>
  <c r="B148" i="18"/>
  <c r="Z147" i="18"/>
  <c r="X147" i="18"/>
  <c r="N147" i="18"/>
  <c r="L147" i="18"/>
  <c r="B147" i="18"/>
  <c r="Z146" i="18"/>
  <c r="X146" i="18"/>
  <c r="V146" i="18"/>
  <c r="N146" i="18"/>
  <c r="L146" i="18"/>
  <c r="B146" i="18"/>
  <c r="Z145" i="18"/>
  <c r="X145" i="18"/>
  <c r="V145" i="18"/>
  <c r="N145" i="18"/>
  <c r="L145" i="18"/>
  <c r="B145" i="18"/>
  <c r="Z144" i="18"/>
  <c r="X144" i="18"/>
  <c r="V144" i="18"/>
  <c r="N144" i="18"/>
  <c r="L144" i="18"/>
  <c r="B144" i="18"/>
  <c r="Z143" i="18"/>
  <c r="X143" i="18"/>
  <c r="V143" i="18"/>
  <c r="N143" i="18"/>
  <c r="L143" i="18"/>
  <c r="B143" i="18"/>
  <c r="Z142" i="18"/>
  <c r="X142" i="18"/>
  <c r="V142" i="18"/>
  <c r="N142" i="18"/>
  <c r="L142" i="18"/>
  <c r="B142" i="18"/>
  <c r="Z141" i="18"/>
  <c r="X141" i="18"/>
  <c r="V141" i="18"/>
  <c r="N141" i="18"/>
  <c r="L141" i="18"/>
  <c r="B141" i="18"/>
  <c r="Z140" i="18"/>
  <c r="X140" i="18"/>
  <c r="V140" i="18"/>
  <c r="N140" i="18"/>
  <c r="L140" i="18"/>
  <c r="B140" i="18"/>
  <c r="Z139" i="18"/>
  <c r="X139" i="18"/>
  <c r="V139" i="18"/>
  <c r="N139" i="18"/>
  <c r="L139" i="18"/>
  <c r="B139" i="18"/>
  <c r="Z138" i="18"/>
  <c r="X138" i="18"/>
  <c r="V138" i="18"/>
  <c r="N138" i="18"/>
  <c r="L138" i="18"/>
  <c r="B138" i="18"/>
  <c r="Z137" i="18"/>
  <c r="X137" i="18"/>
  <c r="V137" i="18"/>
  <c r="N137" i="18"/>
  <c r="L137" i="18"/>
  <c r="B137" i="18"/>
  <c r="Z136" i="18"/>
  <c r="X136" i="18"/>
  <c r="V136" i="18"/>
  <c r="N136" i="18"/>
  <c r="L136" i="18"/>
  <c r="B136" i="18"/>
  <c r="Z135" i="18"/>
  <c r="X135" i="18"/>
  <c r="V135" i="18"/>
  <c r="N135" i="18"/>
  <c r="L135" i="18"/>
  <c r="B135" i="18"/>
  <c r="Z134" i="18"/>
  <c r="X134" i="18"/>
  <c r="V134" i="18"/>
  <c r="N134" i="18"/>
  <c r="L134" i="18"/>
  <c r="B134" i="18"/>
  <c r="Z133" i="18"/>
  <c r="X133" i="18"/>
  <c r="V133" i="18"/>
  <c r="N133" i="18"/>
  <c r="L133" i="18"/>
  <c r="B133" i="18"/>
  <c r="Z132" i="18"/>
  <c r="X132" i="18"/>
  <c r="V132" i="18"/>
  <c r="N132" i="18"/>
  <c r="L132" i="18"/>
  <c r="B132" i="18"/>
  <c r="Z131" i="18"/>
  <c r="X131" i="18"/>
  <c r="V131" i="18"/>
  <c r="N131" i="18"/>
  <c r="L131" i="18"/>
  <c r="B131" i="18"/>
  <c r="Z130" i="18"/>
  <c r="X130" i="18"/>
  <c r="V130" i="18"/>
  <c r="N130" i="18"/>
  <c r="L130" i="18"/>
  <c r="B130" i="18"/>
  <c r="Z129" i="18"/>
  <c r="X129" i="18"/>
  <c r="V129" i="18"/>
  <c r="N129" i="18"/>
  <c r="L129" i="18"/>
  <c r="B129" i="18"/>
  <c r="Z128" i="18"/>
  <c r="X128" i="18"/>
  <c r="V128" i="18"/>
  <c r="N128" i="18"/>
  <c r="L128" i="18"/>
  <c r="B128" i="18"/>
  <c r="Z127" i="18"/>
  <c r="X127" i="18"/>
  <c r="V127" i="18"/>
  <c r="N127" i="18"/>
  <c r="L127" i="18"/>
  <c r="B127" i="18"/>
  <c r="Z126" i="18"/>
  <c r="X126" i="18"/>
  <c r="V126" i="18"/>
  <c r="N126" i="18"/>
  <c r="L126" i="18"/>
  <c r="B126" i="18"/>
  <c r="Z125" i="18"/>
  <c r="X125" i="18"/>
  <c r="V125" i="18"/>
  <c r="N125" i="18"/>
  <c r="L125" i="18"/>
  <c r="B125" i="18"/>
  <c r="Z124" i="18"/>
  <c r="X124" i="18"/>
  <c r="V124" i="18"/>
  <c r="L124" i="18"/>
  <c r="N124" i="18" s="1"/>
  <c r="B124" i="18"/>
  <c r="T123" i="18"/>
  <c r="P123" i="18"/>
  <c r="X123" i="18" s="1"/>
  <c r="L123" i="18"/>
  <c r="H123" i="18"/>
  <c r="D123" i="18"/>
  <c r="Z121" i="18"/>
  <c r="X121" i="18"/>
  <c r="P121" i="18"/>
  <c r="N121" i="18"/>
  <c r="D121" i="18"/>
  <c r="L121" i="18" s="1"/>
  <c r="B121" i="18"/>
  <c r="Z120" i="18"/>
  <c r="X120" i="18"/>
  <c r="P120" i="18"/>
  <c r="N120" i="18"/>
  <c r="L120" i="18"/>
  <c r="D120" i="18"/>
  <c r="B120" i="18"/>
  <c r="Z119" i="18"/>
  <c r="X119" i="18"/>
  <c r="P119" i="18"/>
  <c r="N119" i="18"/>
  <c r="D119" i="18"/>
  <c r="L119" i="18" s="1"/>
  <c r="B119" i="18"/>
  <c r="Z118" i="18"/>
  <c r="P118" i="18"/>
  <c r="X118" i="18" s="1"/>
  <c r="N118" i="18"/>
  <c r="L118" i="18"/>
  <c r="D118" i="18"/>
  <c r="B118" i="18"/>
  <c r="Z117" i="18"/>
  <c r="X117" i="18"/>
  <c r="P117" i="18"/>
  <c r="N117" i="18"/>
  <c r="L117" i="18"/>
  <c r="D117" i="18"/>
  <c r="B117" i="18"/>
  <c r="Z116" i="18"/>
  <c r="P116" i="18"/>
  <c r="X116" i="18" s="1"/>
  <c r="N116" i="18"/>
  <c r="L116" i="18"/>
  <c r="D116" i="18"/>
  <c r="B116" i="18"/>
  <c r="Z115" i="18"/>
  <c r="P115" i="18"/>
  <c r="X115" i="18" s="1"/>
  <c r="N115" i="18"/>
  <c r="D115" i="18"/>
  <c r="L115" i="18" s="1"/>
  <c r="B115" i="18"/>
  <c r="Z114" i="18"/>
  <c r="P114" i="18"/>
  <c r="X114" i="18" s="1"/>
  <c r="N114" i="18"/>
  <c r="L114" i="18"/>
  <c r="D114" i="18"/>
  <c r="B114" i="18"/>
  <c r="Z113" i="18"/>
  <c r="P113" i="18"/>
  <c r="X113" i="18" s="1"/>
  <c r="N113" i="18"/>
  <c r="D113" i="18"/>
  <c r="L113" i="18" s="1"/>
  <c r="B113" i="18"/>
  <c r="Z112" i="18"/>
  <c r="P112" i="18"/>
  <c r="X112" i="18" s="1"/>
  <c r="N112" i="18"/>
  <c r="L112" i="18"/>
  <c r="D112" i="18"/>
  <c r="B112" i="18"/>
  <c r="Z111" i="18"/>
  <c r="X111" i="18"/>
  <c r="P111" i="18"/>
  <c r="N111" i="18"/>
  <c r="D111" i="18"/>
  <c r="L111" i="18" s="1"/>
  <c r="B111" i="18"/>
  <c r="Z110" i="18"/>
  <c r="P110" i="18"/>
  <c r="X110" i="18" s="1"/>
  <c r="N110" i="18"/>
  <c r="D110" i="18"/>
  <c r="L110" i="18" s="1"/>
  <c r="B110" i="18"/>
  <c r="Z109" i="18"/>
  <c r="X109" i="18"/>
  <c r="P109" i="18"/>
  <c r="N109" i="18"/>
  <c r="D109" i="18"/>
  <c r="L109" i="18" s="1"/>
  <c r="B109" i="18"/>
  <c r="Z108" i="18"/>
  <c r="X108" i="18"/>
  <c r="P108" i="18"/>
  <c r="N108" i="18"/>
  <c r="L108" i="18"/>
  <c r="D108" i="18"/>
  <c r="B108" i="18"/>
  <c r="Z107" i="18"/>
  <c r="X107" i="18"/>
  <c r="P107" i="18"/>
  <c r="N107" i="18"/>
  <c r="D107" i="18"/>
  <c r="L107" i="18" s="1"/>
  <c r="B107" i="18"/>
  <c r="Z106" i="18"/>
  <c r="P106" i="18"/>
  <c r="X106" i="18" s="1"/>
  <c r="N106" i="18"/>
  <c r="L106" i="18"/>
  <c r="D106" i="18"/>
  <c r="B106" i="18"/>
  <c r="Z105" i="18"/>
  <c r="X105" i="18"/>
  <c r="P105" i="18"/>
  <c r="N105" i="18"/>
  <c r="L105" i="18"/>
  <c r="D105" i="18"/>
  <c r="B105" i="18"/>
  <c r="Z104" i="18"/>
  <c r="P104" i="18"/>
  <c r="X104" i="18" s="1"/>
  <c r="N104" i="18"/>
  <c r="L104" i="18"/>
  <c r="D104" i="18"/>
  <c r="B104" i="18"/>
  <c r="Z103" i="18"/>
  <c r="P103" i="18"/>
  <c r="X103" i="18" s="1"/>
  <c r="N103" i="18"/>
  <c r="D103" i="18"/>
  <c r="L103" i="18" s="1"/>
  <c r="B103" i="18"/>
  <c r="Z102" i="18"/>
  <c r="P102" i="18"/>
  <c r="X102" i="18" s="1"/>
  <c r="N102" i="18"/>
  <c r="L102" i="18"/>
  <c r="D102" i="18"/>
  <c r="B102" i="18"/>
  <c r="Z101" i="18"/>
  <c r="P101" i="18"/>
  <c r="X101" i="18" s="1"/>
  <c r="N101" i="18"/>
  <c r="D101" i="18"/>
  <c r="L101" i="18" s="1"/>
  <c r="B101" i="18"/>
  <c r="Z100" i="18"/>
  <c r="P100" i="18"/>
  <c r="X100" i="18" s="1"/>
  <c r="N100" i="18"/>
  <c r="L100" i="18"/>
  <c r="D100" i="18"/>
  <c r="B100" i="18"/>
  <c r="Z99" i="18"/>
  <c r="X99" i="18"/>
  <c r="P99" i="18"/>
  <c r="N99" i="18"/>
  <c r="D99" i="18"/>
  <c r="L99" i="18" s="1"/>
  <c r="B99" i="18"/>
  <c r="Z98" i="18"/>
  <c r="P98" i="18"/>
  <c r="X98" i="18" s="1"/>
  <c r="N98" i="18"/>
  <c r="D98" i="18"/>
  <c r="L98" i="18" s="1"/>
  <c r="B98" i="18"/>
  <c r="Z97" i="18"/>
  <c r="X97" i="18"/>
  <c r="P97" i="18"/>
  <c r="N97" i="18"/>
  <c r="D97" i="18"/>
  <c r="L97" i="18" s="1"/>
  <c r="B97" i="18"/>
  <c r="Z96" i="18"/>
  <c r="X96" i="18"/>
  <c r="P96" i="18"/>
  <c r="N96" i="18"/>
  <c r="L96" i="18"/>
  <c r="D96" i="18"/>
  <c r="B96" i="18"/>
  <c r="Z95" i="18"/>
  <c r="X95" i="18"/>
  <c r="P95" i="18"/>
  <c r="N95" i="18"/>
  <c r="D95" i="18"/>
  <c r="L95" i="18" s="1"/>
  <c r="B95" i="18"/>
  <c r="Z94" i="18"/>
  <c r="P94" i="18"/>
  <c r="X94" i="18" s="1"/>
  <c r="N94" i="18"/>
  <c r="L94" i="18"/>
  <c r="D94" i="18"/>
  <c r="B94" i="18"/>
  <c r="Z93" i="18"/>
  <c r="X93" i="18"/>
  <c r="P93" i="18"/>
  <c r="N93" i="18"/>
  <c r="L93" i="18"/>
  <c r="D93" i="18"/>
  <c r="B93" i="18"/>
  <c r="Z92" i="18"/>
  <c r="P92" i="18"/>
  <c r="X92" i="18" s="1"/>
  <c r="N92" i="18"/>
  <c r="L92" i="18"/>
  <c r="D92" i="18"/>
  <c r="B92" i="18"/>
  <c r="Z91" i="18"/>
  <c r="P91" i="18"/>
  <c r="X91" i="18" s="1"/>
  <c r="N91" i="18"/>
  <c r="D91" i="18"/>
  <c r="L91" i="18" s="1"/>
  <c r="B91" i="18"/>
  <c r="Z90" i="18"/>
  <c r="P90" i="18"/>
  <c r="X90" i="18" s="1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P88" i="18"/>
  <c r="X88" i="18" s="1"/>
  <c r="N88" i="18"/>
  <c r="L88" i="18"/>
  <c r="D88" i="18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D85" i="18"/>
  <c r="L85" i="18" s="1"/>
  <c r="B85" i="18"/>
  <c r="Z84" i="18"/>
  <c r="X84" i="18"/>
  <c r="P84" i="18"/>
  <c r="N84" i="18"/>
  <c r="L84" i="18"/>
  <c r="D84" i="18"/>
  <c r="B84" i="18"/>
  <c r="Z83" i="18"/>
  <c r="X83" i="18"/>
  <c r="P83" i="18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X81" i="18"/>
  <c r="P81" i="18"/>
  <c r="N81" i="18"/>
  <c r="L81" i="18"/>
  <c r="D81" i="18"/>
  <c r="B81" i="18"/>
  <c r="Z80" i="18"/>
  <c r="P80" i="18"/>
  <c r="X80" i="18" s="1"/>
  <c r="N80" i="18"/>
  <c r="L80" i="18"/>
  <c r="D80" i="18"/>
  <c r="B80" i="18"/>
  <c r="Z79" i="18"/>
  <c r="P79" i="18"/>
  <c r="X79" i="18" s="1"/>
  <c r="N79" i="18"/>
  <c r="D79" i="18"/>
  <c r="L79" i="18" s="1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P67" i="18"/>
  <c r="X67" i="18" s="1"/>
  <c r="N67" i="18"/>
  <c r="D67" i="18"/>
  <c r="L67" i="18" s="1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X59" i="18"/>
  <c r="P59" i="18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P55" i="18"/>
  <c r="X55" i="18" s="1"/>
  <c r="N55" i="18"/>
  <c r="D55" i="18"/>
  <c r="L55" i="18" s="1"/>
  <c r="B55" i="18"/>
  <c r="Z54" i="18"/>
  <c r="P54" i="18"/>
  <c r="X54" i="18" s="1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X51" i="18"/>
  <c r="P51" i="18"/>
  <c r="N51" i="18"/>
  <c r="D51" i="18"/>
  <c r="L51" i="18" s="1"/>
  <c r="B51" i="18"/>
  <c r="P50" i="18"/>
  <c r="X50" i="18" s="1"/>
  <c r="Z50" i="18" s="1"/>
  <c r="D50" i="18"/>
  <c r="L50" i="18" s="1"/>
  <c r="N50" i="18" s="1"/>
  <c r="B50" i="18"/>
  <c r="Z49" i="18"/>
  <c r="X49" i="18"/>
  <c r="P49" i="18"/>
  <c r="N49" i="18"/>
  <c r="D49" i="18"/>
  <c r="L49" i="18" s="1"/>
  <c r="B49" i="18"/>
  <c r="Z48" i="18"/>
  <c r="X48" i="18"/>
  <c r="P48" i="18"/>
  <c r="N48" i="18"/>
  <c r="L48" i="18"/>
  <c r="D48" i="18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L44" i="18"/>
  <c r="D44" i="18"/>
  <c r="B44" i="18"/>
  <c r="Z43" i="18"/>
  <c r="P43" i="18"/>
  <c r="X43" i="18" s="1"/>
  <c r="N43" i="18"/>
  <c r="D43" i="18"/>
  <c r="L43" i="18" s="1"/>
  <c r="B43" i="18"/>
  <c r="Z42" i="18"/>
  <c r="P42" i="18"/>
  <c r="X42" i="18" s="1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L40" i="18"/>
  <c r="D40" i="18"/>
  <c r="B40" i="18"/>
  <c r="Z39" i="18"/>
  <c r="X39" i="18"/>
  <c r="P39" i="18"/>
  <c r="N39" i="18"/>
  <c r="D39" i="18"/>
  <c r="L39" i="18" s="1"/>
  <c r="B39" i="18"/>
  <c r="Z38" i="18"/>
  <c r="P38" i="18"/>
  <c r="X38" i="18" s="1"/>
  <c r="N38" i="18"/>
  <c r="D38" i="18"/>
  <c r="L38" i="18" s="1"/>
  <c r="B38" i="18"/>
  <c r="Z37" i="18"/>
  <c r="X37" i="18"/>
  <c r="P37" i="18"/>
  <c r="N37" i="18"/>
  <c r="D37" i="18"/>
  <c r="L37" i="18" s="1"/>
  <c r="B37" i="18"/>
  <c r="Z36" i="18"/>
  <c r="X36" i="18"/>
  <c r="P36" i="18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P34" i="18"/>
  <c r="X34" i="18" s="1"/>
  <c r="N34" i="18"/>
  <c r="L34" i="18"/>
  <c r="D34" i="18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P31" i="18"/>
  <c r="X31" i="18" s="1"/>
  <c r="N31" i="18"/>
  <c r="D31" i="18"/>
  <c r="L31" i="18" s="1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X24" i="18"/>
  <c r="P24" i="18"/>
  <c r="N24" i="18"/>
  <c r="L24" i="18"/>
  <c r="D24" i="18"/>
  <c r="B24" i="18"/>
  <c r="Z23" i="18"/>
  <c r="X23" i="18"/>
  <c r="P23" i="18"/>
  <c r="N23" i="18"/>
  <c r="D23" i="18"/>
  <c r="L23" i="18" s="1"/>
  <c r="B23" i="18"/>
  <c r="Z22" i="18"/>
  <c r="P22" i="18"/>
  <c r="X22" i="18" s="1"/>
  <c r="N22" i="18"/>
  <c r="L22" i="18"/>
  <c r="D22" i="18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L20" i="18"/>
  <c r="D20" i="18"/>
  <c r="B20" i="18"/>
  <c r="Z19" i="18"/>
  <c r="P19" i="18"/>
  <c r="X19" i="18" s="1"/>
  <c r="N19" i="18"/>
  <c r="D19" i="18"/>
  <c r="L19" i="18" s="1"/>
  <c r="B19" i="18"/>
  <c r="Z18" i="18"/>
  <c r="P18" i="18"/>
  <c r="X18" i="18" s="1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D14" i="18"/>
  <c r="L14" i="18" s="1"/>
  <c r="B14" i="18"/>
  <c r="X13" i="18"/>
  <c r="Z13" i="18" s="1"/>
  <c r="P13" i="18"/>
  <c r="D13" i="18"/>
  <c r="B13" i="18"/>
  <c r="T12" i="18"/>
  <c r="V292" i="18" s="1"/>
  <c r="H12" i="18"/>
  <c r="D4" i="18"/>
  <c r="X269" i="15"/>
  <c r="Z269" i="15" s="1"/>
  <c r="L269" i="15"/>
  <c r="N269" i="15" s="1"/>
  <c r="Z265" i="15"/>
  <c r="X265" i="15"/>
  <c r="P265" i="15"/>
  <c r="N265" i="15"/>
  <c r="D265" i="15"/>
  <c r="L265" i="15" s="1"/>
  <c r="B265" i="15"/>
  <c r="P264" i="15"/>
  <c r="X264" i="15" s="1"/>
  <c r="Z264" i="15" s="1"/>
  <c r="L264" i="15"/>
  <c r="N264" i="15" s="1"/>
  <c r="J264" i="15"/>
  <c r="D264" i="15"/>
  <c r="B264" i="15"/>
  <c r="Z263" i="15"/>
  <c r="X263" i="15"/>
  <c r="P263" i="15"/>
  <c r="N263" i="15"/>
  <c r="D263" i="15"/>
  <c r="L263" i="15" s="1"/>
  <c r="B263" i="15"/>
  <c r="Z262" i="15"/>
  <c r="P262" i="15"/>
  <c r="X262" i="15" s="1"/>
  <c r="N262" i="15"/>
  <c r="D262" i="15"/>
  <c r="L262" i="15" s="1"/>
  <c r="B262" i="15"/>
  <c r="X261" i="15"/>
  <c r="Z261" i="15" s="1"/>
  <c r="P261" i="15"/>
  <c r="J261" i="15"/>
  <c r="D261" i="15"/>
  <c r="L261" i="15" s="1"/>
  <c r="N261" i="15" s="1"/>
  <c r="B261" i="15"/>
  <c r="P260" i="15"/>
  <c r="X260" i="15" s="1"/>
  <c r="Z260" i="15" s="1"/>
  <c r="L260" i="15"/>
  <c r="N260" i="15" s="1"/>
  <c r="D260" i="15"/>
  <c r="B260" i="15"/>
  <c r="Z259" i="15"/>
  <c r="X259" i="15"/>
  <c r="P259" i="15"/>
  <c r="N259" i="15"/>
  <c r="J259" i="15"/>
  <c r="D259" i="15"/>
  <c r="L259" i="15" s="1"/>
  <c r="B259" i="15"/>
  <c r="Z258" i="15"/>
  <c r="X258" i="15"/>
  <c r="P258" i="15"/>
  <c r="N258" i="15"/>
  <c r="L258" i="15"/>
  <c r="D258" i="15"/>
  <c r="B258" i="15"/>
  <c r="Z257" i="15"/>
  <c r="X257" i="15"/>
  <c r="P257" i="15"/>
  <c r="N257" i="15"/>
  <c r="J257" i="15"/>
  <c r="D257" i="15"/>
  <c r="B257" i="15"/>
  <c r="T256" i="15"/>
  <c r="H256" i="15"/>
  <c r="Z254" i="15"/>
  <c r="X254" i="15"/>
  <c r="L254" i="15"/>
  <c r="N254" i="15" s="1"/>
  <c r="J254" i="15"/>
  <c r="B254" i="15"/>
  <c r="T253" i="15"/>
  <c r="P253" i="15"/>
  <c r="X253" i="15" s="1"/>
  <c r="H253" i="15"/>
  <c r="D253" i="15"/>
  <c r="B253" i="15"/>
  <c r="Z252" i="15"/>
  <c r="X252" i="15"/>
  <c r="N252" i="15"/>
  <c r="L252" i="15"/>
  <c r="B252" i="15"/>
  <c r="X251" i="15"/>
  <c r="Z251" i="15" s="1"/>
  <c r="L251" i="15"/>
  <c r="N251" i="15" s="1"/>
  <c r="B251" i="15"/>
  <c r="Z250" i="15"/>
  <c r="X250" i="15"/>
  <c r="N250" i="15"/>
  <c r="L250" i="15"/>
  <c r="J250" i="15"/>
  <c r="B250" i="15"/>
  <c r="X249" i="15"/>
  <c r="T249" i="15"/>
  <c r="P249" i="15"/>
  <c r="H249" i="15"/>
  <c r="D249" i="15"/>
  <c r="L249" i="15" s="1"/>
  <c r="B249" i="15"/>
  <c r="X248" i="15"/>
  <c r="Z248" i="15" s="1"/>
  <c r="N248" i="15"/>
  <c r="L248" i="15"/>
  <c r="J248" i="15"/>
  <c r="B248" i="15"/>
  <c r="T247" i="15"/>
  <c r="P247" i="15"/>
  <c r="L247" i="15"/>
  <c r="H247" i="15"/>
  <c r="D247" i="15"/>
  <c r="B247" i="15"/>
  <c r="Z246" i="15"/>
  <c r="X246" i="15"/>
  <c r="L246" i="15"/>
  <c r="N246" i="15" s="1"/>
  <c r="J246" i="15"/>
  <c r="B246" i="15"/>
  <c r="X245" i="15"/>
  <c r="Z245" i="15" s="1"/>
  <c r="L245" i="15"/>
  <c r="N245" i="15" s="1"/>
  <c r="J245" i="15"/>
  <c r="B245" i="15"/>
  <c r="Z244" i="15"/>
  <c r="T244" i="15"/>
  <c r="P244" i="15"/>
  <c r="X244" i="15" s="1"/>
  <c r="H244" i="15"/>
  <c r="D244" i="15"/>
  <c r="L244" i="15" s="1"/>
  <c r="N244" i="15" s="1"/>
  <c r="B244" i="15"/>
  <c r="X243" i="15"/>
  <c r="Z243" i="15" s="1"/>
  <c r="L243" i="15"/>
  <c r="N243" i="15" s="1"/>
  <c r="B243" i="15"/>
  <c r="X242" i="15"/>
  <c r="Z242" i="15" s="1"/>
  <c r="N242" i="15"/>
  <c r="L242" i="15"/>
  <c r="J242" i="15"/>
  <c r="B242" i="15"/>
  <c r="X241" i="15"/>
  <c r="Z241" i="15" s="1"/>
  <c r="L241" i="15"/>
  <c r="N241" i="15" s="1"/>
  <c r="B241" i="15"/>
  <c r="Z240" i="15"/>
  <c r="X240" i="15"/>
  <c r="N240" i="15"/>
  <c r="L240" i="15"/>
  <c r="B240" i="15"/>
  <c r="X239" i="15"/>
  <c r="Z239" i="15" s="1"/>
  <c r="L239" i="15"/>
  <c r="N239" i="15" s="1"/>
  <c r="B239" i="15"/>
  <c r="X238" i="15"/>
  <c r="Z238" i="15" s="1"/>
  <c r="N238" i="15"/>
  <c r="L238" i="15"/>
  <c r="J238" i="15"/>
  <c r="B238" i="15"/>
  <c r="X237" i="15"/>
  <c r="Z237" i="15" s="1"/>
  <c r="L237" i="15"/>
  <c r="N237" i="15" s="1"/>
  <c r="B237" i="15"/>
  <c r="Z236" i="15"/>
  <c r="T236" i="15"/>
  <c r="P236" i="15"/>
  <c r="X236" i="15" s="1"/>
  <c r="J236" i="15"/>
  <c r="H236" i="15"/>
  <c r="D236" i="15"/>
  <c r="L236" i="15" s="1"/>
  <c r="N236" i="15" s="1"/>
  <c r="B236" i="15"/>
  <c r="X235" i="15"/>
  <c r="Z235" i="15" s="1"/>
  <c r="N235" i="15"/>
  <c r="L235" i="15"/>
  <c r="B235" i="15"/>
  <c r="Z234" i="15"/>
  <c r="X234" i="15"/>
  <c r="N234" i="15"/>
  <c r="L234" i="15"/>
  <c r="J234" i="15"/>
  <c r="B234" i="15"/>
  <c r="T233" i="15"/>
  <c r="P233" i="15"/>
  <c r="X233" i="15" s="1"/>
  <c r="H233" i="15"/>
  <c r="D233" i="15"/>
  <c r="B233" i="15"/>
  <c r="Z232" i="15"/>
  <c r="X232" i="15"/>
  <c r="N232" i="15"/>
  <c r="L232" i="15"/>
  <c r="B232" i="15"/>
  <c r="Z231" i="15"/>
  <c r="X231" i="15"/>
  <c r="L231" i="15"/>
  <c r="N231" i="15" s="1"/>
  <c r="B231" i="15"/>
  <c r="Z230" i="15"/>
  <c r="X230" i="15"/>
  <c r="L230" i="15"/>
  <c r="N230" i="15" s="1"/>
  <c r="J230" i="15"/>
  <c r="B230" i="15"/>
  <c r="X229" i="15"/>
  <c r="Z229" i="15" s="1"/>
  <c r="L229" i="15"/>
  <c r="N229" i="15" s="1"/>
  <c r="J229" i="15"/>
  <c r="B229" i="15"/>
  <c r="Z228" i="15"/>
  <c r="T228" i="15"/>
  <c r="P228" i="15"/>
  <c r="X228" i="15" s="1"/>
  <c r="N228" i="15"/>
  <c r="H228" i="15"/>
  <c r="D228" i="15"/>
  <c r="L228" i="15" s="1"/>
  <c r="B228" i="15"/>
  <c r="Z227" i="15"/>
  <c r="X227" i="15"/>
  <c r="N227" i="15"/>
  <c r="L227" i="15"/>
  <c r="B227" i="15"/>
  <c r="X226" i="15"/>
  <c r="Z226" i="15" s="1"/>
  <c r="N226" i="15"/>
  <c r="L226" i="15"/>
  <c r="B226" i="15"/>
  <c r="X225" i="15"/>
  <c r="Z225" i="15" s="1"/>
  <c r="L225" i="15"/>
  <c r="N225" i="15" s="1"/>
  <c r="B225" i="15"/>
  <c r="Z224" i="15"/>
  <c r="X224" i="15"/>
  <c r="L224" i="15"/>
  <c r="N224" i="15" s="1"/>
  <c r="B224" i="15"/>
  <c r="T223" i="15"/>
  <c r="P223" i="15"/>
  <c r="L223" i="15"/>
  <c r="J223" i="15"/>
  <c r="H223" i="15"/>
  <c r="N223" i="15" s="1"/>
  <c r="D223" i="15"/>
  <c r="B223" i="15"/>
  <c r="Z222" i="15"/>
  <c r="X222" i="15"/>
  <c r="N222" i="15"/>
  <c r="L222" i="15"/>
  <c r="J222" i="15"/>
  <c r="B222" i="15"/>
  <c r="X221" i="15"/>
  <c r="Z221" i="15" s="1"/>
  <c r="L221" i="15"/>
  <c r="N221" i="15" s="1"/>
  <c r="B221" i="15"/>
  <c r="X220" i="15"/>
  <c r="Z220" i="15" s="1"/>
  <c r="N220" i="15"/>
  <c r="L220" i="15"/>
  <c r="J220" i="15"/>
  <c r="B220" i="15"/>
  <c r="X219" i="15"/>
  <c r="Z219" i="15" s="1"/>
  <c r="N219" i="15"/>
  <c r="L219" i="15"/>
  <c r="B219" i="15"/>
  <c r="Z218" i="15"/>
  <c r="X218" i="15"/>
  <c r="T218" i="15"/>
  <c r="P218" i="15"/>
  <c r="L218" i="15"/>
  <c r="N218" i="15" s="1"/>
  <c r="H218" i="15"/>
  <c r="D218" i="15"/>
  <c r="B218" i="15"/>
  <c r="X217" i="15"/>
  <c r="Z217" i="15" s="1"/>
  <c r="L217" i="15"/>
  <c r="N217" i="15" s="1"/>
  <c r="J217" i="15"/>
  <c r="B217" i="15"/>
  <c r="Z216" i="15"/>
  <c r="T216" i="15"/>
  <c r="P216" i="15"/>
  <c r="X216" i="15" s="1"/>
  <c r="N216" i="15"/>
  <c r="H216" i="15"/>
  <c r="J216" i="15" s="1"/>
  <c r="D216" i="15"/>
  <c r="L216" i="15" s="1"/>
  <c r="B216" i="15"/>
  <c r="X215" i="15"/>
  <c r="Z215" i="15" s="1"/>
  <c r="L215" i="15"/>
  <c r="N215" i="15" s="1"/>
  <c r="B215" i="15"/>
  <c r="T214" i="15"/>
  <c r="P214" i="15"/>
  <c r="X214" i="15" s="1"/>
  <c r="Z214" i="15" s="1"/>
  <c r="J214" i="15"/>
  <c r="H214" i="15"/>
  <c r="D214" i="15"/>
  <c r="L214" i="15" s="1"/>
  <c r="N214" i="15" s="1"/>
  <c r="B214" i="15"/>
  <c r="X213" i="15"/>
  <c r="Z213" i="15" s="1"/>
  <c r="L213" i="15"/>
  <c r="N213" i="15" s="1"/>
  <c r="B213" i="15"/>
  <c r="X212" i="15"/>
  <c r="Z212" i="15" s="1"/>
  <c r="T212" i="15"/>
  <c r="P212" i="15"/>
  <c r="N212" i="15"/>
  <c r="L212" i="15"/>
  <c r="J212" i="15"/>
  <c r="H212" i="15"/>
  <c r="D212" i="15"/>
  <c r="B212" i="15"/>
  <c r="Z211" i="15"/>
  <c r="X211" i="15"/>
  <c r="L211" i="15"/>
  <c r="N211" i="15" s="1"/>
  <c r="B211" i="15"/>
  <c r="T210" i="15"/>
  <c r="Z210" i="15" s="1"/>
  <c r="P210" i="15"/>
  <c r="X210" i="15" s="1"/>
  <c r="J210" i="15"/>
  <c r="H210" i="15"/>
  <c r="D210" i="15"/>
  <c r="L210" i="15" s="1"/>
  <c r="N210" i="15" s="1"/>
  <c r="B210" i="15"/>
  <c r="X209" i="15"/>
  <c r="Z209" i="15" s="1"/>
  <c r="L209" i="15"/>
  <c r="N209" i="15" s="1"/>
  <c r="B209" i="15"/>
  <c r="Z208" i="15"/>
  <c r="T208" i="15"/>
  <c r="P208" i="15"/>
  <c r="X208" i="15" s="1"/>
  <c r="J208" i="15"/>
  <c r="H208" i="15"/>
  <c r="D208" i="15"/>
  <c r="L208" i="15" s="1"/>
  <c r="N208" i="15" s="1"/>
  <c r="B208" i="15"/>
  <c r="X207" i="15"/>
  <c r="Z207" i="15" s="1"/>
  <c r="N207" i="15"/>
  <c r="L207" i="15"/>
  <c r="B207" i="15"/>
  <c r="Z206" i="15"/>
  <c r="X206" i="15"/>
  <c r="N206" i="15"/>
  <c r="L206" i="15"/>
  <c r="J206" i="15"/>
  <c r="B206" i="15"/>
  <c r="T205" i="15"/>
  <c r="P205" i="15"/>
  <c r="X205" i="15" s="1"/>
  <c r="H205" i="15"/>
  <c r="D205" i="15"/>
  <c r="B205" i="15"/>
  <c r="Z204" i="15"/>
  <c r="X204" i="15"/>
  <c r="N204" i="15"/>
  <c r="L204" i="15"/>
  <c r="B204" i="15"/>
  <c r="T203" i="15"/>
  <c r="Z203" i="15" s="1"/>
  <c r="P203" i="15"/>
  <c r="X203" i="15" s="1"/>
  <c r="H203" i="15"/>
  <c r="D203" i="15"/>
  <c r="L203" i="15" s="1"/>
  <c r="B203" i="15"/>
  <c r="X202" i="15"/>
  <c r="Z202" i="15" s="1"/>
  <c r="N202" i="15"/>
  <c r="L202" i="15"/>
  <c r="J202" i="15"/>
  <c r="B202" i="15"/>
  <c r="X201" i="15"/>
  <c r="T201" i="15"/>
  <c r="P201" i="15"/>
  <c r="L201" i="15"/>
  <c r="H201" i="15"/>
  <c r="D201" i="15"/>
  <c r="B201" i="15"/>
  <c r="Z200" i="15"/>
  <c r="X200" i="15"/>
  <c r="N200" i="15"/>
  <c r="L200" i="15"/>
  <c r="J200" i="15"/>
  <c r="B200" i="15"/>
  <c r="X199" i="15"/>
  <c r="Z199" i="15" s="1"/>
  <c r="N199" i="15"/>
  <c r="L199" i="15"/>
  <c r="B199" i="15"/>
  <c r="Z198" i="15"/>
  <c r="X198" i="15"/>
  <c r="T198" i="15"/>
  <c r="P198" i="15"/>
  <c r="L198" i="15"/>
  <c r="N198" i="15" s="1"/>
  <c r="H198" i="15"/>
  <c r="D198" i="15"/>
  <c r="B198" i="15"/>
  <c r="Z197" i="15"/>
  <c r="X197" i="15"/>
  <c r="N197" i="15"/>
  <c r="L197" i="15"/>
  <c r="J197" i="15"/>
  <c r="B197" i="15"/>
  <c r="Z196" i="15"/>
  <c r="X196" i="15"/>
  <c r="N196" i="15"/>
  <c r="L196" i="15"/>
  <c r="J196" i="15"/>
  <c r="B196" i="15"/>
  <c r="Z195" i="15"/>
  <c r="T195" i="15"/>
  <c r="P195" i="15"/>
  <c r="X195" i="15" s="1"/>
  <c r="L195" i="15"/>
  <c r="H195" i="15"/>
  <c r="D195" i="15"/>
  <c r="B195" i="15"/>
  <c r="X194" i="15"/>
  <c r="Z194" i="15" s="1"/>
  <c r="N194" i="15"/>
  <c r="L194" i="15"/>
  <c r="B194" i="15"/>
  <c r="X193" i="15"/>
  <c r="Z193" i="15" s="1"/>
  <c r="L193" i="15"/>
  <c r="N193" i="15" s="1"/>
  <c r="B193" i="15"/>
  <c r="Z192" i="15"/>
  <c r="X192" i="15"/>
  <c r="L192" i="15"/>
  <c r="N192" i="15" s="1"/>
  <c r="B192" i="15"/>
  <c r="X191" i="15"/>
  <c r="Z191" i="15" s="1"/>
  <c r="L191" i="15"/>
  <c r="N191" i="15" s="1"/>
  <c r="B191" i="15"/>
  <c r="T190" i="15"/>
  <c r="P190" i="15"/>
  <c r="X190" i="15" s="1"/>
  <c r="Z190" i="15" s="1"/>
  <c r="N190" i="15"/>
  <c r="J190" i="15"/>
  <c r="H190" i="15"/>
  <c r="D190" i="15"/>
  <c r="L190" i="15" s="1"/>
  <c r="B190" i="15"/>
  <c r="X189" i="15"/>
  <c r="Z189" i="15" s="1"/>
  <c r="L189" i="15"/>
  <c r="N189" i="15" s="1"/>
  <c r="B189" i="15"/>
  <c r="X188" i="15"/>
  <c r="Z188" i="15" s="1"/>
  <c r="T188" i="15"/>
  <c r="P188" i="15"/>
  <c r="N188" i="15"/>
  <c r="L188" i="15"/>
  <c r="J188" i="15"/>
  <c r="H188" i="15"/>
  <c r="D188" i="15"/>
  <c r="B188" i="15"/>
  <c r="Z187" i="15"/>
  <c r="X187" i="15"/>
  <c r="L187" i="15"/>
  <c r="N187" i="15" s="1"/>
  <c r="B187" i="15"/>
  <c r="Z186" i="15"/>
  <c r="X186" i="15"/>
  <c r="L186" i="15"/>
  <c r="N186" i="15" s="1"/>
  <c r="J186" i="15"/>
  <c r="B186" i="15"/>
  <c r="T185" i="15"/>
  <c r="P185" i="15"/>
  <c r="N185" i="15"/>
  <c r="H185" i="15"/>
  <c r="D185" i="15"/>
  <c r="L185" i="15" s="1"/>
  <c r="B185" i="15"/>
  <c r="Z184" i="15"/>
  <c r="X184" i="15"/>
  <c r="N184" i="15"/>
  <c r="L184" i="15"/>
  <c r="B184" i="15"/>
  <c r="T183" i="15"/>
  <c r="P183" i="15"/>
  <c r="X183" i="15" s="1"/>
  <c r="L183" i="15"/>
  <c r="J183" i="15"/>
  <c r="H183" i="15"/>
  <c r="N183" i="15" s="1"/>
  <c r="D183" i="15"/>
  <c r="B183" i="15"/>
  <c r="Z182" i="15"/>
  <c r="X182" i="15"/>
  <c r="N182" i="15"/>
  <c r="L182" i="15"/>
  <c r="B182" i="15"/>
  <c r="Z181" i="15"/>
  <c r="X181" i="15"/>
  <c r="N181" i="15"/>
  <c r="L181" i="15"/>
  <c r="B181" i="15"/>
  <c r="X180" i="15"/>
  <c r="Z180" i="15" s="1"/>
  <c r="N180" i="15"/>
  <c r="L180" i="15"/>
  <c r="J180" i="15"/>
  <c r="B180" i="15"/>
  <c r="X179" i="15"/>
  <c r="Z179" i="15" s="1"/>
  <c r="N179" i="15"/>
  <c r="L179" i="15"/>
  <c r="B179" i="15"/>
  <c r="Z178" i="15"/>
  <c r="X178" i="15"/>
  <c r="N178" i="15"/>
  <c r="L178" i="15"/>
  <c r="J178" i="15"/>
  <c r="B178" i="15"/>
  <c r="X177" i="15"/>
  <c r="Z177" i="15" s="1"/>
  <c r="N177" i="15"/>
  <c r="L177" i="15"/>
  <c r="B177" i="15"/>
  <c r="X176" i="15"/>
  <c r="Z176" i="15" s="1"/>
  <c r="N176" i="15"/>
  <c r="L176" i="15"/>
  <c r="J176" i="15"/>
  <c r="B176" i="15"/>
  <c r="Z175" i="15"/>
  <c r="X175" i="15"/>
  <c r="N175" i="15"/>
  <c r="L175" i="15"/>
  <c r="B175" i="15"/>
  <c r="X174" i="15"/>
  <c r="Z174" i="15" s="1"/>
  <c r="N174" i="15"/>
  <c r="L174" i="15"/>
  <c r="J174" i="15"/>
  <c r="B174" i="15"/>
  <c r="X173" i="15"/>
  <c r="Z173" i="15" s="1"/>
  <c r="L173" i="15"/>
  <c r="N173" i="15" s="1"/>
  <c r="B173" i="15"/>
  <c r="Z172" i="15"/>
  <c r="X172" i="15"/>
  <c r="T172" i="15"/>
  <c r="P172" i="15"/>
  <c r="L172" i="15"/>
  <c r="N172" i="15" s="1"/>
  <c r="J172" i="15"/>
  <c r="H172" i="15"/>
  <c r="D172" i="15"/>
  <c r="B172" i="15"/>
  <c r="Z171" i="15"/>
  <c r="X171" i="15"/>
  <c r="L171" i="15"/>
  <c r="N171" i="15" s="1"/>
  <c r="J171" i="15"/>
  <c r="B171" i="15"/>
  <c r="Z170" i="15"/>
  <c r="X170" i="15"/>
  <c r="L170" i="15"/>
  <c r="N170" i="15" s="1"/>
  <c r="J170" i="15"/>
  <c r="B170" i="15"/>
  <c r="X169" i="15"/>
  <c r="Z169" i="15" s="1"/>
  <c r="L169" i="15"/>
  <c r="N169" i="15" s="1"/>
  <c r="J169" i="15"/>
  <c r="B169" i="15"/>
  <c r="Z168" i="15"/>
  <c r="X168" i="15"/>
  <c r="N168" i="15"/>
  <c r="L168" i="15"/>
  <c r="J168" i="15"/>
  <c r="B168" i="15"/>
  <c r="Z167" i="15"/>
  <c r="X167" i="15"/>
  <c r="N167" i="15"/>
  <c r="L167" i="15"/>
  <c r="J167" i="15"/>
  <c r="B167" i="15"/>
  <c r="Z166" i="15"/>
  <c r="X166" i="15"/>
  <c r="L166" i="15"/>
  <c r="N166" i="15" s="1"/>
  <c r="J166" i="15"/>
  <c r="B166" i="15"/>
  <c r="Z165" i="15"/>
  <c r="X165" i="15"/>
  <c r="L165" i="15"/>
  <c r="N165" i="15" s="1"/>
  <c r="J165" i="15"/>
  <c r="B165" i="15"/>
  <c r="Z164" i="15"/>
  <c r="X164" i="15"/>
  <c r="N164" i="15"/>
  <c r="L164" i="15"/>
  <c r="J164" i="15"/>
  <c r="B164" i="15"/>
  <c r="Z163" i="15"/>
  <c r="X163" i="15"/>
  <c r="L163" i="15"/>
  <c r="N163" i="15" s="1"/>
  <c r="B163" i="15"/>
  <c r="Z162" i="15"/>
  <c r="X162" i="15"/>
  <c r="L162" i="15"/>
  <c r="N162" i="15" s="1"/>
  <c r="J162" i="15"/>
  <c r="B162" i="15"/>
  <c r="X161" i="15"/>
  <c r="Z161" i="15" s="1"/>
  <c r="T161" i="15"/>
  <c r="P161" i="15"/>
  <c r="H161" i="15"/>
  <c r="D161" i="15"/>
  <c r="B161" i="15"/>
  <c r="T160" i="15"/>
  <c r="Z160" i="15" s="1"/>
  <c r="P160" i="15"/>
  <c r="X160" i="15" s="1"/>
  <c r="H160" i="15"/>
  <c r="J160" i="15" s="1"/>
  <c r="D160" i="15"/>
  <c r="L160" i="15" s="1"/>
  <c r="Z156" i="15"/>
  <c r="X156" i="15"/>
  <c r="N156" i="15"/>
  <c r="L156" i="15"/>
  <c r="B156" i="15"/>
  <c r="Z155" i="15"/>
  <c r="X155" i="15"/>
  <c r="N155" i="15"/>
  <c r="L155" i="15"/>
  <c r="B155" i="15"/>
  <c r="Z154" i="15"/>
  <c r="X154" i="15"/>
  <c r="N154" i="15"/>
  <c r="L154" i="15"/>
  <c r="J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J150" i="15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J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J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J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J134" i="15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J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J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J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J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J114" i="15"/>
  <c r="B114" i="15"/>
  <c r="Z113" i="15"/>
  <c r="X113" i="15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J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X106" i="15"/>
  <c r="Z106" i="15" s="1"/>
  <c r="N106" i="15"/>
  <c r="L106" i="15"/>
  <c r="J106" i="15"/>
  <c r="B106" i="15"/>
  <c r="X105" i="15"/>
  <c r="Z105" i="15" s="1"/>
  <c r="T105" i="15"/>
  <c r="P105" i="15"/>
  <c r="L105" i="15"/>
  <c r="J105" i="15"/>
  <c r="H105" i="15"/>
  <c r="D105" i="15"/>
  <c r="Z103" i="15"/>
  <c r="X103" i="15"/>
  <c r="P103" i="15"/>
  <c r="N103" i="15"/>
  <c r="D103" i="15"/>
  <c r="L103" i="15" s="1"/>
  <c r="B103" i="15"/>
  <c r="Z102" i="15"/>
  <c r="P102" i="15"/>
  <c r="X102" i="15" s="1"/>
  <c r="N102" i="15"/>
  <c r="L102" i="15"/>
  <c r="D102" i="15"/>
  <c r="B102" i="15"/>
  <c r="Z101" i="15"/>
  <c r="P101" i="15"/>
  <c r="X101" i="15" s="1"/>
  <c r="N101" i="15"/>
  <c r="D101" i="15"/>
  <c r="L101" i="15" s="1"/>
  <c r="B101" i="15"/>
  <c r="Z100" i="15"/>
  <c r="P100" i="15"/>
  <c r="X100" i="15" s="1"/>
  <c r="N100" i="15"/>
  <c r="L100" i="15"/>
  <c r="D100" i="15"/>
  <c r="B100" i="15"/>
  <c r="Z99" i="15"/>
  <c r="X99" i="15"/>
  <c r="P99" i="15"/>
  <c r="N99" i="15"/>
  <c r="L99" i="15"/>
  <c r="D99" i="15"/>
  <c r="B99" i="15"/>
  <c r="Z98" i="15"/>
  <c r="P98" i="15"/>
  <c r="X98" i="15" s="1"/>
  <c r="N98" i="15"/>
  <c r="D98" i="15"/>
  <c r="L98" i="15" s="1"/>
  <c r="B98" i="15"/>
  <c r="Z97" i="15"/>
  <c r="X97" i="15"/>
  <c r="P97" i="15"/>
  <c r="N97" i="15"/>
  <c r="D97" i="15"/>
  <c r="L97" i="15" s="1"/>
  <c r="B97" i="15"/>
  <c r="Z96" i="15"/>
  <c r="X96" i="15"/>
  <c r="P96" i="15"/>
  <c r="N96" i="15"/>
  <c r="L96" i="15"/>
  <c r="D96" i="15"/>
  <c r="B96" i="15"/>
  <c r="Z95" i="15"/>
  <c r="X95" i="15"/>
  <c r="P95" i="15"/>
  <c r="N95" i="15"/>
  <c r="D95" i="15"/>
  <c r="L95" i="15" s="1"/>
  <c r="B95" i="15"/>
  <c r="Z94" i="15"/>
  <c r="P94" i="15"/>
  <c r="X94" i="15" s="1"/>
  <c r="N94" i="15"/>
  <c r="D94" i="15"/>
  <c r="L94" i="15" s="1"/>
  <c r="B94" i="15"/>
  <c r="Z93" i="15"/>
  <c r="X93" i="15"/>
  <c r="P93" i="15"/>
  <c r="N93" i="15"/>
  <c r="L93" i="15"/>
  <c r="D93" i="15"/>
  <c r="B93" i="15"/>
  <c r="Z92" i="15"/>
  <c r="P92" i="15"/>
  <c r="X92" i="15" s="1"/>
  <c r="N92" i="15"/>
  <c r="L92" i="15"/>
  <c r="D92" i="15"/>
  <c r="B92" i="15"/>
  <c r="Z91" i="15"/>
  <c r="P91" i="15"/>
  <c r="X91" i="15" s="1"/>
  <c r="N91" i="15"/>
  <c r="D91" i="15"/>
  <c r="L91" i="15" s="1"/>
  <c r="B91" i="15"/>
  <c r="Z90" i="15"/>
  <c r="X90" i="15"/>
  <c r="P90" i="15"/>
  <c r="N90" i="15"/>
  <c r="L90" i="15"/>
  <c r="D90" i="15"/>
  <c r="B90" i="15"/>
  <c r="Z89" i="15"/>
  <c r="P89" i="15"/>
  <c r="X89" i="15" s="1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X87" i="15"/>
  <c r="P87" i="15"/>
  <c r="N87" i="15"/>
  <c r="L87" i="15"/>
  <c r="D87" i="15"/>
  <c r="B87" i="15"/>
  <c r="Z86" i="15"/>
  <c r="P86" i="15"/>
  <c r="X86" i="15" s="1"/>
  <c r="N86" i="15"/>
  <c r="D86" i="15"/>
  <c r="L86" i="15" s="1"/>
  <c r="B86" i="15"/>
  <c r="Z85" i="15"/>
  <c r="P85" i="15"/>
  <c r="X85" i="15" s="1"/>
  <c r="N85" i="15"/>
  <c r="D85" i="15"/>
  <c r="L85" i="15" s="1"/>
  <c r="B85" i="15"/>
  <c r="Z84" i="15"/>
  <c r="X84" i="15"/>
  <c r="P84" i="15"/>
  <c r="N84" i="15"/>
  <c r="L84" i="15"/>
  <c r="D84" i="15"/>
  <c r="B84" i="15"/>
  <c r="Z83" i="15"/>
  <c r="X83" i="15"/>
  <c r="P83" i="15"/>
  <c r="N83" i="15"/>
  <c r="D83" i="15"/>
  <c r="L83" i="15" s="1"/>
  <c r="B83" i="15"/>
  <c r="Z82" i="15"/>
  <c r="P82" i="15"/>
  <c r="X82" i="15" s="1"/>
  <c r="N82" i="15"/>
  <c r="L82" i="15"/>
  <c r="D82" i="15"/>
  <c r="B82" i="15"/>
  <c r="Z81" i="15"/>
  <c r="X81" i="15"/>
  <c r="P81" i="15"/>
  <c r="N81" i="15"/>
  <c r="L81" i="15"/>
  <c r="D81" i="15"/>
  <c r="B81" i="15"/>
  <c r="Z80" i="15"/>
  <c r="P80" i="15"/>
  <c r="X80" i="15" s="1"/>
  <c r="N80" i="15"/>
  <c r="L80" i="15"/>
  <c r="D80" i="15"/>
  <c r="B80" i="15"/>
  <c r="Z79" i="15"/>
  <c r="X79" i="15"/>
  <c r="P79" i="15"/>
  <c r="N79" i="15"/>
  <c r="L79" i="15"/>
  <c r="D79" i="15"/>
  <c r="B79" i="15"/>
  <c r="Z78" i="15"/>
  <c r="X78" i="15"/>
  <c r="P78" i="15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P76" i="15"/>
  <c r="X76" i="15" s="1"/>
  <c r="N76" i="15"/>
  <c r="D76" i="15"/>
  <c r="L76" i="15" s="1"/>
  <c r="B76" i="15"/>
  <c r="Z75" i="15"/>
  <c r="X75" i="15"/>
  <c r="P75" i="15"/>
  <c r="N75" i="15"/>
  <c r="D75" i="15"/>
  <c r="L75" i="15" s="1"/>
  <c r="B75" i="15"/>
  <c r="Z74" i="15"/>
  <c r="P74" i="15"/>
  <c r="X74" i="15" s="1"/>
  <c r="N74" i="15"/>
  <c r="D74" i="15"/>
  <c r="L74" i="15" s="1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X71" i="15"/>
  <c r="P71" i="15"/>
  <c r="N71" i="15"/>
  <c r="D71" i="15"/>
  <c r="L71" i="15" s="1"/>
  <c r="B71" i="15"/>
  <c r="Z70" i="15"/>
  <c r="P70" i="15"/>
  <c r="X70" i="15" s="1"/>
  <c r="N70" i="15"/>
  <c r="D70" i="15"/>
  <c r="L70" i="15" s="1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D63" i="15"/>
  <c r="L63" i="15" s="1"/>
  <c r="B63" i="15"/>
  <c r="Z62" i="15"/>
  <c r="P62" i="15"/>
  <c r="X62" i="15" s="1"/>
  <c r="N62" i="15"/>
  <c r="D62" i="15"/>
  <c r="L62" i="15" s="1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X59" i="15"/>
  <c r="P59" i="15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X51" i="15"/>
  <c r="P51" i="15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P49" i="15"/>
  <c r="X49" i="15" s="1"/>
  <c r="N49" i="15"/>
  <c r="D49" i="15"/>
  <c r="L49" i="15" s="1"/>
  <c r="B49" i="15"/>
  <c r="Z48" i="15"/>
  <c r="X48" i="15"/>
  <c r="P48" i="15"/>
  <c r="N48" i="15"/>
  <c r="L48" i="15"/>
  <c r="D48" i="15"/>
  <c r="B48" i="15"/>
  <c r="X47" i="15"/>
  <c r="Z47" i="15" s="1"/>
  <c r="P47" i="15"/>
  <c r="N47" i="15"/>
  <c r="D47" i="15"/>
  <c r="L47" i="15" s="1"/>
  <c r="B47" i="15"/>
  <c r="Z46" i="15"/>
  <c r="P46" i="15"/>
  <c r="X46" i="15" s="1"/>
  <c r="N46" i="15"/>
  <c r="L46" i="15"/>
  <c r="D46" i="15"/>
  <c r="B46" i="15"/>
  <c r="Z45" i="15"/>
  <c r="X45" i="15"/>
  <c r="P45" i="15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X43" i="15"/>
  <c r="P43" i="15"/>
  <c r="N43" i="15"/>
  <c r="L43" i="15"/>
  <c r="D43" i="15"/>
  <c r="B43" i="15"/>
  <c r="Z42" i="15"/>
  <c r="X42" i="15"/>
  <c r="P42" i="15"/>
  <c r="N42" i="15"/>
  <c r="L42" i="15"/>
  <c r="D42" i="15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D39" i="15"/>
  <c r="L39" i="15" s="1"/>
  <c r="B39" i="15"/>
  <c r="Z38" i="15"/>
  <c r="P38" i="15"/>
  <c r="X38" i="15" s="1"/>
  <c r="N38" i="15"/>
  <c r="D38" i="15"/>
  <c r="L38" i="15" s="1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X35" i="15"/>
  <c r="P35" i="15"/>
  <c r="N35" i="15"/>
  <c r="D35" i="15"/>
  <c r="L35" i="15" s="1"/>
  <c r="B35" i="15"/>
  <c r="Z34" i="15"/>
  <c r="P34" i="15"/>
  <c r="X34" i="15" s="1"/>
  <c r="N34" i="15"/>
  <c r="L34" i="15"/>
  <c r="D34" i="15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L28" i="15"/>
  <c r="D28" i="15"/>
  <c r="B28" i="15"/>
  <c r="Z27" i="15"/>
  <c r="X27" i="15"/>
  <c r="P27" i="15"/>
  <c r="N27" i="15"/>
  <c r="D27" i="15"/>
  <c r="L27" i="15" s="1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D24" i="15"/>
  <c r="L24" i="15" s="1"/>
  <c r="B24" i="15"/>
  <c r="Z23" i="15"/>
  <c r="X23" i="15"/>
  <c r="P23" i="15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X21" i="15"/>
  <c r="P21" i="15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X19" i="15"/>
  <c r="P19" i="15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D15" i="15"/>
  <c r="L15" i="15" s="1"/>
  <c r="B15" i="15"/>
  <c r="Z14" i="15"/>
  <c r="P14" i="15"/>
  <c r="X14" i="15" s="1"/>
  <c r="N14" i="15"/>
  <c r="L14" i="15"/>
  <c r="D14" i="15"/>
  <c r="B14" i="15"/>
  <c r="P13" i="15"/>
  <c r="N13" i="15"/>
  <c r="L13" i="15"/>
  <c r="D13" i="15"/>
  <c r="B13" i="15"/>
  <c r="T12" i="15"/>
  <c r="H12" i="15"/>
  <c r="J263" i="15" s="1"/>
  <c r="D4" i="15"/>
  <c r="X282" i="12"/>
  <c r="Z282" i="12" s="1"/>
  <c r="L282" i="12"/>
  <c r="N282" i="12" s="1"/>
  <c r="Z278" i="12"/>
  <c r="X278" i="12"/>
  <c r="P278" i="12"/>
  <c r="N278" i="12"/>
  <c r="J278" i="12"/>
  <c r="D278" i="12"/>
  <c r="L278" i="12" s="1"/>
  <c r="B278" i="12"/>
  <c r="X277" i="12"/>
  <c r="Z277" i="12" s="1"/>
  <c r="P277" i="12"/>
  <c r="L277" i="12"/>
  <c r="N277" i="12" s="1"/>
  <c r="D277" i="12"/>
  <c r="B277" i="12"/>
  <c r="Z276" i="12"/>
  <c r="P276" i="12"/>
  <c r="X276" i="12" s="1"/>
  <c r="N276" i="12"/>
  <c r="J276" i="12"/>
  <c r="D276" i="12"/>
  <c r="L276" i="12" s="1"/>
  <c r="B276" i="12"/>
  <c r="Z275" i="12"/>
  <c r="P275" i="12"/>
  <c r="X275" i="12" s="1"/>
  <c r="N275" i="12"/>
  <c r="L275" i="12"/>
  <c r="D275" i="12"/>
  <c r="B275" i="12"/>
  <c r="X274" i="12"/>
  <c r="Z274" i="12" s="1"/>
  <c r="P274" i="12"/>
  <c r="D274" i="12"/>
  <c r="L274" i="12" s="1"/>
  <c r="N274" i="12" s="1"/>
  <c r="B274" i="12"/>
  <c r="Z273" i="12"/>
  <c r="X273" i="12"/>
  <c r="P273" i="12"/>
  <c r="L273" i="12"/>
  <c r="N273" i="12" s="1"/>
  <c r="D273" i="12"/>
  <c r="B273" i="12"/>
  <c r="Z272" i="12"/>
  <c r="X272" i="12"/>
  <c r="P272" i="12"/>
  <c r="N272" i="12"/>
  <c r="L272" i="12"/>
  <c r="D272" i="12"/>
  <c r="B272" i="12"/>
  <c r="Z271" i="12"/>
  <c r="V271" i="12"/>
  <c r="P271" i="12"/>
  <c r="P269" i="12" s="1"/>
  <c r="X269" i="12" s="1"/>
  <c r="Z269" i="12" s="1"/>
  <c r="N271" i="12"/>
  <c r="D271" i="12"/>
  <c r="L271" i="12" s="1"/>
  <c r="B271" i="12"/>
  <c r="Z270" i="12"/>
  <c r="X270" i="12"/>
  <c r="P270" i="12"/>
  <c r="N270" i="12"/>
  <c r="D270" i="12"/>
  <c r="L270" i="12" s="1"/>
  <c r="B270" i="12"/>
  <c r="V269" i="12"/>
  <c r="T269" i="12"/>
  <c r="H269" i="12"/>
  <c r="X267" i="12"/>
  <c r="Z267" i="12" s="1"/>
  <c r="V267" i="12"/>
  <c r="N267" i="12"/>
  <c r="L267" i="12"/>
  <c r="B267" i="12"/>
  <c r="T266" i="12"/>
  <c r="P266" i="12"/>
  <c r="X266" i="12" s="1"/>
  <c r="Z266" i="12" s="1"/>
  <c r="L266" i="12"/>
  <c r="H266" i="12"/>
  <c r="N266" i="12" s="1"/>
  <c r="D266" i="12"/>
  <c r="B266" i="12"/>
  <c r="Z265" i="12"/>
  <c r="X265" i="12"/>
  <c r="N265" i="12"/>
  <c r="L265" i="12"/>
  <c r="J265" i="12"/>
  <c r="B265" i="12"/>
  <c r="Z264" i="12"/>
  <c r="X264" i="12"/>
  <c r="N264" i="12"/>
  <c r="L264" i="12"/>
  <c r="B264" i="12"/>
  <c r="Z263" i="12"/>
  <c r="X263" i="12"/>
  <c r="N263" i="12"/>
  <c r="L263" i="12"/>
  <c r="B263" i="12"/>
  <c r="T262" i="12"/>
  <c r="P262" i="12"/>
  <c r="H262" i="12"/>
  <c r="D262" i="12"/>
  <c r="L262" i="12" s="1"/>
  <c r="B262" i="12"/>
  <c r="Z261" i="12"/>
  <c r="X261" i="12"/>
  <c r="V261" i="12"/>
  <c r="N261" i="12"/>
  <c r="L261" i="12"/>
  <c r="B261" i="12"/>
  <c r="T260" i="12"/>
  <c r="P260" i="12"/>
  <c r="X260" i="12" s="1"/>
  <c r="H260" i="12"/>
  <c r="D260" i="12"/>
  <c r="L260" i="12" s="1"/>
  <c r="N260" i="12" s="1"/>
  <c r="B260" i="12"/>
  <c r="X259" i="12"/>
  <c r="Z259" i="12" s="1"/>
  <c r="V259" i="12"/>
  <c r="N259" i="12"/>
  <c r="L259" i="12"/>
  <c r="B259" i="12"/>
  <c r="X258" i="12"/>
  <c r="Z258" i="12" s="1"/>
  <c r="L258" i="12"/>
  <c r="N258" i="12" s="1"/>
  <c r="B258" i="12"/>
  <c r="T257" i="12"/>
  <c r="P257" i="12"/>
  <c r="X257" i="12" s="1"/>
  <c r="Z257" i="12" s="1"/>
  <c r="L257" i="12"/>
  <c r="N257" i="12" s="1"/>
  <c r="J257" i="12"/>
  <c r="H257" i="12"/>
  <c r="D257" i="12"/>
  <c r="B257" i="12"/>
  <c r="Z256" i="12"/>
  <c r="X256" i="12"/>
  <c r="N256" i="12"/>
  <c r="L256" i="12"/>
  <c r="B256" i="12"/>
  <c r="Z255" i="12"/>
  <c r="X255" i="12"/>
  <c r="L255" i="12"/>
  <c r="N255" i="12" s="1"/>
  <c r="J255" i="12"/>
  <c r="B255" i="12"/>
  <c r="X254" i="12"/>
  <c r="Z254" i="12" s="1"/>
  <c r="L254" i="12"/>
  <c r="N254" i="12" s="1"/>
  <c r="B254" i="12"/>
  <c r="Z253" i="12"/>
  <c r="X253" i="12"/>
  <c r="N253" i="12"/>
  <c r="L253" i="12"/>
  <c r="J253" i="12"/>
  <c r="B253" i="12"/>
  <c r="Z252" i="12"/>
  <c r="X252" i="12"/>
  <c r="N252" i="12"/>
  <c r="L252" i="12"/>
  <c r="B252" i="12"/>
  <c r="Z251" i="12"/>
  <c r="X251" i="12"/>
  <c r="L251" i="12"/>
  <c r="N251" i="12" s="1"/>
  <c r="J251" i="12"/>
  <c r="B251" i="12"/>
  <c r="X250" i="12"/>
  <c r="Z250" i="12" s="1"/>
  <c r="L250" i="12"/>
  <c r="N250" i="12" s="1"/>
  <c r="B250" i="12"/>
  <c r="Z249" i="12"/>
  <c r="X249" i="12"/>
  <c r="N249" i="12"/>
  <c r="L249" i="12"/>
  <c r="J249" i="12"/>
  <c r="B249" i="12"/>
  <c r="T248" i="12"/>
  <c r="Z248" i="12" s="1"/>
  <c r="P248" i="12"/>
  <c r="X248" i="12" s="1"/>
  <c r="L248" i="12"/>
  <c r="H248" i="12"/>
  <c r="D248" i="12"/>
  <c r="B248" i="12"/>
  <c r="X247" i="12"/>
  <c r="Z247" i="12" s="1"/>
  <c r="L247" i="12"/>
  <c r="N247" i="12" s="1"/>
  <c r="J247" i="12"/>
  <c r="B247" i="12"/>
  <c r="X246" i="12"/>
  <c r="Z246" i="12" s="1"/>
  <c r="L246" i="12"/>
  <c r="N246" i="12" s="1"/>
  <c r="B246" i="12"/>
  <c r="V245" i="12"/>
  <c r="T245" i="12"/>
  <c r="P245" i="12"/>
  <c r="X245" i="12" s="1"/>
  <c r="Z245" i="12" s="1"/>
  <c r="J245" i="12"/>
  <c r="H245" i="12"/>
  <c r="D245" i="12"/>
  <c r="L245" i="12" s="1"/>
  <c r="B245" i="12"/>
  <c r="X244" i="12"/>
  <c r="Z244" i="12" s="1"/>
  <c r="N244" i="12"/>
  <c r="L244" i="12"/>
  <c r="B244" i="12"/>
  <c r="X243" i="12"/>
  <c r="Z243" i="12" s="1"/>
  <c r="V243" i="12"/>
  <c r="N243" i="12"/>
  <c r="L243" i="12"/>
  <c r="B243" i="12"/>
  <c r="X242" i="12"/>
  <c r="Z242" i="12" s="1"/>
  <c r="L242" i="12"/>
  <c r="N242" i="12" s="1"/>
  <c r="B242" i="12"/>
  <c r="Z241" i="12"/>
  <c r="X241" i="12"/>
  <c r="N241" i="12"/>
  <c r="L241" i="12"/>
  <c r="B241" i="12"/>
  <c r="X240" i="12"/>
  <c r="Z240" i="12" s="1"/>
  <c r="N240" i="12"/>
  <c r="L240" i="12"/>
  <c r="B240" i="12"/>
  <c r="Z239" i="12"/>
  <c r="X239" i="12"/>
  <c r="V239" i="12"/>
  <c r="N239" i="12"/>
  <c r="L239" i="12"/>
  <c r="B239" i="12"/>
  <c r="T238" i="12"/>
  <c r="P238" i="12"/>
  <c r="X238" i="12" s="1"/>
  <c r="Z238" i="12" s="1"/>
  <c r="L238" i="12"/>
  <c r="H238" i="12"/>
  <c r="D238" i="12"/>
  <c r="B238" i="12"/>
  <c r="Z237" i="12"/>
  <c r="X237" i="12"/>
  <c r="N237" i="12"/>
  <c r="L237" i="12"/>
  <c r="J237" i="12"/>
  <c r="B237" i="12"/>
  <c r="Z236" i="12"/>
  <c r="X236" i="12"/>
  <c r="N236" i="12"/>
  <c r="L236" i="12"/>
  <c r="B236" i="12"/>
  <c r="Z235" i="12"/>
  <c r="X235" i="12"/>
  <c r="L235" i="12"/>
  <c r="N235" i="12" s="1"/>
  <c r="J235" i="12"/>
  <c r="B235" i="12"/>
  <c r="X234" i="12"/>
  <c r="Z234" i="12" s="1"/>
  <c r="L234" i="12"/>
  <c r="N234" i="12" s="1"/>
  <c r="B234" i="12"/>
  <c r="T233" i="12"/>
  <c r="X233" i="12" s="1"/>
  <c r="Z233" i="12" s="1"/>
  <c r="P233" i="12"/>
  <c r="H233" i="12"/>
  <c r="D233" i="12"/>
  <c r="L233" i="12" s="1"/>
  <c r="N233" i="12" s="1"/>
  <c r="B233" i="12"/>
  <c r="Z232" i="12"/>
  <c r="X232" i="12"/>
  <c r="L232" i="12"/>
  <c r="N232" i="12" s="1"/>
  <c r="B232" i="12"/>
  <c r="X231" i="12"/>
  <c r="Z231" i="12" s="1"/>
  <c r="L231" i="12"/>
  <c r="N231" i="12" s="1"/>
  <c r="J231" i="12"/>
  <c r="B231" i="12"/>
  <c r="X230" i="12"/>
  <c r="Z230" i="12" s="1"/>
  <c r="L230" i="12"/>
  <c r="N230" i="12" s="1"/>
  <c r="B230" i="12"/>
  <c r="Z229" i="12"/>
  <c r="X229" i="12"/>
  <c r="V229" i="12"/>
  <c r="N229" i="12"/>
  <c r="L229" i="12"/>
  <c r="B229" i="12"/>
  <c r="T228" i="12"/>
  <c r="P228" i="12"/>
  <c r="H228" i="12"/>
  <c r="D228" i="12"/>
  <c r="L228" i="12" s="1"/>
  <c r="N228" i="12" s="1"/>
  <c r="B228" i="12"/>
  <c r="X227" i="12"/>
  <c r="Z227" i="12" s="1"/>
  <c r="V227" i="12"/>
  <c r="N227" i="12"/>
  <c r="L227" i="12"/>
  <c r="B227" i="12"/>
  <c r="T226" i="12"/>
  <c r="P226" i="12"/>
  <c r="X226" i="12" s="1"/>
  <c r="Z226" i="12" s="1"/>
  <c r="L226" i="12"/>
  <c r="H226" i="12"/>
  <c r="D226" i="12"/>
  <c r="B226" i="12"/>
  <c r="Z225" i="12"/>
  <c r="X225" i="12"/>
  <c r="N225" i="12"/>
  <c r="L225" i="12"/>
  <c r="J225" i="12"/>
  <c r="B225" i="12"/>
  <c r="T224" i="12"/>
  <c r="Z224" i="12" s="1"/>
  <c r="P224" i="12"/>
  <c r="X224" i="12" s="1"/>
  <c r="L224" i="12"/>
  <c r="H224" i="12"/>
  <c r="N224" i="12" s="1"/>
  <c r="D224" i="12"/>
  <c r="B224" i="12"/>
  <c r="X223" i="12"/>
  <c r="Z223" i="12" s="1"/>
  <c r="L223" i="12"/>
  <c r="N223" i="12" s="1"/>
  <c r="J223" i="12"/>
  <c r="B223" i="12"/>
  <c r="T222" i="12"/>
  <c r="P222" i="12"/>
  <c r="X222" i="12" s="1"/>
  <c r="Z222" i="12" s="1"/>
  <c r="H222" i="12"/>
  <c r="D222" i="12"/>
  <c r="B222" i="12"/>
  <c r="Z221" i="12"/>
  <c r="X221" i="12"/>
  <c r="N221" i="12"/>
  <c r="L221" i="12"/>
  <c r="B221" i="12"/>
  <c r="X220" i="12"/>
  <c r="T220" i="12"/>
  <c r="Z220" i="12" s="1"/>
  <c r="P220" i="12"/>
  <c r="H220" i="12"/>
  <c r="D220" i="12"/>
  <c r="L220" i="12" s="1"/>
  <c r="N220" i="12" s="1"/>
  <c r="B220" i="12"/>
  <c r="Z219" i="12"/>
  <c r="X219" i="12"/>
  <c r="L219" i="12"/>
  <c r="N219" i="12" s="1"/>
  <c r="J219" i="12"/>
  <c r="B219" i="12"/>
  <c r="T218" i="12"/>
  <c r="P218" i="12"/>
  <c r="H218" i="12"/>
  <c r="D218" i="12"/>
  <c r="L218" i="12" s="1"/>
  <c r="B218" i="12"/>
  <c r="Z217" i="12"/>
  <c r="X217" i="12"/>
  <c r="V217" i="12"/>
  <c r="N217" i="12"/>
  <c r="L217" i="12"/>
  <c r="B217" i="12"/>
  <c r="T216" i="12"/>
  <c r="P216" i="12"/>
  <c r="X216" i="12" s="1"/>
  <c r="H216" i="12"/>
  <c r="D216" i="12"/>
  <c r="L216" i="12" s="1"/>
  <c r="N216" i="12" s="1"/>
  <c r="B216" i="12"/>
  <c r="X215" i="12"/>
  <c r="Z215" i="12" s="1"/>
  <c r="V215" i="12"/>
  <c r="N215" i="12"/>
  <c r="L215" i="12"/>
  <c r="B215" i="12"/>
  <c r="T214" i="12"/>
  <c r="P214" i="12"/>
  <c r="X214" i="12" s="1"/>
  <c r="Z214" i="12" s="1"/>
  <c r="L214" i="12"/>
  <c r="H214" i="12"/>
  <c r="N214" i="12" s="1"/>
  <c r="D214" i="12"/>
  <c r="B214" i="12"/>
  <c r="Z213" i="12"/>
  <c r="X213" i="12"/>
  <c r="N213" i="12"/>
  <c r="L213" i="12"/>
  <c r="J213" i="12"/>
  <c r="B213" i="12"/>
  <c r="Z212" i="12"/>
  <c r="X212" i="12"/>
  <c r="N212" i="12"/>
  <c r="L212" i="12"/>
  <c r="B212" i="12"/>
  <c r="Z211" i="12"/>
  <c r="T211" i="12"/>
  <c r="P211" i="12"/>
  <c r="X211" i="12" s="1"/>
  <c r="H211" i="12"/>
  <c r="L211" i="12" s="1"/>
  <c r="N211" i="12" s="1"/>
  <c r="D211" i="12"/>
  <c r="B211" i="12"/>
  <c r="X210" i="12"/>
  <c r="Z210" i="12" s="1"/>
  <c r="L210" i="12"/>
  <c r="N210" i="12" s="1"/>
  <c r="B210" i="12"/>
  <c r="Z209" i="12"/>
  <c r="V209" i="12"/>
  <c r="T209" i="12"/>
  <c r="P209" i="12"/>
  <c r="X209" i="12" s="1"/>
  <c r="J209" i="12"/>
  <c r="H209" i="12"/>
  <c r="N209" i="12" s="1"/>
  <c r="D209" i="12"/>
  <c r="L209" i="12" s="1"/>
  <c r="B209" i="12"/>
  <c r="X208" i="12"/>
  <c r="Z208" i="12" s="1"/>
  <c r="N208" i="12"/>
  <c r="L208" i="12"/>
  <c r="B208" i="12"/>
  <c r="X207" i="12"/>
  <c r="Z207" i="12" s="1"/>
  <c r="V207" i="12"/>
  <c r="T207" i="12"/>
  <c r="P207" i="12"/>
  <c r="H207" i="12"/>
  <c r="D207" i="12"/>
  <c r="L207" i="12" s="1"/>
  <c r="N207" i="12" s="1"/>
  <c r="B207" i="12"/>
  <c r="Z206" i="12"/>
  <c r="X206" i="12"/>
  <c r="N206" i="12"/>
  <c r="L206" i="12"/>
  <c r="B206" i="12"/>
  <c r="Z205" i="12"/>
  <c r="X205" i="12"/>
  <c r="N205" i="12"/>
  <c r="L205" i="12"/>
  <c r="J205" i="12"/>
  <c r="B205" i="12"/>
  <c r="T204" i="12"/>
  <c r="P204" i="12"/>
  <c r="X204" i="12" s="1"/>
  <c r="H204" i="12"/>
  <c r="L204" i="12" s="1"/>
  <c r="D204" i="12"/>
  <c r="B204" i="12"/>
  <c r="Z203" i="12"/>
  <c r="X203" i="12"/>
  <c r="N203" i="12"/>
  <c r="L203" i="12"/>
  <c r="J203" i="12"/>
  <c r="B203" i="12"/>
  <c r="X202" i="12"/>
  <c r="Z202" i="12" s="1"/>
  <c r="L202" i="12"/>
  <c r="N202" i="12" s="1"/>
  <c r="B202" i="12"/>
  <c r="Z201" i="12"/>
  <c r="V201" i="12"/>
  <c r="T201" i="12"/>
  <c r="P201" i="12"/>
  <c r="X201" i="12" s="1"/>
  <c r="J201" i="12"/>
  <c r="H201" i="12"/>
  <c r="D201" i="12"/>
  <c r="L201" i="12" s="1"/>
  <c r="B201" i="12"/>
  <c r="X200" i="12"/>
  <c r="Z200" i="12" s="1"/>
  <c r="N200" i="12"/>
  <c r="L200" i="12"/>
  <c r="B200" i="12"/>
  <c r="X199" i="12"/>
  <c r="Z199" i="12" s="1"/>
  <c r="V199" i="12"/>
  <c r="N199" i="12"/>
  <c r="L199" i="12"/>
  <c r="B199" i="12"/>
  <c r="X198" i="12"/>
  <c r="Z198" i="12" s="1"/>
  <c r="L198" i="12"/>
  <c r="N198" i="12" s="1"/>
  <c r="B198" i="12"/>
  <c r="Z197" i="12"/>
  <c r="X197" i="12"/>
  <c r="N197" i="12"/>
  <c r="L197" i="12"/>
  <c r="B197" i="12"/>
  <c r="X196" i="12"/>
  <c r="T196" i="12"/>
  <c r="Z196" i="12" s="1"/>
  <c r="P196" i="12"/>
  <c r="H196" i="12"/>
  <c r="D196" i="12"/>
  <c r="L196" i="12" s="1"/>
  <c r="N196" i="12" s="1"/>
  <c r="B196" i="12"/>
  <c r="Z195" i="12"/>
  <c r="X195" i="12"/>
  <c r="L195" i="12"/>
  <c r="N195" i="12" s="1"/>
  <c r="J195" i="12"/>
  <c r="B195" i="12"/>
  <c r="X194" i="12"/>
  <c r="T194" i="12"/>
  <c r="P194" i="12"/>
  <c r="H194" i="12"/>
  <c r="N194" i="12" s="1"/>
  <c r="D194" i="12"/>
  <c r="L194" i="12" s="1"/>
  <c r="B194" i="12"/>
  <c r="Z193" i="12"/>
  <c r="X193" i="12"/>
  <c r="V193" i="12"/>
  <c r="N193" i="12"/>
  <c r="L193" i="12"/>
  <c r="B193" i="12"/>
  <c r="Z192" i="12"/>
  <c r="X192" i="12"/>
  <c r="L192" i="12"/>
  <c r="N192" i="12" s="1"/>
  <c r="B192" i="12"/>
  <c r="T191" i="12"/>
  <c r="Z191" i="12" s="1"/>
  <c r="P191" i="12"/>
  <c r="X191" i="12" s="1"/>
  <c r="N191" i="12"/>
  <c r="J191" i="12"/>
  <c r="H191" i="12"/>
  <c r="D191" i="12"/>
  <c r="L191" i="12" s="1"/>
  <c r="B191" i="12"/>
  <c r="X190" i="12"/>
  <c r="Z190" i="12" s="1"/>
  <c r="L190" i="12"/>
  <c r="N190" i="12" s="1"/>
  <c r="B190" i="12"/>
  <c r="T189" i="12"/>
  <c r="P189" i="12"/>
  <c r="X189" i="12" s="1"/>
  <c r="Z189" i="12" s="1"/>
  <c r="L189" i="12"/>
  <c r="N189" i="12" s="1"/>
  <c r="J189" i="12"/>
  <c r="H189" i="12"/>
  <c r="D189" i="12"/>
  <c r="B189" i="12"/>
  <c r="Z188" i="12"/>
  <c r="X188" i="12"/>
  <c r="N188" i="12"/>
  <c r="L188" i="12"/>
  <c r="B188" i="12"/>
  <c r="Z187" i="12"/>
  <c r="X187" i="12"/>
  <c r="N187" i="12"/>
  <c r="L187" i="12"/>
  <c r="J187" i="12"/>
  <c r="B187" i="12"/>
  <c r="X186" i="12"/>
  <c r="Z186" i="12" s="1"/>
  <c r="L186" i="12"/>
  <c r="N186" i="12" s="1"/>
  <c r="B186" i="12"/>
  <c r="Z185" i="12"/>
  <c r="X185" i="12"/>
  <c r="N185" i="12"/>
  <c r="L185" i="12"/>
  <c r="J185" i="12"/>
  <c r="B185" i="12"/>
  <c r="Z184" i="12"/>
  <c r="X184" i="12"/>
  <c r="N184" i="12"/>
  <c r="L184" i="12"/>
  <c r="B184" i="12"/>
  <c r="Z183" i="12"/>
  <c r="X183" i="12"/>
  <c r="L183" i="12"/>
  <c r="N183" i="12" s="1"/>
  <c r="J183" i="12"/>
  <c r="B183" i="12"/>
  <c r="X182" i="12"/>
  <c r="Z182" i="12" s="1"/>
  <c r="L182" i="12"/>
  <c r="N182" i="12" s="1"/>
  <c r="B182" i="12"/>
  <c r="Z181" i="12"/>
  <c r="X181" i="12"/>
  <c r="N181" i="12"/>
  <c r="L181" i="12"/>
  <c r="J181" i="12"/>
  <c r="B181" i="12"/>
  <c r="Z180" i="12"/>
  <c r="X180" i="12"/>
  <c r="N180" i="12"/>
  <c r="L180" i="12"/>
  <c r="B180" i="12"/>
  <c r="Z179" i="12"/>
  <c r="X179" i="12"/>
  <c r="L179" i="12"/>
  <c r="N179" i="12" s="1"/>
  <c r="J179" i="12"/>
  <c r="B179" i="12"/>
  <c r="T178" i="12"/>
  <c r="P178" i="12"/>
  <c r="H178" i="12"/>
  <c r="N178" i="12" s="1"/>
  <c r="D178" i="12"/>
  <c r="L178" i="12" s="1"/>
  <c r="B178" i="12"/>
  <c r="Z177" i="12"/>
  <c r="X177" i="12"/>
  <c r="V177" i="12"/>
  <c r="N177" i="12"/>
  <c r="L177" i="12"/>
  <c r="B177" i="12"/>
  <c r="Z176" i="12"/>
  <c r="X176" i="12"/>
  <c r="L176" i="12"/>
  <c r="N176" i="12" s="1"/>
  <c r="B176" i="12"/>
  <c r="X175" i="12"/>
  <c r="Z175" i="12" s="1"/>
  <c r="L175" i="12"/>
  <c r="N175" i="12" s="1"/>
  <c r="J175" i="12"/>
  <c r="B175" i="12"/>
  <c r="Z174" i="12"/>
  <c r="X174" i="12"/>
  <c r="N174" i="12"/>
  <c r="L174" i="12"/>
  <c r="B174" i="12"/>
  <c r="Z173" i="12"/>
  <c r="X173" i="12"/>
  <c r="V173" i="12"/>
  <c r="N173" i="12"/>
  <c r="L173" i="12"/>
  <c r="B173" i="12"/>
  <c r="Z172" i="12"/>
  <c r="X172" i="12"/>
  <c r="L172" i="12"/>
  <c r="N172" i="12" s="1"/>
  <c r="B172" i="12"/>
  <c r="X171" i="12"/>
  <c r="Z171" i="12" s="1"/>
  <c r="L171" i="12"/>
  <c r="N171" i="12" s="1"/>
  <c r="J171" i="12"/>
  <c r="B171" i="12"/>
  <c r="X170" i="12"/>
  <c r="Z170" i="12" s="1"/>
  <c r="L170" i="12"/>
  <c r="N170" i="12" s="1"/>
  <c r="B170" i="12"/>
  <c r="Z169" i="12"/>
  <c r="X169" i="12"/>
  <c r="V169" i="12"/>
  <c r="N169" i="12"/>
  <c r="L169" i="12"/>
  <c r="B169" i="12"/>
  <c r="Z168" i="12"/>
  <c r="X168" i="12"/>
  <c r="L168" i="12"/>
  <c r="N168" i="12" s="1"/>
  <c r="B168" i="12"/>
  <c r="V167" i="12"/>
  <c r="T167" i="12"/>
  <c r="Z167" i="12" s="1"/>
  <c r="P167" i="12"/>
  <c r="X167" i="12" s="1"/>
  <c r="J167" i="12"/>
  <c r="H167" i="12"/>
  <c r="D167" i="12"/>
  <c r="L167" i="12" s="1"/>
  <c r="N167" i="12" s="1"/>
  <c r="B167" i="12"/>
  <c r="T166" i="12"/>
  <c r="P166" i="12"/>
  <c r="H166" i="12"/>
  <c r="D166" i="12"/>
  <c r="L166" i="12" s="1"/>
  <c r="Z162" i="12"/>
  <c r="X162" i="12"/>
  <c r="N162" i="12"/>
  <c r="L162" i="12"/>
  <c r="B162" i="12"/>
  <c r="Z161" i="12"/>
  <c r="X161" i="12"/>
  <c r="N161" i="12"/>
  <c r="L161" i="12"/>
  <c r="B161" i="12"/>
  <c r="Z160" i="12"/>
  <c r="X160" i="12"/>
  <c r="N160" i="12"/>
  <c r="L160" i="12"/>
  <c r="B160" i="12"/>
  <c r="Z159" i="12"/>
  <c r="X159" i="12"/>
  <c r="V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V155" i="12"/>
  <c r="N155" i="12"/>
  <c r="L155" i="12"/>
  <c r="B155" i="12"/>
  <c r="Z154" i="12"/>
  <c r="X154" i="12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V151" i="12"/>
  <c r="N151" i="12"/>
  <c r="L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V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V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V139" i="12"/>
  <c r="N139" i="12"/>
  <c r="L139" i="12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V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B132" i="12"/>
  <c r="Z131" i="12"/>
  <c r="X131" i="12"/>
  <c r="V131" i="12"/>
  <c r="N131" i="12"/>
  <c r="L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V127" i="12"/>
  <c r="N127" i="12"/>
  <c r="L127" i="12"/>
  <c r="B127" i="12"/>
  <c r="Z126" i="12"/>
  <c r="X126" i="12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V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V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V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V111" i="12"/>
  <c r="N111" i="12"/>
  <c r="L111" i="12"/>
  <c r="B111" i="12"/>
  <c r="X110" i="12"/>
  <c r="Z110" i="12" s="1"/>
  <c r="L110" i="12"/>
  <c r="N110" i="12" s="1"/>
  <c r="B110" i="12"/>
  <c r="T109" i="12"/>
  <c r="P109" i="12"/>
  <c r="X109" i="12" s="1"/>
  <c r="Z109" i="12" s="1"/>
  <c r="L109" i="12"/>
  <c r="N109" i="12" s="1"/>
  <c r="J109" i="12"/>
  <c r="H109" i="12"/>
  <c r="D109" i="12"/>
  <c r="Z107" i="12"/>
  <c r="X107" i="12"/>
  <c r="P107" i="12"/>
  <c r="N107" i="12"/>
  <c r="L107" i="12"/>
  <c r="D107" i="12"/>
  <c r="B107" i="12"/>
  <c r="Z106" i="12"/>
  <c r="X106" i="12"/>
  <c r="P106" i="12"/>
  <c r="N106" i="12"/>
  <c r="D106" i="12"/>
  <c r="L106" i="12" s="1"/>
  <c r="B106" i="12"/>
  <c r="Z105" i="12"/>
  <c r="P105" i="12"/>
  <c r="X105" i="12" s="1"/>
  <c r="N105" i="12"/>
  <c r="D105" i="12"/>
  <c r="L105" i="12" s="1"/>
  <c r="B105" i="12"/>
  <c r="Z104" i="12"/>
  <c r="X104" i="12"/>
  <c r="P104" i="12"/>
  <c r="N104" i="12"/>
  <c r="L104" i="12"/>
  <c r="D104" i="12"/>
  <c r="B104" i="12"/>
  <c r="Z103" i="12"/>
  <c r="X103" i="12"/>
  <c r="P103" i="12"/>
  <c r="N103" i="12"/>
  <c r="L103" i="12"/>
  <c r="D103" i="12"/>
  <c r="B103" i="12"/>
  <c r="Z102" i="12"/>
  <c r="X102" i="12"/>
  <c r="P102" i="12"/>
  <c r="N102" i="12"/>
  <c r="D102" i="12"/>
  <c r="L102" i="12" s="1"/>
  <c r="B102" i="12"/>
  <c r="Z101" i="12"/>
  <c r="P101" i="12"/>
  <c r="X101" i="12" s="1"/>
  <c r="N101" i="12"/>
  <c r="L101" i="12"/>
  <c r="D101" i="12"/>
  <c r="B101" i="12"/>
  <c r="Z100" i="12"/>
  <c r="P100" i="12"/>
  <c r="X100" i="12" s="1"/>
  <c r="N100" i="12"/>
  <c r="L100" i="12"/>
  <c r="D100" i="12"/>
  <c r="B100" i="12"/>
  <c r="Z99" i="12"/>
  <c r="P99" i="12"/>
  <c r="X99" i="12" s="1"/>
  <c r="N99" i="12"/>
  <c r="L99" i="12"/>
  <c r="D99" i="12"/>
  <c r="B99" i="12"/>
  <c r="Z98" i="12"/>
  <c r="X98" i="12"/>
  <c r="P98" i="12"/>
  <c r="N98" i="12"/>
  <c r="D98" i="12"/>
  <c r="L98" i="12" s="1"/>
  <c r="B98" i="12"/>
  <c r="Z97" i="12"/>
  <c r="P97" i="12"/>
  <c r="X97" i="12" s="1"/>
  <c r="N97" i="12"/>
  <c r="D97" i="12"/>
  <c r="L97" i="12" s="1"/>
  <c r="B97" i="12"/>
  <c r="Z96" i="12"/>
  <c r="P96" i="12"/>
  <c r="X96" i="12" s="1"/>
  <c r="N96" i="12"/>
  <c r="D96" i="12"/>
  <c r="L96" i="12" s="1"/>
  <c r="B96" i="12"/>
  <c r="Z95" i="12"/>
  <c r="X95" i="12"/>
  <c r="P95" i="12"/>
  <c r="N95" i="12"/>
  <c r="L95" i="12"/>
  <c r="D95" i="12"/>
  <c r="B95" i="12"/>
  <c r="Z94" i="12"/>
  <c r="X94" i="12"/>
  <c r="P94" i="12"/>
  <c r="N94" i="12"/>
  <c r="D94" i="12"/>
  <c r="L94" i="12" s="1"/>
  <c r="B94" i="12"/>
  <c r="Z93" i="12"/>
  <c r="P93" i="12"/>
  <c r="X93" i="12" s="1"/>
  <c r="N93" i="12"/>
  <c r="D93" i="12"/>
  <c r="L93" i="12" s="1"/>
  <c r="B93" i="12"/>
  <c r="Z92" i="12"/>
  <c r="X92" i="12"/>
  <c r="P92" i="12"/>
  <c r="N92" i="12"/>
  <c r="L92" i="12"/>
  <c r="D92" i="12"/>
  <c r="B92" i="12"/>
  <c r="Z91" i="12"/>
  <c r="X91" i="12"/>
  <c r="P91" i="12"/>
  <c r="N91" i="12"/>
  <c r="L91" i="12"/>
  <c r="D91" i="12"/>
  <c r="B91" i="12"/>
  <c r="Z90" i="12"/>
  <c r="X90" i="12"/>
  <c r="P90" i="12"/>
  <c r="N90" i="12"/>
  <c r="D90" i="12"/>
  <c r="L90" i="12" s="1"/>
  <c r="B90" i="12"/>
  <c r="Z89" i="12"/>
  <c r="P89" i="12"/>
  <c r="X89" i="12" s="1"/>
  <c r="N89" i="12"/>
  <c r="L89" i="12"/>
  <c r="D89" i="12"/>
  <c r="B89" i="12"/>
  <c r="Z88" i="12"/>
  <c r="P88" i="12"/>
  <c r="X88" i="12" s="1"/>
  <c r="N88" i="12"/>
  <c r="L88" i="12"/>
  <c r="D88" i="12"/>
  <c r="B88" i="12"/>
  <c r="Z87" i="12"/>
  <c r="P87" i="12"/>
  <c r="X87" i="12" s="1"/>
  <c r="N87" i="12"/>
  <c r="L87" i="12"/>
  <c r="D87" i="12"/>
  <c r="B87" i="12"/>
  <c r="Z86" i="12"/>
  <c r="X86" i="12"/>
  <c r="P86" i="12"/>
  <c r="N86" i="12"/>
  <c r="D86" i="12"/>
  <c r="L86" i="12" s="1"/>
  <c r="B86" i="12"/>
  <c r="Z85" i="12"/>
  <c r="P85" i="12"/>
  <c r="X85" i="12" s="1"/>
  <c r="N85" i="12"/>
  <c r="D85" i="12"/>
  <c r="L85" i="12" s="1"/>
  <c r="B85" i="12"/>
  <c r="Z84" i="12"/>
  <c r="P84" i="12"/>
  <c r="X84" i="12" s="1"/>
  <c r="N84" i="12"/>
  <c r="D84" i="12"/>
  <c r="L84" i="12" s="1"/>
  <c r="B84" i="12"/>
  <c r="Z83" i="12"/>
  <c r="X83" i="12"/>
  <c r="P83" i="12"/>
  <c r="N83" i="12"/>
  <c r="L83" i="12"/>
  <c r="D83" i="12"/>
  <c r="B83" i="12"/>
  <c r="Z82" i="12"/>
  <c r="X82" i="12"/>
  <c r="P82" i="12"/>
  <c r="N82" i="12"/>
  <c r="D82" i="12"/>
  <c r="L82" i="12" s="1"/>
  <c r="B82" i="12"/>
  <c r="Z81" i="12"/>
  <c r="P81" i="12"/>
  <c r="X81" i="12" s="1"/>
  <c r="N81" i="12"/>
  <c r="D81" i="12"/>
  <c r="L81" i="12" s="1"/>
  <c r="B81" i="12"/>
  <c r="Z80" i="12"/>
  <c r="X80" i="12"/>
  <c r="P80" i="12"/>
  <c r="N80" i="12"/>
  <c r="L80" i="12"/>
  <c r="D80" i="12"/>
  <c r="B80" i="12"/>
  <c r="Z79" i="12"/>
  <c r="X79" i="12"/>
  <c r="P79" i="12"/>
  <c r="N79" i="12"/>
  <c r="L79" i="12"/>
  <c r="D79" i="12"/>
  <c r="B79" i="12"/>
  <c r="Z78" i="12"/>
  <c r="X78" i="12"/>
  <c r="P78" i="12"/>
  <c r="N78" i="12"/>
  <c r="D78" i="12"/>
  <c r="L78" i="12" s="1"/>
  <c r="B78" i="12"/>
  <c r="Z77" i="12"/>
  <c r="P77" i="12"/>
  <c r="X77" i="12" s="1"/>
  <c r="N77" i="12"/>
  <c r="L77" i="12"/>
  <c r="D77" i="12"/>
  <c r="B77" i="12"/>
  <c r="Z76" i="12"/>
  <c r="P76" i="12"/>
  <c r="X76" i="12" s="1"/>
  <c r="N76" i="12"/>
  <c r="L76" i="12"/>
  <c r="D76" i="12"/>
  <c r="B76" i="12"/>
  <c r="Z75" i="12"/>
  <c r="P75" i="12"/>
  <c r="X75" i="12" s="1"/>
  <c r="N75" i="12"/>
  <c r="L75" i="12"/>
  <c r="D75" i="12"/>
  <c r="B75" i="12"/>
  <c r="Z74" i="12"/>
  <c r="X74" i="12"/>
  <c r="P74" i="12"/>
  <c r="N74" i="12"/>
  <c r="D74" i="12"/>
  <c r="L74" i="12" s="1"/>
  <c r="B74" i="12"/>
  <c r="Z73" i="12"/>
  <c r="P73" i="12"/>
  <c r="X73" i="12" s="1"/>
  <c r="N73" i="12"/>
  <c r="D73" i="12"/>
  <c r="L73" i="12" s="1"/>
  <c r="B73" i="12"/>
  <c r="Z72" i="12"/>
  <c r="P72" i="12"/>
  <c r="X72" i="12" s="1"/>
  <c r="N72" i="12"/>
  <c r="D72" i="12"/>
  <c r="L72" i="12" s="1"/>
  <c r="B72" i="12"/>
  <c r="Z71" i="12"/>
  <c r="X71" i="12"/>
  <c r="P71" i="12"/>
  <c r="N71" i="12"/>
  <c r="L71" i="12"/>
  <c r="D71" i="12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X67" i="12"/>
  <c r="P67" i="12"/>
  <c r="N67" i="12"/>
  <c r="L67" i="12"/>
  <c r="D67" i="12"/>
  <c r="B67" i="12"/>
  <c r="Z66" i="12"/>
  <c r="X66" i="12"/>
  <c r="P66" i="12"/>
  <c r="N66" i="12"/>
  <c r="D66" i="12"/>
  <c r="L66" i="12" s="1"/>
  <c r="B66" i="12"/>
  <c r="Z65" i="12"/>
  <c r="P65" i="12"/>
  <c r="X65" i="12" s="1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P63" i="12"/>
  <c r="X63" i="12" s="1"/>
  <c r="N63" i="12"/>
  <c r="L63" i="12"/>
  <c r="D63" i="12"/>
  <c r="B63" i="12"/>
  <c r="Z62" i="12"/>
  <c r="X62" i="12"/>
  <c r="P62" i="12"/>
  <c r="N62" i="12"/>
  <c r="D62" i="12"/>
  <c r="L62" i="12" s="1"/>
  <c r="B62" i="12"/>
  <c r="Z61" i="12"/>
  <c r="P61" i="12"/>
  <c r="X61" i="12" s="1"/>
  <c r="N61" i="12"/>
  <c r="D61" i="12"/>
  <c r="L61" i="12" s="1"/>
  <c r="B61" i="12"/>
  <c r="Z60" i="12"/>
  <c r="P60" i="12"/>
  <c r="X60" i="12" s="1"/>
  <c r="N60" i="12"/>
  <c r="D60" i="12"/>
  <c r="L60" i="12" s="1"/>
  <c r="B60" i="12"/>
  <c r="Z59" i="12"/>
  <c r="X59" i="12"/>
  <c r="P59" i="12"/>
  <c r="N59" i="12"/>
  <c r="L59" i="12"/>
  <c r="D59" i="12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X55" i="12"/>
  <c r="P55" i="12"/>
  <c r="N55" i="12"/>
  <c r="L55" i="12"/>
  <c r="D55" i="12"/>
  <c r="B55" i="12"/>
  <c r="Z54" i="12"/>
  <c r="X54" i="12"/>
  <c r="P54" i="12"/>
  <c r="N54" i="12"/>
  <c r="D54" i="12"/>
  <c r="L54" i="12" s="1"/>
  <c r="B54" i="12"/>
  <c r="Z53" i="12"/>
  <c r="P53" i="12"/>
  <c r="X53" i="12" s="1"/>
  <c r="N53" i="12"/>
  <c r="L53" i="12"/>
  <c r="D53" i="12"/>
  <c r="B53" i="12"/>
  <c r="Z52" i="12"/>
  <c r="P52" i="12"/>
  <c r="X52" i="12" s="1"/>
  <c r="N52" i="12"/>
  <c r="L52" i="12"/>
  <c r="D52" i="12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D50" i="12"/>
  <c r="L50" i="12" s="1"/>
  <c r="B50" i="12"/>
  <c r="Z49" i="12"/>
  <c r="P49" i="12"/>
  <c r="X49" i="12" s="1"/>
  <c r="N49" i="12"/>
  <c r="D49" i="12"/>
  <c r="L49" i="12" s="1"/>
  <c r="B49" i="12"/>
  <c r="P48" i="12"/>
  <c r="X48" i="12" s="1"/>
  <c r="Z48" i="12" s="1"/>
  <c r="D48" i="12"/>
  <c r="L48" i="12" s="1"/>
  <c r="N48" i="12" s="1"/>
  <c r="B48" i="12"/>
  <c r="Z47" i="12"/>
  <c r="X47" i="12"/>
  <c r="P47" i="12"/>
  <c r="N47" i="12"/>
  <c r="L47" i="12"/>
  <c r="D47" i="12"/>
  <c r="B47" i="12"/>
  <c r="Z46" i="12"/>
  <c r="X46" i="12"/>
  <c r="P46" i="12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X43" i="12"/>
  <c r="P43" i="12"/>
  <c r="N43" i="12"/>
  <c r="L43" i="12"/>
  <c r="D43" i="12"/>
  <c r="B43" i="12"/>
  <c r="Z42" i="12"/>
  <c r="X42" i="12"/>
  <c r="P42" i="12"/>
  <c r="N42" i="12"/>
  <c r="D42" i="12"/>
  <c r="L42" i="12" s="1"/>
  <c r="B42" i="12"/>
  <c r="Z41" i="12"/>
  <c r="P41" i="12"/>
  <c r="X41" i="12" s="1"/>
  <c r="N41" i="12"/>
  <c r="L41" i="12"/>
  <c r="D41" i="12"/>
  <c r="B41" i="12"/>
  <c r="Z40" i="12"/>
  <c r="P40" i="12"/>
  <c r="X40" i="12" s="1"/>
  <c r="N40" i="12"/>
  <c r="L40" i="12"/>
  <c r="D40" i="12"/>
  <c r="B40" i="12"/>
  <c r="Z39" i="12"/>
  <c r="P39" i="12"/>
  <c r="X39" i="12" s="1"/>
  <c r="N39" i="12"/>
  <c r="L39" i="12"/>
  <c r="D39" i="12"/>
  <c r="B39" i="12"/>
  <c r="Z38" i="12"/>
  <c r="X38" i="12"/>
  <c r="P38" i="12"/>
  <c r="N38" i="12"/>
  <c r="D38" i="12"/>
  <c r="L38" i="12" s="1"/>
  <c r="B38" i="12"/>
  <c r="Z37" i="12"/>
  <c r="P37" i="12"/>
  <c r="X37" i="12" s="1"/>
  <c r="N37" i="12"/>
  <c r="D37" i="12"/>
  <c r="L37" i="12" s="1"/>
  <c r="B37" i="12"/>
  <c r="Z36" i="12"/>
  <c r="P36" i="12"/>
  <c r="X36" i="12" s="1"/>
  <c r="N36" i="12"/>
  <c r="D36" i="12"/>
  <c r="L36" i="12" s="1"/>
  <c r="B36" i="12"/>
  <c r="Z35" i="12"/>
  <c r="X35" i="12"/>
  <c r="P35" i="12"/>
  <c r="N35" i="12"/>
  <c r="L35" i="12"/>
  <c r="D35" i="12"/>
  <c r="B35" i="12"/>
  <c r="Z34" i="12"/>
  <c r="X34" i="12"/>
  <c r="P34" i="12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X31" i="12"/>
  <c r="P31" i="12"/>
  <c r="N31" i="12"/>
  <c r="L31" i="12"/>
  <c r="D31" i="12"/>
  <c r="B31" i="12"/>
  <c r="Z30" i="12"/>
  <c r="X30" i="12"/>
  <c r="P30" i="12"/>
  <c r="N30" i="12"/>
  <c r="D30" i="12"/>
  <c r="L30" i="12" s="1"/>
  <c r="B30" i="12"/>
  <c r="Z29" i="12"/>
  <c r="P29" i="12"/>
  <c r="X29" i="12" s="1"/>
  <c r="N29" i="12"/>
  <c r="L29" i="12"/>
  <c r="D29" i="12"/>
  <c r="B29" i="12"/>
  <c r="Z28" i="12"/>
  <c r="P28" i="12"/>
  <c r="X28" i="12" s="1"/>
  <c r="N28" i="12"/>
  <c r="L28" i="12"/>
  <c r="D28" i="12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D26" i="12"/>
  <c r="L26" i="12" s="1"/>
  <c r="B26" i="12"/>
  <c r="Z25" i="12"/>
  <c r="P25" i="12"/>
  <c r="X25" i="12" s="1"/>
  <c r="N25" i="12"/>
  <c r="D25" i="12"/>
  <c r="L25" i="12" s="1"/>
  <c r="B25" i="12"/>
  <c r="Z24" i="12"/>
  <c r="P24" i="12"/>
  <c r="X24" i="12" s="1"/>
  <c r="N24" i="12"/>
  <c r="D24" i="12"/>
  <c r="L24" i="12" s="1"/>
  <c r="B24" i="12"/>
  <c r="Z23" i="12"/>
  <c r="X23" i="12"/>
  <c r="P23" i="12"/>
  <c r="N23" i="12"/>
  <c r="L23" i="12"/>
  <c r="D23" i="12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X19" i="12"/>
  <c r="P19" i="12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P17" i="12"/>
  <c r="X17" i="12" s="1"/>
  <c r="N17" i="12"/>
  <c r="L17" i="12"/>
  <c r="D17" i="12"/>
  <c r="B17" i="12"/>
  <c r="Z16" i="12"/>
  <c r="P16" i="12"/>
  <c r="X16" i="12" s="1"/>
  <c r="N16" i="12"/>
  <c r="L16" i="12"/>
  <c r="D16" i="12"/>
  <c r="B16" i="12"/>
  <c r="Z15" i="12"/>
  <c r="P15" i="12"/>
  <c r="X15" i="12" s="1"/>
  <c r="N15" i="12"/>
  <c r="L15" i="12"/>
  <c r="D15" i="12"/>
  <c r="B15" i="12"/>
  <c r="Z14" i="12"/>
  <c r="X14" i="12"/>
  <c r="P14" i="12"/>
  <c r="N14" i="12"/>
  <c r="D14" i="12"/>
  <c r="B14" i="12"/>
  <c r="Z13" i="12"/>
  <c r="P13" i="12"/>
  <c r="X13" i="12" s="1"/>
  <c r="D13" i="12"/>
  <c r="L13" i="12" s="1"/>
  <c r="N13" i="12" s="1"/>
  <c r="B13" i="12"/>
  <c r="T12" i="12"/>
  <c r="V272" i="12" s="1"/>
  <c r="H12" i="12"/>
  <c r="D4" i="12"/>
  <c r="Z103" i="9"/>
  <c r="X103" i="9"/>
  <c r="N103" i="9"/>
  <c r="L103" i="9"/>
  <c r="J101" i="9"/>
  <c r="Z99" i="9"/>
  <c r="T99" i="9"/>
  <c r="P99" i="9"/>
  <c r="X99" i="9" s="1"/>
  <c r="N99" i="9"/>
  <c r="L99" i="9"/>
  <c r="H99" i="9"/>
  <c r="F99" i="9"/>
  <c r="D99" i="9"/>
  <c r="Z97" i="9"/>
  <c r="X97" i="9"/>
  <c r="N97" i="9"/>
  <c r="L97" i="9"/>
  <c r="B97" i="9"/>
  <c r="X96" i="9"/>
  <c r="Z96" i="9" s="1"/>
  <c r="N96" i="9"/>
  <c r="L96" i="9"/>
  <c r="B96" i="9"/>
  <c r="X95" i="9"/>
  <c r="Z95" i="9" s="1"/>
  <c r="V95" i="9"/>
  <c r="T95" i="9"/>
  <c r="P95" i="9"/>
  <c r="H95" i="9"/>
  <c r="F95" i="9"/>
  <c r="D95" i="9"/>
  <c r="L95" i="9" s="1"/>
  <c r="N95" i="9" s="1"/>
  <c r="B95" i="9"/>
  <c r="Z94" i="9"/>
  <c r="X94" i="9"/>
  <c r="L94" i="9"/>
  <c r="N94" i="9" s="1"/>
  <c r="B94" i="9"/>
  <c r="T93" i="9"/>
  <c r="X93" i="9" s="1"/>
  <c r="P93" i="9"/>
  <c r="N93" i="9"/>
  <c r="H93" i="9"/>
  <c r="D93" i="9"/>
  <c r="L93" i="9" s="1"/>
  <c r="B93" i="9"/>
  <c r="Z92" i="9"/>
  <c r="X92" i="9"/>
  <c r="V92" i="9"/>
  <c r="L92" i="9"/>
  <c r="N92" i="9" s="1"/>
  <c r="B92" i="9"/>
  <c r="X91" i="9"/>
  <c r="Z91" i="9" s="1"/>
  <c r="V91" i="9"/>
  <c r="L91" i="9"/>
  <c r="N91" i="9" s="1"/>
  <c r="B91" i="9"/>
  <c r="T90" i="9"/>
  <c r="P90" i="9"/>
  <c r="X90" i="9" s="1"/>
  <c r="Z90" i="9" s="1"/>
  <c r="J90" i="9"/>
  <c r="H90" i="9"/>
  <c r="D90" i="9"/>
  <c r="L90" i="9" s="1"/>
  <c r="B90" i="9"/>
  <c r="Z89" i="9"/>
  <c r="X89" i="9"/>
  <c r="N89" i="9"/>
  <c r="L89" i="9"/>
  <c r="B89" i="9"/>
  <c r="X88" i="9"/>
  <c r="Z88" i="9" s="1"/>
  <c r="N88" i="9"/>
  <c r="L88" i="9"/>
  <c r="B88" i="9"/>
  <c r="X87" i="9"/>
  <c r="Z87" i="9" s="1"/>
  <c r="V87" i="9"/>
  <c r="N87" i="9"/>
  <c r="L87" i="9"/>
  <c r="B87" i="9"/>
  <c r="X86" i="9"/>
  <c r="Z86" i="9" s="1"/>
  <c r="L86" i="9"/>
  <c r="N86" i="9" s="1"/>
  <c r="B86" i="9"/>
  <c r="T85" i="9"/>
  <c r="P85" i="9"/>
  <c r="X85" i="9" s="1"/>
  <c r="Z85" i="9" s="1"/>
  <c r="L85" i="9"/>
  <c r="N85" i="9" s="1"/>
  <c r="J85" i="9"/>
  <c r="H85" i="9"/>
  <c r="F85" i="9"/>
  <c r="D85" i="9"/>
  <c r="B85" i="9"/>
  <c r="Z84" i="9"/>
  <c r="X84" i="9"/>
  <c r="N84" i="9"/>
  <c r="L84" i="9"/>
  <c r="F84" i="9"/>
  <c r="B84" i="9"/>
  <c r="Z83" i="9"/>
  <c r="X83" i="9"/>
  <c r="N83" i="9"/>
  <c r="L83" i="9"/>
  <c r="B83" i="9"/>
  <c r="T82" i="9"/>
  <c r="X82" i="9" s="1"/>
  <c r="Z82" i="9" s="1"/>
  <c r="P82" i="9"/>
  <c r="H82" i="9"/>
  <c r="D82" i="9"/>
  <c r="L82" i="9" s="1"/>
  <c r="B82" i="9"/>
  <c r="Z81" i="9"/>
  <c r="X81" i="9"/>
  <c r="V81" i="9"/>
  <c r="N81" i="9"/>
  <c r="L81" i="9"/>
  <c r="B81" i="9"/>
  <c r="Z80" i="9"/>
  <c r="X80" i="9"/>
  <c r="V80" i="9"/>
  <c r="L80" i="9"/>
  <c r="N80" i="9" s="1"/>
  <c r="B80" i="9"/>
  <c r="V79" i="9"/>
  <c r="T79" i="9"/>
  <c r="Z79" i="9" s="1"/>
  <c r="P79" i="9"/>
  <c r="X79" i="9" s="1"/>
  <c r="N79" i="9"/>
  <c r="H79" i="9"/>
  <c r="D79" i="9"/>
  <c r="L79" i="9" s="1"/>
  <c r="B79" i="9"/>
  <c r="Z78" i="9"/>
  <c r="X78" i="9"/>
  <c r="N78" i="9"/>
  <c r="L78" i="9"/>
  <c r="F78" i="9"/>
  <c r="B78" i="9"/>
  <c r="Z77" i="9"/>
  <c r="X77" i="9"/>
  <c r="N77" i="9"/>
  <c r="L77" i="9"/>
  <c r="B77" i="9"/>
  <c r="X76" i="9"/>
  <c r="Z76" i="9" s="1"/>
  <c r="N76" i="9"/>
  <c r="L76" i="9"/>
  <c r="B76" i="9"/>
  <c r="X75" i="9"/>
  <c r="Z75" i="9" s="1"/>
  <c r="V75" i="9"/>
  <c r="N75" i="9"/>
  <c r="L75" i="9"/>
  <c r="B75" i="9"/>
  <c r="T74" i="9"/>
  <c r="P74" i="9"/>
  <c r="X74" i="9" s="1"/>
  <c r="Z74" i="9" s="1"/>
  <c r="L74" i="9"/>
  <c r="H74" i="9"/>
  <c r="D74" i="9"/>
  <c r="B74" i="9"/>
  <c r="Z73" i="9"/>
  <c r="X73" i="9"/>
  <c r="N73" i="9"/>
  <c r="L73" i="9"/>
  <c r="J73" i="9"/>
  <c r="B73" i="9"/>
  <c r="Z72" i="9"/>
  <c r="X72" i="9"/>
  <c r="N72" i="9"/>
  <c r="L72" i="9"/>
  <c r="F72" i="9"/>
  <c r="B72" i="9"/>
  <c r="Z71" i="9"/>
  <c r="X71" i="9"/>
  <c r="L71" i="9"/>
  <c r="N71" i="9" s="1"/>
  <c r="B71" i="9"/>
  <c r="Z70" i="9"/>
  <c r="X70" i="9"/>
  <c r="L70" i="9"/>
  <c r="N70" i="9" s="1"/>
  <c r="B70" i="9"/>
  <c r="Z69" i="9"/>
  <c r="T69" i="9"/>
  <c r="X69" i="9" s="1"/>
  <c r="P69" i="9"/>
  <c r="H69" i="9"/>
  <c r="D69" i="9"/>
  <c r="L69" i="9" s="1"/>
  <c r="N69" i="9" s="1"/>
  <c r="B69" i="9"/>
  <c r="Z68" i="9"/>
  <c r="X68" i="9"/>
  <c r="V68" i="9"/>
  <c r="N68" i="9"/>
  <c r="L68" i="9"/>
  <c r="B68" i="9"/>
  <c r="Z67" i="9"/>
  <c r="X67" i="9"/>
  <c r="V67" i="9"/>
  <c r="N67" i="9"/>
  <c r="L67" i="9"/>
  <c r="B67" i="9"/>
  <c r="Z66" i="9"/>
  <c r="X66" i="9"/>
  <c r="N66" i="9"/>
  <c r="L66" i="9"/>
  <c r="B66" i="9"/>
  <c r="Z65" i="9"/>
  <c r="V65" i="9"/>
  <c r="T65" i="9"/>
  <c r="P65" i="9"/>
  <c r="X65" i="9" s="1"/>
  <c r="J65" i="9"/>
  <c r="H65" i="9"/>
  <c r="N65" i="9" s="1"/>
  <c r="D65" i="9"/>
  <c r="L65" i="9" s="1"/>
  <c r="B65" i="9"/>
  <c r="X64" i="9"/>
  <c r="Z64" i="9" s="1"/>
  <c r="N64" i="9"/>
  <c r="L64" i="9"/>
  <c r="F64" i="9"/>
  <c r="B64" i="9"/>
  <c r="X63" i="9"/>
  <c r="Z63" i="9" s="1"/>
  <c r="V63" i="9"/>
  <c r="T63" i="9"/>
  <c r="P63" i="9"/>
  <c r="H63" i="9"/>
  <c r="D63" i="9"/>
  <c r="L63" i="9" s="1"/>
  <c r="N63" i="9" s="1"/>
  <c r="B63" i="9"/>
  <c r="X62" i="9"/>
  <c r="Z62" i="9" s="1"/>
  <c r="L62" i="9"/>
  <c r="N62" i="9" s="1"/>
  <c r="B62" i="9"/>
  <c r="T61" i="9"/>
  <c r="X61" i="9" s="1"/>
  <c r="P61" i="9"/>
  <c r="H61" i="9"/>
  <c r="D61" i="9"/>
  <c r="L61" i="9" s="1"/>
  <c r="N61" i="9" s="1"/>
  <c r="B61" i="9"/>
  <c r="Z60" i="9"/>
  <c r="X60" i="9"/>
  <c r="V60" i="9"/>
  <c r="L60" i="9"/>
  <c r="N60" i="9" s="1"/>
  <c r="B60" i="9"/>
  <c r="V59" i="9"/>
  <c r="T59" i="9"/>
  <c r="Z59" i="9" s="1"/>
  <c r="P59" i="9"/>
  <c r="X59" i="9" s="1"/>
  <c r="H59" i="9"/>
  <c r="D59" i="9"/>
  <c r="L59" i="9" s="1"/>
  <c r="N59" i="9" s="1"/>
  <c r="B59" i="9"/>
  <c r="X58" i="9"/>
  <c r="Z58" i="9" s="1"/>
  <c r="L58" i="9"/>
  <c r="N58" i="9" s="1"/>
  <c r="F58" i="9"/>
  <c r="B58" i="9"/>
  <c r="T57" i="9"/>
  <c r="P57" i="9"/>
  <c r="X57" i="9" s="1"/>
  <c r="Z57" i="9" s="1"/>
  <c r="L57" i="9"/>
  <c r="N57" i="9" s="1"/>
  <c r="H57" i="9"/>
  <c r="D57" i="9"/>
  <c r="B57" i="9"/>
  <c r="Z56" i="9"/>
  <c r="X56" i="9"/>
  <c r="N56" i="9"/>
  <c r="L56" i="9"/>
  <c r="F56" i="9"/>
  <c r="B56" i="9"/>
  <c r="Z55" i="9"/>
  <c r="T55" i="9"/>
  <c r="P55" i="9"/>
  <c r="X55" i="9" s="1"/>
  <c r="H55" i="9"/>
  <c r="L55" i="9" s="1"/>
  <c r="F55" i="9"/>
  <c r="D55" i="9"/>
  <c r="B55" i="9"/>
  <c r="X54" i="9"/>
  <c r="Z54" i="9" s="1"/>
  <c r="L54" i="9"/>
  <c r="N54" i="9" s="1"/>
  <c r="B54" i="9"/>
  <c r="Z53" i="9"/>
  <c r="X53" i="9"/>
  <c r="V53" i="9"/>
  <c r="N53" i="9"/>
  <c r="L53" i="9"/>
  <c r="B53" i="9"/>
  <c r="V52" i="9"/>
  <c r="T52" i="9"/>
  <c r="P52" i="9"/>
  <c r="X52" i="9" s="1"/>
  <c r="H52" i="9"/>
  <c r="D52" i="9"/>
  <c r="L52" i="9" s="1"/>
  <c r="N52" i="9" s="1"/>
  <c r="B52" i="9"/>
  <c r="X51" i="9"/>
  <c r="Z51" i="9" s="1"/>
  <c r="V51" i="9"/>
  <c r="N51" i="9"/>
  <c r="L51" i="9"/>
  <c r="B51" i="9"/>
  <c r="X50" i="9"/>
  <c r="Z50" i="9" s="1"/>
  <c r="N50" i="9"/>
  <c r="L50" i="9"/>
  <c r="F50" i="9"/>
  <c r="B50" i="9"/>
  <c r="T49" i="9"/>
  <c r="P49" i="9"/>
  <c r="X49" i="9" s="1"/>
  <c r="Z49" i="9" s="1"/>
  <c r="L49" i="9"/>
  <c r="N49" i="9" s="1"/>
  <c r="H49" i="9"/>
  <c r="D49" i="9"/>
  <c r="B49" i="9"/>
  <c r="Z48" i="9"/>
  <c r="X48" i="9"/>
  <c r="N48" i="9"/>
  <c r="L48" i="9"/>
  <c r="F48" i="9"/>
  <c r="B48" i="9"/>
  <c r="T47" i="9"/>
  <c r="P47" i="9"/>
  <c r="X47" i="9" s="1"/>
  <c r="Z47" i="9" s="1"/>
  <c r="N47" i="9"/>
  <c r="H47" i="9"/>
  <c r="L47" i="9" s="1"/>
  <c r="F47" i="9"/>
  <c r="D47" i="9"/>
  <c r="B47" i="9"/>
  <c r="X46" i="9"/>
  <c r="Z46" i="9" s="1"/>
  <c r="L46" i="9"/>
  <c r="N46" i="9" s="1"/>
  <c r="B46" i="9"/>
  <c r="V45" i="9"/>
  <c r="T45" i="9"/>
  <c r="P45" i="9"/>
  <c r="X45" i="9" s="1"/>
  <c r="Z45" i="9" s="1"/>
  <c r="J45" i="9"/>
  <c r="H45" i="9"/>
  <c r="D45" i="9"/>
  <c r="L45" i="9" s="1"/>
  <c r="B45" i="9"/>
  <c r="X44" i="9"/>
  <c r="Z44" i="9" s="1"/>
  <c r="N44" i="9"/>
  <c r="L44" i="9"/>
  <c r="F44" i="9"/>
  <c r="B44" i="9"/>
  <c r="X43" i="9"/>
  <c r="Z43" i="9" s="1"/>
  <c r="V43" i="9"/>
  <c r="T43" i="9"/>
  <c r="P43" i="9"/>
  <c r="H43" i="9"/>
  <c r="D43" i="9"/>
  <c r="L43" i="9" s="1"/>
  <c r="N43" i="9" s="1"/>
  <c r="B43" i="9"/>
  <c r="Z42" i="9"/>
  <c r="X42" i="9"/>
  <c r="N42" i="9"/>
  <c r="L42" i="9"/>
  <c r="B42" i="9"/>
  <c r="Z41" i="9"/>
  <c r="X41" i="9"/>
  <c r="N41" i="9"/>
  <c r="L41" i="9"/>
  <c r="J41" i="9"/>
  <c r="B41" i="9"/>
  <c r="Z40" i="9"/>
  <c r="X40" i="9"/>
  <c r="N40" i="9"/>
  <c r="L40" i="9"/>
  <c r="J40" i="9"/>
  <c r="B40" i="9"/>
  <c r="Z39" i="9"/>
  <c r="X39" i="9"/>
  <c r="L39" i="9"/>
  <c r="N39" i="9" s="1"/>
  <c r="B39" i="9"/>
  <c r="Z38" i="9"/>
  <c r="X38" i="9"/>
  <c r="N38" i="9"/>
  <c r="L38" i="9"/>
  <c r="B38" i="9"/>
  <c r="Z37" i="9"/>
  <c r="X37" i="9"/>
  <c r="N37" i="9"/>
  <c r="L37" i="9"/>
  <c r="J37" i="9"/>
  <c r="B37" i="9"/>
  <c r="Z36" i="9"/>
  <c r="X36" i="9"/>
  <c r="N36" i="9"/>
  <c r="L36" i="9"/>
  <c r="J36" i="9"/>
  <c r="B36" i="9"/>
  <c r="Z35" i="9"/>
  <c r="X35" i="9"/>
  <c r="N35" i="9"/>
  <c r="L35" i="9"/>
  <c r="J35" i="9"/>
  <c r="B35" i="9"/>
  <c r="X34" i="9"/>
  <c r="Z34" i="9" s="1"/>
  <c r="L34" i="9"/>
  <c r="N34" i="9" s="1"/>
  <c r="B34" i="9"/>
  <c r="Z33" i="9"/>
  <c r="X33" i="9"/>
  <c r="N33" i="9"/>
  <c r="L33" i="9"/>
  <c r="J33" i="9"/>
  <c r="B33" i="9"/>
  <c r="T32" i="9"/>
  <c r="P32" i="9"/>
  <c r="X32" i="9" s="1"/>
  <c r="L32" i="9"/>
  <c r="H32" i="9"/>
  <c r="N32" i="9" s="1"/>
  <c r="D32" i="9"/>
  <c r="B32" i="9"/>
  <c r="X31" i="9"/>
  <c r="Z31" i="9" s="1"/>
  <c r="V31" i="9"/>
  <c r="L31" i="9"/>
  <c r="N31" i="9" s="1"/>
  <c r="J31" i="9"/>
  <c r="B31" i="9"/>
  <c r="X30" i="9"/>
  <c r="Z30" i="9" s="1"/>
  <c r="L30" i="9"/>
  <c r="N30" i="9" s="1"/>
  <c r="B30" i="9"/>
  <c r="Z29" i="9"/>
  <c r="X29" i="9"/>
  <c r="V29" i="9"/>
  <c r="N29" i="9"/>
  <c r="L29" i="9"/>
  <c r="B29" i="9"/>
  <c r="Z28" i="9"/>
  <c r="X28" i="9"/>
  <c r="V28" i="9"/>
  <c r="L28" i="9"/>
  <c r="N28" i="9" s="1"/>
  <c r="B28" i="9"/>
  <c r="Z27" i="9"/>
  <c r="X27" i="9"/>
  <c r="V27" i="9"/>
  <c r="N27" i="9"/>
  <c r="L27" i="9"/>
  <c r="J27" i="9"/>
  <c r="B27" i="9"/>
  <c r="X26" i="9"/>
  <c r="Z26" i="9" s="1"/>
  <c r="L26" i="9"/>
  <c r="N26" i="9" s="1"/>
  <c r="B26" i="9"/>
  <c r="Z25" i="9"/>
  <c r="X25" i="9"/>
  <c r="V25" i="9"/>
  <c r="N25" i="9"/>
  <c r="L25" i="9"/>
  <c r="B25" i="9"/>
  <c r="Z24" i="9"/>
  <c r="X24" i="9"/>
  <c r="V24" i="9"/>
  <c r="L24" i="9"/>
  <c r="N24" i="9" s="1"/>
  <c r="B24" i="9"/>
  <c r="X23" i="9"/>
  <c r="Z23" i="9" s="1"/>
  <c r="V23" i="9"/>
  <c r="L23" i="9"/>
  <c r="N23" i="9" s="1"/>
  <c r="B23" i="9"/>
  <c r="X22" i="9"/>
  <c r="Z22" i="9" s="1"/>
  <c r="L22" i="9"/>
  <c r="N22" i="9" s="1"/>
  <c r="B22" i="9"/>
  <c r="Z21" i="9"/>
  <c r="X21" i="9"/>
  <c r="V21" i="9"/>
  <c r="N21" i="9"/>
  <c r="L21" i="9"/>
  <c r="B21" i="9"/>
  <c r="V20" i="9"/>
  <c r="T20" i="9"/>
  <c r="P20" i="9"/>
  <c r="X20" i="9" s="1"/>
  <c r="H20" i="9"/>
  <c r="D20" i="9"/>
  <c r="L20" i="9" s="1"/>
  <c r="N20" i="9" s="1"/>
  <c r="B20" i="9"/>
  <c r="X19" i="9"/>
  <c r="Z19" i="9" s="1"/>
  <c r="T19" i="9"/>
  <c r="V19" i="9" s="1"/>
  <c r="P19" i="9"/>
  <c r="H19" i="9"/>
  <c r="F19" i="9"/>
  <c r="D19" i="9"/>
  <c r="L19" i="9" s="1"/>
  <c r="F17" i="9"/>
  <c r="Z15" i="9"/>
  <c r="X15" i="9"/>
  <c r="V15" i="9"/>
  <c r="T15" i="9"/>
  <c r="P15" i="9"/>
  <c r="H15" i="9"/>
  <c r="N15" i="9" s="1"/>
  <c r="D15" i="9"/>
  <c r="L15" i="9" s="1"/>
  <c r="P13" i="9"/>
  <c r="P12" i="9" s="1"/>
  <c r="N13" i="9"/>
  <c r="L13" i="9"/>
  <c r="D13" i="9"/>
  <c r="B13" i="9"/>
  <c r="T12" i="9"/>
  <c r="V96" i="9" s="1"/>
  <c r="N12" i="9"/>
  <c r="H12" i="9"/>
  <c r="J72" i="9" s="1"/>
  <c r="D12" i="9"/>
  <c r="F96" i="9" s="1"/>
  <c r="D4" i="9"/>
  <c r="R31" i="6"/>
  <c r="J31" i="6"/>
  <c r="F31" i="6"/>
  <c r="T29" i="6"/>
  <c r="P29" i="6"/>
  <c r="J29" i="6"/>
  <c r="H29" i="6"/>
  <c r="D29" i="6"/>
  <c r="L29" i="6" s="1"/>
  <c r="N29" i="6" s="1"/>
  <c r="T28" i="6"/>
  <c r="R28" i="6"/>
  <c r="P28" i="6"/>
  <c r="L28" i="6"/>
  <c r="N28" i="6" s="1"/>
  <c r="J28" i="6"/>
  <c r="H28" i="6"/>
  <c r="F28" i="6"/>
  <c r="D28" i="6"/>
  <c r="J26" i="6"/>
  <c r="Z24" i="6"/>
  <c r="X24" i="6"/>
  <c r="N24" i="6"/>
  <c r="L24" i="6"/>
  <c r="J24" i="6"/>
  <c r="F24" i="6"/>
  <c r="V22" i="6"/>
  <c r="J22" i="6"/>
  <c r="Z20" i="6"/>
  <c r="T20" i="6"/>
  <c r="P20" i="6"/>
  <c r="X20" i="6" s="1"/>
  <c r="L20" i="6"/>
  <c r="J20" i="6"/>
  <c r="H20" i="6"/>
  <c r="N20" i="6" s="1"/>
  <c r="D20" i="6"/>
  <c r="V18" i="6"/>
  <c r="T18" i="6"/>
  <c r="Z18" i="6" s="1"/>
  <c r="R18" i="6"/>
  <c r="P18" i="6"/>
  <c r="J18" i="6"/>
  <c r="H18" i="6"/>
  <c r="N18" i="6" s="1"/>
  <c r="D18" i="6"/>
  <c r="L18" i="6" s="1"/>
  <c r="V16" i="6"/>
  <c r="J16" i="6"/>
  <c r="D16" i="6"/>
  <c r="D22" i="6" s="1"/>
  <c r="V14" i="6"/>
  <c r="T14" i="6"/>
  <c r="T16" i="6" s="1"/>
  <c r="P14" i="6"/>
  <c r="J14" i="6"/>
  <c r="H14" i="6"/>
  <c r="N14" i="6" s="1"/>
  <c r="D14" i="6"/>
  <c r="Z12" i="6"/>
  <c r="T12" i="6"/>
  <c r="P12" i="6"/>
  <c r="X12" i="6" s="1"/>
  <c r="N12" i="6"/>
  <c r="L12" i="6"/>
  <c r="H12" i="6"/>
  <c r="D12" i="6"/>
  <c r="F29" i="6" s="1"/>
  <c r="D4" i="6"/>
  <c r="T327" i="3"/>
  <c r="Z327" i="3" s="1"/>
  <c r="P327" i="3"/>
  <c r="X327" i="3" s="1"/>
  <c r="H327" i="3"/>
  <c r="N327" i="3" s="1"/>
  <c r="D327" i="3"/>
  <c r="L327" i="3" s="1"/>
  <c r="X326" i="3"/>
  <c r="T326" i="3"/>
  <c r="Z326" i="3" s="1"/>
  <c r="P326" i="3"/>
  <c r="N326" i="3"/>
  <c r="H326" i="3"/>
  <c r="D326" i="3"/>
  <c r="L326" i="3" s="1"/>
  <c r="Z322" i="3"/>
  <c r="X322" i="3"/>
  <c r="N322" i="3"/>
  <c r="L322" i="3"/>
  <c r="Z318" i="3"/>
  <c r="X318" i="3"/>
  <c r="P318" i="3"/>
  <c r="N318" i="3"/>
  <c r="D318" i="3"/>
  <c r="L318" i="3" s="1"/>
  <c r="B318" i="3"/>
  <c r="Z317" i="3"/>
  <c r="X317" i="3"/>
  <c r="P317" i="3"/>
  <c r="N317" i="3"/>
  <c r="D317" i="3"/>
  <c r="L317" i="3" s="1"/>
  <c r="B317" i="3"/>
  <c r="Z316" i="3"/>
  <c r="X316" i="3"/>
  <c r="V316" i="3"/>
  <c r="P316" i="3"/>
  <c r="D316" i="3"/>
  <c r="L316" i="3" s="1"/>
  <c r="N316" i="3" s="1"/>
  <c r="B316" i="3"/>
  <c r="Z315" i="3"/>
  <c r="P315" i="3"/>
  <c r="P305" i="3" s="1"/>
  <c r="X305" i="3" s="1"/>
  <c r="N315" i="3"/>
  <c r="D315" i="3"/>
  <c r="L315" i="3" s="1"/>
  <c r="B315" i="3"/>
  <c r="Z314" i="3"/>
  <c r="X314" i="3"/>
  <c r="P314" i="3"/>
  <c r="N314" i="3"/>
  <c r="L314" i="3"/>
  <c r="D314" i="3"/>
  <c r="B314" i="3"/>
  <c r="P313" i="3"/>
  <c r="X313" i="3" s="1"/>
  <c r="Z313" i="3" s="1"/>
  <c r="L313" i="3"/>
  <c r="N313" i="3" s="1"/>
  <c r="D313" i="3"/>
  <c r="B313" i="3"/>
  <c r="X312" i="3"/>
  <c r="Z312" i="3" s="1"/>
  <c r="P312" i="3"/>
  <c r="N312" i="3"/>
  <c r="L312" i="3"/>
  <c r="D312" i="3"/>
  <c r="B312" i="3"/>
  <c r="Z311" i="3"/>
  <c r="P311" i="3"/>
  <c r="X311" i="3" s="1"/>
  <c r="N311" i="3"/>
  <c r="D311" i="3"/>
  <c r="L311" i="3" s="1"/>
  <c r="B311" i="3"/>
  <c r="Z310" i="3"/>
  <c r="X310" i="3"/>
  <c r="P310" i="3"/>
  <c r="N310" i="3"/>
  <c r="D310" i="3"/>
  <c r="L310" i="3" s="1"/>
  <c r="B310" i="3"/>
  <c r="Z309" i="3"/>
  <c r="X309" i="3"/>
  <c r="P309" i="3"/>
  <c r="N309" i="3"/>
  <c r="L309" i="3"/>
  <c r="D309" i="3"/>
  <c r="B309" i="3"/>
  <c r="Z308" i="3"/>
  <c r="V308" i="3"/>
  <c r="P308" i="3"/>
  <c r="X308" i="3" s="1"/>
  <c r="N308" i="3"/>
  <c r="D308" i="3"/>
  <c r="L308" i="3" s="1"/>
  <c r="B308" i="3"/>
  <c r="Z307" i="3"/>
  <c r="X307" i="3"/>
  <c r="P307" i="3"/>
  <c r="N307" i="3"/>
  <c r="L307" i="3"/>
  <c r="D307" i="3"/>
  <c r="B307" i="3"/>
  <c r="Z306" i="3"/>
  <c r="X306" i="3"/>
  <c r="V306" i="3"/>
  <c r="P306" i="3"/>
  <c r="N306" i="3"/>
  <c r="D306" i="3"/>
  <c r="L306" i="3" s="1"/>
  <c r="B306" i="3"/>
  <c r="T305" i="3"/>
  <c r="H305" i="3"/>
  <c r="Z303" i="3"/>
  <c r="X303" i="3"/>
  <c r="V303" i="3"/>
  <c r="L303" i="3"/>
  <c r="N303" i="3" s="1"/>
  <c r="B303" i="3"/>
  <c r="T302" i="3"/>
  <c r="Z302" i="3" s="1"/>
  <c r="P302" i="3"/>
  <c r="X302" i="3" s="1"/>
  <c r="H302" i="3"/>
  <c r="D302" i="3"/>
  <c r="L302" i="3" s="1"/>
  <c r="N302" i="3" s="1"/>
  <c r="B302" i="3"/>
  <c r="Z301" i="3"/>
  <c r="X301" i="3"/>
  <c r="L301" i="3"/>
  <c r="N301" i="3" s="1"/>
  <c r="B301" i="3"/>
  <c r="X300" i="3"/>
  <c r="Z300" i="3" s="1"/>
  <c r="L300" i="3"/>
  <c r="N300" i="3" s="1"/>
  <c r="B300" i="3"/>
  <c r="X299" i="3"/>
  <c r="Z299" i="3" s="1"/>
  <c r="N299" i="3"/>
  <c r="L299" i="3"/>
  <c r="B299" i="3"/>
  <c r="X298" i="3"/>
  <c r="Z298" i="3" s="1"/>
  <c r="V298" i="3"/>
  <c r="T298" i="3"/>
  <c r="P298" i="3"/>
  <c r="H298" i="3"/>
  <c r="D298" i="3"/>
  <c r="L298" i="3" s="1"/>
  <c r="B298" i="3"/>
  <c r="X297" i="3"/>
  <c r="Z297" i="3" s="1"/>
  <c r="N297" i="3"/>
  <c r="L297" i="3"/>
  <c r="B297" i="3"/>
  <c r="T296" i="3"/>
  <c r="P296" i="3"/>
  <c r="H296" i="3"/>
  <c r="D296" i="3"/>
  <c r="L296" i="3" s="1"/>
  <c r="N296" i="3" s="1"/>
  <c r="B296" i="3"/>
  <c r="Z295" i="3"/>
  <c r="X295" i="3"/>
  <c r="V295" i="3"/>
  <c r="L295" i="3"/>
  <c r="N295" i="3" s="1"/>
  <c r="B295" i="3"/>
  <c r="X294" i="3"/>
  <c r="Z294" i="3" s="1"/>
  <c r="L294" i="3"/>
  <c r="N294" i="3" s="1"/>
  <c r="B294" i="3"/>
  <c r="T293" i="3"/>
  <c r="X293" i="3" s="1"/>
  <c r="Z293" i="3" s="1"/>
  <c r="P293" i="3"/>
  <c r="H293" i="3"/>
  <c r="N293" i="3" s="1"/>
  <c r="D293" i="3"/>
  <c r="L293" i="3" s="1"/>
  <c r="B293" i="3"/>
  <c r="X292" i="3"/>
  <c r="Z292" i="3" s="1"/>
  <c r="L292" i="3"/>
  <c r="N292" i="3" s="1"/>
  <c r="B292" i="3"/>
  <c r="X291" i="3"/>
  <c r="Z291" i="3" s="1"/>
  <c r="N291" i="3"/>
  <c r="L291" i="3"/>
  <c r="B291" i="3"/>
  <c r="X290" i="3"/>
  <c r="Z290" i="3" s="1"/>
  <c r="V290" i="3"/>
  <c r="N290" i="3"/>
  <c r="L290" i="3"/>
  <c r="B290" i="3"/>
  <c r="Z289" i="3"/>
  <c r="X289" i="3"/>
  <c r="L289" i="3"/>
  <c r="N289" i="3" s="1"/>
  <c r="B289" i="3"/>
  <c r="X288" i="3"/>
  <c r="Z288" i="3" s="1"/>
  <c r="L288" i="3"/>
  <c r="N288" i="3" s="1"/>
  <c r="B288" i="3"/>
  <c r="X287" i="3"/>
  <c r="Z287" i="3" s="1"/>
  <c r="N287" i="3"/>
  <c r="L287" i="3"/>
  <c r="B287" i="3"/>
  <c r="X286" i="3"/>
  <c r="Z286" i="3" s="1"/>
  <c r="V286" i="3"/>
  <c r="N286" i="3"/>
  <c r="L286" i="3"/>
  <c r="B286" i="3"/>
  <c r="Z285" i="3"/>
  <c r="X285" i="3"/>
  <c r="L285" i="3"/>
  <c r="N285" i="3" s="1"/>
  <c r="B285" i="3"/>
  <c r="X284" i="3"/>
  <c r="Z284" i="3" s="1"/>
  <c r="L284" i="3"/>
  <c r="N284" i="3" s="1"/>
  <c r="B284" i="3"/>
  <c r="X283" i="3"/>
  <c r="Z283" i="3" s="1"/>
  <c r="N283" i="3"/>
  <c r="L283" i="3"/>
  <c r="B283" i="3"/>
  <c r="X282" i="3"/>
  <c r="Z282" i="3" s="1"/>
  <c r="V282" i="3"/>
  <c r="T282" i="3"/>
  <c r="P282" i="3"/>
  <c r="H282" i="3"/>
  <c r="N282" i="3" s="1"/>
  <c r="D282" i="3"/>
  <c r="L282" i="3" s="1"/>
  <c r="B282" i="3"/>
  <c r="X281" i="3"/>
  <c r="Z281" i="3" s="1"/>
  <c r="N281" i="3"/>
  <c r="L281" i="3"/>
  <c r="B281" i="3"/>
  <c r="X280" i="3"/>
  <c r="Z280" i="3" s="1"/>
  <c r="N280" i="3"/>
  <c r="L280" i="3"/>
  <c r="B280" i="3"/>
  <c r="Z279" i="3"/>
  <c r="X279" i="3"/>
  <c r="T279" i="3"/>
  <c r="P279" i="3"/>
  <c r="L279" i="3"/>
  <c r="N279" i="3" s="1"/>
  <c r="H279" i="3"/>
  <c r="D279" i="3"/>
  <c r="B279" i="3"/>
  <c r="X278" i="3"/>
  <c r="Z278" i="3" s="1"/>
  <c r="L278" i="3"/>
  <c r="N278" i="3" s="1"/>
  <c r="B278" i="3"/>
  <c r="Z277" i="3"/>
  <c r="X277" i="3"/>
  <c r="N277" i="3"/>
  <c r="L277" i="3"/>
  <c r="B277" i="3"/>
  <c r="Z276" i="3"/>
  <c r="X276" i="3"/>
  <c r="V276" i="3"/>
  <c r="L276" i="3"/>
  <c r="N276" i="3" s="1"/>
  <c r="B276" i="3"/>
  <c r="Z275" i="3"/>
  <c r="X275" i="3"/>
  <c r="V275" i="3"/>
  <c r="L275" i="3"/>
  <c r="N275" i="3" s="1"/>
  <c r="B275" i="3"/>
  <c r="X274" i="3"/>
  <c r="Z274" i="3" s="1"/>
  <c r="L274" i="3"/>
  <c r="N274" i="3" s="1"/>
  <c r="B274" i="3"/>
  <c r="Z273" i="3"/>
  <c r="X273" i="3"/>
  <c r="N273" i="3"/>
  <c r="L273" i="3"/>
  <c r="B273" i="3"/>
  <c r="V272" i="3"/>
  <c r="T272" i="3"/>
  <c r="P272" i="3"/>
  <c r="X272" i="3" s="1"/>
  <c r="Z272" i="3" s="1"/>
  <c r="H272" i="3"/>
  <c r="N272" i="3" s="1"/>
  <c r="D272" i="3"/>
  <c r="L272" i="3" s="1"/>
  <c r="B272" i="3"/>
  <c r="X271" i="3"/>
  <c r="Z271" i="3" s="1"/>
  <c r="N271" i="3"/>
  <c r="L271" i="3"/>
  <c r="B271" i="3"/>
  <c r="X270" i="3"/>
  <c r="Z270" i="3" s="1"/>
  <c r="V270" i="3"/>
  <c r="N270" i="3"/>
  <c r="L270" i="3"/>
  <c r="B270" i="3"/>
  <c r="Z269" i="3"/>
  <c r="X269" i="3"/>
  <c r="L269" i="3"/>
  <c r="N269" i="3" s="1"/>
  <c r="B269" i="3"/>
  <c r="X268" i="3"/>
  <c r="Z268" i="3" s="1"/>
  <c r="L268" i="3"/>
  <c r="N268" i="3" s="1"/>
  <c r="B268" i="3"/>
  <c r="X267" i="3"/>
  <c r="T267" i="3"/>
  <c r="Z267" i="3" s="1"/>
  <c r="P267" i="3"/>
  <c r="H267" i="3"/>
  <c r="D267" i="3"/>
  <c r="L267" i="3" s="1"/>
  <c r="N267" i="3" s="1"/>
  <c r="B267" i="3"/>
  <c r="Z266" i="3"/>
  <c r="X266" i="3"/>
  <c r="L266" i="3"/>
  <c r="N266" i="3" s="1"/>
  <c r="B266" i="3"/>
  <c r="X265" i="3"/>
  <c r="Z265" i="3" s="1"/>
  <c r="N265" i="3"/>
  <c r="L265" i="3"/>
  <c r="B265" i="3"/>
  <c r="X264" i="3"/>
  <c r="Z264" i="3" s="1"/>
  <c r="N264" i="3"/>
  <c r="L264" i="3"/>
  <c r="B264" i="3"/>
  <c r="Z263" i="3"/>
  <c r="X263" i="3"/>
  <c r="N263" i="3"/>
  <c r="L263" i="3"/>
  <c r="B263" i="3"/>
  <c r="T262" i="3"/>
  <c r="P262" i="3"/>
  <c r="X262" i="3" s="1"/>
  <c r="Z262" i="3" s="1"/>
  <c r="H262" i="3"/>
  <c r="D262" i="3"/>
  <c r="B262" i="3"/>
  <c r="Z261" i="3"/>
  <c r="X261" i="3"/>
  <c r="N261" i="3"/>
  <c r="L261" i="3"/>
  <c r="B261" i="3"/>
  <c r="V260" i="3"/>
  <c r="T260" i="3"/>
  <c r="P260" i="3"/>
  <c r="X260" i="3" s="1"/>
  <c r="Z260" i="3" s="1"/>
  <c r="H260" i="3"/>
  <c r="N260" i="3" s="1"/>
  <c r="D260" i="3"/>
  <c r="L260" i="3" s="1"/>
  <c r="B260" i="3"/>
  <c r="X259" i="3"/>
  <c r="Z259" i="3" s="1"/>
  <c r="N259" i="3"/>
  <c r="L259" i="3"/>
  <c r="B259" i="3"/>
  <c r="X258" i="3"/>
  <c r="Z258" i="3" s="1"/>
  <c r="V258" i="3"/>
  <c r="T258" i="3"/>
  <c r="P258" i="3"/>
  <c r="H258" i="3"/>
  <c r="D258" i="3"/>
  <c r="L258" i="3" s="1"/>
  <c r="B258" i="3"/>
  <c r="X257" i="3"/>
  <c r="Z257" i="3" s="1"/>
  <c r="N257" i="3"/>
  <c r="L257" i="3"/>
  <c r="B257" i="3"/>
  <c r="T256" i="3"/>
  <c r="P256" i="3"/>
  <c r="H256" i="3"/>
  <c r="D256" i="3"/>
  <c r="L256" i="3" s="1"/>
  <c r="N256" i="3" s="1"/>
  <c r="B256" i="3"/>
  <c r="Z255" i="3"/>
  <c r="X255" i="3"/>
  <c r="V255" i="3"/>
  <c r="L255" i="3"/>
  <c r="N255" i="3" s="1"/>
  <c r="B255" i="3"/>
  <c r="T254" i="3"/>
  <c r="P254" i="3"/>
  <c r="X254" i="3" s="1"/>
  <c r="H254" i="3"/>
  <c r="D254" i="3"/>
  <c r="L254" i="3" s="1"/>
  <c r="N254" i="3" s="1"/>
  <c r="B254" i="3"/>
  <c r="Z253" i="3"/>
  <c r="X253" i="3"/>
  <c r="L253" i="3"/>
  <c r="N253" i="3" s="1"/>
  <c r="B253" i="3"/>
  <c r="T252" i="3"/>
  <c r="Z252" i="3" s="1"/>
  <c r="P252" i="3"/>
  <c r="X252" i="3" s="1"/>
  <c r="L252" i="3"/>
  <c r="N252" i="3" s="1"/>
  <c r="H252" i="3"/>
  <c r="D252" i="3"/>
  <c r="B252" i="3"/>
  <c r="Z251" i="3"/>
  <c r="X251" i="3"/>
  <c r="N251" i="3"/>
  <c r="L251" i="3"/>
  <c r="B251" i="3"/>
  <c r="T250" i="3"/>
  <c r="P250" i="3"/>
  <c r="X250" i="3" s="1"/>
  <c r="Z250" i="3" s="1"/>
  <c r="H250" i="3"/>
  <c r="D250" i="3"/>
  <c r="B250" i="3"/>
  <c r="Z249" i="3"/>
  <c r="X249" i="3"/>
  <c r="N249" i="3"/>
  <c r="L249" i="3"/>
  <c r="B249" i="3"/>
  <c r="Z248" i="3"/>
  <c r="X248" i="3"/>
  <c r="V248" i="3"/>
  <c r="L248" i="3"/>
  <c r="N248" i="3" s="1"/>
  <c r="B248" i="3"/>
  <c r="T247" i="3"/>
  <c r="Z247" i="3" s="1"/>
  <c r="P247" i="3"/>
  <c r="X247" i="3" s="1"/>
  <c r="H247" i="3"/>
  <c r="L247" i="3" s="1"/>
  <c r="N247" i="3" s="1"/>
  <c r="D247" i="3"/>
  <c r="B247" i="3"/>
  <c r="X246" i="3"/>
  <c r="Z246" i="3" s="1"/>
  <c r="V246" i="3"/>
  <c r="N246" i="3"/>
  <c r="L246" i="3"/>
  <c r="B246" i="3"/>
  <c r="Z245" i="3"/>
  <c r="X245" i="3"/>
  <c r="L245" i="3"/>
  <c r="N245" i="3" s="1"/>
  <c r="B245" i="3"/>
  <c r="T244" i="3"/>
  <c r="Z244" i="3" s="1"/>
  <c r="P244" i="3"/>
  <c r="X244" i="3" s="1"/>
  <c r="L244" i="3"/>
  <c r="N244" i="3" s="1"/>
  <c r="H244" i="3"/>
  <c r="D244" i="3"/>
  <c r="B244" i="3"/>
  <c r="Z243" i="3"/>
  <c r="X243" i="3"/>
  <c r="N243" i="3"/>
  <c r="L243" i="3"/>
  <c r="B243" i="3"/>
  <c r="T242" i="3"/>
  <c r="P242" i="3"/>
  <c r="X242" i="3" s="1"/>
  <c r="Z242" i="3" s="1"/>
  <c r="H242" i="3"/>
  <c r="D242" i="3"/>
  <c r="B242" i="3"/>
  <c r="Z241" i="3"/>
  <c r="X241" i="3"/>
  <c r="N241" i="3"/>
  <c r="L241" i="3"/>
  <c r="B241" i="3"/>
  <c r="V240" i="3"/>
  <c r="T240" i="3"/>
  <c r="P240" i="3"/>
  <c r="X240" i="3" s="1"/>
  <c r="Z240" i="3" s="1"/>
  <c r="H240" i="3"/>
  <c r="N240" i="3" s="1"/>
  <c r="D240" i="3"/>
  <c r="L240" i="3" s="1"/>
  <c r="B240" i="3"/>
  <c r="X239" i="3"/>
  <c r="Z239" i="3" s="1"/>
  <c r="N239" i="3"/>
  <c r="L239" i="3"/>
  <c r="B239" i="3"/>
  <c r="X238" i="3"/>
  <c r="Z238" i="3" s="1"/>
  <c r="V238" i="3"/>
  <c r="N238" i="3"/>
  <c r="L238" i="3"/>
  <c r="B238" i="3"/>
  <c r="Z237" i="3"/>
  <c r="X237" i="3"/>
  <c r="L237" i="3"/>
  <c r="N237" i="3" s="1"/>
  <c r="B237" i="3"/>
  <c r="T236" i="3"/>
  <c r="P236" i="3"/>
  <c r="X236" i="3" s="1"/>
  <c r="L236" i="3"/>
  <c r="N236" i="3" s="1"/>
  <c r="H236" i="3"/>
  <c r="D236" i="3"/>
  <c r="B236" i="3"/>
  <c r="Z235" i="3"/>
  <c r="X235" i="3"/>
  <c r="N235" i="3"/>
  <c r="L235" i="3"/>
  <c r="B235" i="3"/>
  <c r="Z234" i="3"/>
  <c r="X234" i="3"/>
  <c r="L234" i="3"/>
  <c r="N234" i="3" s="1"/>
  <c r="B234" i="3"/>
  <c r="X233" i="3"/>
  <c r="Z233" i="3" s="1"/>
  <c r="T233" i="3"/>
  <c r="P233" i="3"/>
  <c r="N233" i="3"/>
  <c r="L233" i="3"/>
  <c r="H233" i="3"/>
  <c r="D233" i="3"/>
  <c r="B233" i="3"/>
  <c r="Z232" i="3"/>
  <c r="X232" i="3"/>
  <c r="V232" i="3"/>
  <c r="L232" i="3"/>
  <c r="N232" i="3" s="1"/>
  <c r="B232" i="3"/>
  <c r="Z231" i="3"/>
  <c r="X231" i="3"/>
  <c r="V231" i="3"/>
  <c r="L231" i="3"/>
  <c r="N231" i="3" s="1"/>
  <c r="B231" i="3"/>
  <c r="X230" i="3"/>
  <c r="Z230" i="3" s="1"/>
  <c r="L230" i="3"/>
  <c r="N230" i="3" s="1"/>
  <c r="B230" i="3"/>
  <c r="Z229" i="3"/>
  <c r="X229" i="3"/>
  <c r="N229" i="3"/>
  <c r="L229" i="3"/>
  <c r="B229" i="3"/>
  <c r="V228" i="3"/>
  <c r="T228" i="3"/>
  <c r="P228" i="3"/>
  <c r="X228" i="3" s="1"/>
  <c r="Z228" i="3" s="1"/>
  <c r="H228" i="3"/>
  <c r="N228" i="3" s="1"/>
  <c r="D228" i="3"/>
  <c r="L228" i="3" s="1"/>
  <c r="B228" i="3"/>
  <c r="X227" i="3"/>
  <c r="Z227" i="3" s="1"/>
  <c r="N227" i="3"/>
  <c r="L227" i="3"/>
  <c r="B227" i="3"/>
  <c r="X226" i="3"/>
  <c r="V226" i="3"/>
  <c r="T226" i="3"/>
  <c r="Z226" i="3" s="1"/>
  <c r="P226" i="3"/>
  <c r="H226" i="3"/>
  <c r="D226" i="3"/>
  <c r="L226" i="3" s="1"/>
  <c r="B226" i="3"/>
  <c r="X225" i="3"/>
  <c r="Z225" i="3" s="1"/>
  <c r="N225" i="3"/>
  <c r="L225" i="3"/>
  <c r="B225" i="3"/>
  <c r="X224" i="3"/>
  <c r="Z224" i="3" s="1"/>
  <c r="N224" i="3"/>
  <c r="L224" i="3"/>
  <c r="B224" i="3"/>
  <c r="Z223" i="3"/>
  <c r="X223" i="3"/>
  <c r="T223" i="3"/>
  <c r="P223" i="3"/>
  <c r="L223" i="3"/>
  <c r="N223" i="3" s="1"/>
  <c r="H223" i="3"/>
  <c r="D223" i="3"/>
  <c r="B223" i="3"/>
  <c r="X222" i="3"/>
  <c r="Z222" i="3" s="1"/>
  <c r="L222" i="3"/>
  <c r="N222" i="3" s="1"/>
  <c r="B222" i="3"/>
  <c r="T221" i="3"/>
  <c r="P221" i="3"/>
  <c r="X221" i="3" s="1"/>
  <c r="Z221" i="3" s="1"/>
  <c r="H221" i="3"/>
  <c r="D221" i="3"/>
  <c r="L221" i="3" s="1"/>
  <c r="B221" i="3"/>
  <c r="Z220" i="3"/>
  <c r="X220" i="3"/>
  <c r="N220" i="3"/>
  <c r="L220" i="3"/>
  <c r="B220" i="3"/>
  <c r="Z219" i="3"/>
  <c r="X219" i="3"/>
  <c r="N219" i="3"/>
  <c r="L219" i="3"/>
  <c r="B219" i="3"/>
  <c r="X218" i="3"/>
  <c r="Z218" i="3" s="1"/>
  <c r="V218" i="3"/>
  <c r="N218" i="3"/>
  <c r="L218" i="3"/>
  <c r="B218" i="3"/>
  <c r="Z217" i="3"/>
  <c r="X217" i="3"/>
  <c r="L217" i="3"/>
  <c r="N217" i="3" s="1"/>
  <c r="B217" i="3"/>
  <c r="Z216" i="3"/>
  <c r="X216" i="3"/>
  <c r="N216" i="3"/>
  <c r="L216" i="3"/>
  <c r="B216" i="3"/>
  <c r="X215" i="3"/>
  <c r="Z215" i="3" s="1"/>
  <c r="N215" i="3"/>
  <c r="L215" i="3"/>
  <c r="B215" i="3"/>
  <c r="X214" i="3"/>
  <c r="Z214" i="3" s="1"/>
  <c r="V214" i="3"/>
  <c r="N214" i="3"/>
  <c r="L214" i="3"/>
  <c r="B214" i="3"/>
  <c r="Z213" i="3"/>
  <c r="X213" i="3"/>
  <c r="N213" i="3"/>
  <c r="L213" i="3"/>
  <c r="B213" i="3"/>
  <c r="X212" i="3"/>
  <c r="Z212" i="3" s="1"/>
  <c r="L212" i="3"/>
  <c r="N212" i="3" s="1"/>
  <c r="B212" i="3"/>
  <c r="X211" i="3"/>
  <c r="Z211" i="3" s="1"/>
  <c r="N211" i="3"/>
  <c r="L211" i="3"/>
  <c r="B211" i="3"/>
  <c r="X210" i="3"/>
  <c r="V210" i="3"/>
  <c r="T210" i="3"/>
  <c r="Z210" i="3" s="1"/>
  <c r="P210" i="3"/>
  <c r="H210" i="3"/>
  <c r="D210" i="3"/>
  <c r="L210" i="3" s="1"/>
  <c r="B210" i="3"/>
  <c r="X209" i="3"/>
  <c r="Z209" i="3" s="1"/>
  <c r="N209" i="3"/>
  <c r="L209" i="3"/>
  <c r="B209" i="3"/>
  <c r="X208" i="3"/>
  <c r="Z208" i="3" s="1"/>
  <c r="N208" i="3"/>
  <c r="L208" i="3"/>
  <c r="B208" i="3"/>
  <c r="Z207" i="3"/>
  <c r="X207" i="3"/>
  <c r="N207" i="3"/>
  <c r="L207" i="3"/>
  <c r="B207" i="3"/>
  <c r="Z206" i="3"/>
  <c r="X206" i="3"/>
  <c r="N206" i="3"/>
  <c r="L206" i="3"/>
  <c r="B206" i="3"/>
  <c r="X205" i="3"/>
  <c r="Z205" i="3" s="1"/>
  <c r="N205" i="3"/>
  <c r="L205" i="3"/>
  <c r="B205" i="3"/>
  <c r="X204" i="3"/>
  <c r="Z204" i="3" s="1"/>
  <c r="N204" i="3"/>
  <c r="L204" i="3"/>
  <c r="B204" i="3"/>
  <c r="Z203" i="3"/>
  <c r="X203" i="3"/>
  <c r="N203" i="3"/>
  <c r="L203" i="3"/>
  <c r="B203" i="3"/>
  <c r="Z202" i="3"/>
  <c r="X202" i="3"/>
  <c r="L202" i="3"/>
  <c r="N202" i="3" s="1"/>
  <c r="B202" i="3"/>
  <c r="X201" i="3"/>
  <c r="Z201" i="3" s="1"/>
  <c r="N201" i="3"/>
  <c r="L201" i="3"/>
  <c r="B201" i="3"/>
  <c r="X200" i="3"/>
  <c r="Z200" i="3" s="1"/>
  <c r="N200" i="3"/>
  <c r="L200" i="3"/>
  <c r="B200" i="3"/>
  <c r="T199" i="3"/>
  <c r="P199" i="3"/>
  <c r="X199" i="3" s="1"/>
  <c r="Z199" i="3" s="1"/>
  <c r="L199" i="3"/>
  <c r="N199" i="3" s="1"/>
  <c r="H199" i="3"/>
  <c r="D199" i="3"/>
  <c r="B199" i="3"/>
  <c r="T198" i="3"/>
  <c r="Z198" i="3" s="1"/>
  <c r="P198" i="3"/>
  <c r="X198" i="3" s="1"/>
  <c r="H198" i="3"/>
  <c r="D198" i="3"/>
  <c r="L198" i="3" s="1"/>
  <c r="N198" i="3" s="1"/>
  <c r="Z194" i="3"/>
  <c r="X194" i="3"/>
  <c r="N194" i="3"/>
  <c r="L194" i="3"/>
  <c r="B194" i="3"/>
  <c r="Z193" i="3"/>
  <c r="X193" i="3"/>
  <c r="N193" i="3"/>
  <c r="L193" i="3"/>
  <c r="B193" i="3"/>
  <c r="Z192" i="3"/>
  <c r="X192" i="3"/>
  <c r="V192" i="3"/>
  <c r="N192" i="3"/>
  <c r="L192" i="3"/>
  <c r="B192" i="3"/>
  <c r="Z191" i="3"/>
  <c r="X191" i="3"/>
  <c r="V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V188" i="3"/>
  <c r="N188" i="3"/>
  <c r="L188" i="3"/>
  <c r="B188" i="3"/>
  <c r="Z187" i="3"/>
  <c r="X187" i="3"/>
  <c r="V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V184" i="3"/>
  <c r="N184" i="3"/>
  <c r="L184" i="3"/>
  <c r="B184" i="3"/>
  <c r="Z183" i="3"/>
  <c r="X183" i="3"/>
  <c r="V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V180" i="3"/>
  <c r="N180" i="3"/>
  <c r="L180" i="3"/>
  <c r="B180" i="3"/>
  <c r="Z179" i="3"/>
  <c r="X179" i="3"/>
  <c r="V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V176" i="3"/>
  <c r="N176" i="3"/>
  <c r="L176" i="3"/>
  <c r="B176" i="3"/>
  <c r="Z175" i="3"/>
  <c r="X175" i="3"/>
  <c r="V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V172" i="3"/>
  <c r="N172" i="3"/>
  <c r="L172" i="3"/>
  <c r="B172" i="3"/>
  <c r="Z171" i="3"/>
  <c r="X171" i="3"/>
  <c r="V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V168" i="3"/>
  <c r="N168" i="3"/>
  <c r="L168" i="3"/>
  <c r="B168" i="3"/>
  <c r="Z167" i="3"/>
  <c r="X167" i="3"/>
  <c r="V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V164" i="3"/>
  <c r="N164" i="3"/>
  <c r="L164" i="3"/>
  <c r="B164" i="3"/>
  <c r="Z163" i="3"/>
  <c r="X163" i="3"/>
  <c r="V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V160" i="3"/>
  <c r="N160" i="3"/>
  <c r="L160" i="3"/>
  <c r="B160" i="3"/>
  <c r="Z159" i="3"/>
  <c r="X159" i="3"/>
  <c r="V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V156" i="3"/>
  <c r="N156" i="3"/>
  <c r="L156" i="3"/>
  <c r="B156" i="3"/>
  <c r="Z155" i="3"/>
  <c r="X155" i="3"/>
  <c r="V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V152" i="3"/>
  <c r="N152" i="3"/>
  <c r="L152" i="3"/>
  <c r="B152" i="3"/>
  <c r="Z151" i="3"/>
  <c r="X151" i="3"/>
  <c r="V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V148" i="3"/>
  <c r="N148" i="3"/>
  <c r="L148" i="3"/>
  <c r="B148" i="3"/>
  <c r="Z147" i="3"/>
  <c r="X147" i="3"/>
  <c r="V147" i="3"/>
  <c r="N147" i="3"/>
  <c r="L147" i="3"/>
  <c r="B147" i="3"/>
  <c r="Z146" i="3"/>
  <c r="X146" i="3"/>
  <c r="N146" i="3"/>
  <c r="L146" i="3"/>
  <c r="B146" i="3"/>
  <c r="Z145" i="3"/>
  <c r="X145" i="3"/>
  <c r="V145" i="3"/>
  <c r="N145" i="3"/>
  <c r="L145" i="3"/>
  <c r="B145" i="3"/>
  <c r="Z144" i="3"/>
  <c r="X144" i="3"/>
  <c r="V144" i="3"/>
  <c r="N144" i="3"/>
  <c r="L144" i="3"/>
  <c r="B144" i="3"/>
  <c r="Z143" i="3"/>
  <c r="X143" i="3"/>
  <c r="V143" i="3"/>
  <c r="N143" i="3"/>
  <c r="L143" i="3"/>
  <c r="B143" i="3"/>
  <c r="Z142" i="3"/>
  <c r="X142" i="3"/>
  <c r="N142" i="3"/>
  <c r="L142" i="3"/>
  <c r="B142" i="3"/>
  <c r="Z141" i="3"/>
  <c r="X141" i="3"/>
  <c r="V141" i="3"/>
  <c r="N141" i="3"/>
  <c r="L141" i="3"/>
  <c r="B141" i="3"/>
  <c r="Z140" i="3"/>
  <c r="X140" i="3"/>
  <c r="V140" i="3"/>
  <c r="N140" i="3"/>
  <c r="L140" i="3"/>
  <c r="B140" i="3"/>
  <c r="Z139" i="3"/>
  <c r="X139" i="3"/>
  <c r="V139" i="3"/>
  <c r="N139" i="3"/>
  <c r="L139" i="3"/>
  <c r="B139" i="3"/>
  <c r="Z138" i="3"/>
  <c r="X138" i="3"/>
  <c r="N138" i="3"/>
  <c r="L138" i="3"/>
  <c r="B138" i="3"/>
  <c r="Z137" i="3"/>
  <c r="X137" i="3"/>
  <c r="V137" i="3"/>
  <c r="N137" i="3"/>
  <c r="L137" i="3"/>
  <c r="B137" i="3"/>
  <c r="Z136" i="3"/>
  <c r="X136" i="3"/>
  <c r="V136" i="3"/>
  <c r="N136" i="3"/>
  <c r="L136" i="3"/>
  <c r="B136" i="3"/>
  <c r="Z135" i="3"/>
  <c r="X135" i="3"/>
  <c r="V135" i="3"/>
  <c r="L135" i="3"/>
  <c r="N135" i="3" s="1"/>
  <c r="B135" i="3"/>
  <c r="T134" i="3"/>
  <c r="Z134" i="3" s="1"/>
  <c r="P134" i="3"/>
  <c r="X134" i="3" s="1"/>
  <c r="H134" i="3"/>
  <c r="D134" i="3"/>
  <c r="L134" i="3" s="1"/>
  <c r="N134" i="3" s="1"/>
  <c r="Z132" i="3"/>
  <c r="X132" i="3"/>
  <c r="P132" i="3"/>
  <c r="N132" i="3"/>
  <c r="D132" i="3"/>
  <c r="L132" i="3" s="1"/>
  <c r="B132" i="3"/>
  <c r="Z131" i="3"/>
  <c r="X131" i="3"/>
  <c r="P131" i="3"/>
  <c r="N131" i="3"/>
  <c r="L131" i="3"/>
  <c r="D131" i="3"/>
  <c r="B131" i="3"/>
  <c r="Z130" i="3"/>
  <c r="X130" i="3"/>
  <c r="P130" i="3"/>
  <c r="N130" i="3"/>
  <c r="L130" i="3"/>
  <c r="D130" i="3"/>
  <c r="B130" i="3"/>
  <c r="Z129" i="3"/>
  <c r="P129" i="3"/>
  <c r="X129" i="3" s="1"/>
  <c r="N129" i="3"/>
  <c r="L129" i="3"/>
  <c r="D129" i="3"/>
  <c r="B129" i="3"/>
  <c r="Z128" i="3"/>
  <c r="P128" i="3"/>
  <c r="X128" i="3" s="1"/>
  <c r="N128" i="3"/>
  <c r="L128" i="3"/>
  <c r="D128" i="3"/>
  <c r="B128" i="3"/>
  <c r="Z127" i="3"/>
  <c r="P127" i="3"/>
  <c r="X127" i="3" s="1"/>
  <c r="N127" i="3"/>
  <c r="L127" i="3"/>
  <c r="D127" i="3"/>
  <c r="B127" i="3"/>
  <c r="Z126" i="3"/>
  <c r="P126" i="3"/>
  <c r="X126" i="3" s="1"/>
  <c r="N126" i="3"/>
  <c r="D126" i="3"/>
  <c r="L126" i="3" s="1"/>
  <c r="B126" i="3"/>
  <c r="Z125" i="3"/>
  <c r="P125" i="3"/>
  <c r="X125" i="3" s="1"/>
  <c r="N125" i="3"/>
  <c r="D125" i="3"/>
  <c r="L125" i="3" s="1"/>
  <c r="B125" i="3"/>
  <c r="Z124" i="3"/>
  <c r="X124" i="3"/>
  <c r="P124" i="3"/>
  <c r="N124" i="3"/>
  <c r="D124" i="3"/>
  <c r="L124" i="3" s="1"/>
  <c r="B124" i="3"/>
  <c r="Z123" i="3"/>
  <c r="P123" i="3"/>
  <c r="X123" i="3" s="1"/>
  <c r="N123" i="3"/>
  <c r="D123" i="3"/>
  <c r="L123" i="3" s="1"/>
  <c r="B123" i="3"/>
  <c r="Z122" i="3"/>
  <c r="X122" i="3"/>
  <c r="P122" i="3"/>
  <c r="N122" i="3"/>
  <c r="D122" i="3"/>
  <c r="L122" i="3" s="1"/>
  <c r="B122" i="3"/>
  <c r="Z121" i="3"/>
  <c r="X121" i="3"/>
  <c r="P121" i="3"/>
  <c r="N121" i="3"/>
  <c r="L121" i="3"/>
  <c r="D121" i="3"/>
  <c r="B121" i="3"/>
  <c r="Z120" i="3"/>
  <c r="X120" i="3"/>
  <c r="P120" i="3"/>
  <c r="N120" i="3"/>
  <c r="D120" i="3"/>
  <c r="L120" i="3" s="1"/>
  <c r="B120" i="3"/>
  <c r="Z119" i="3"/>
  <c r="X119" i="3"/>
  <c r="P119" i="3"/>
  <c r="N119" i="3"/>
  <c r="L119" i="3"/>
  <c r="D119" i="3"/>
  <c r="B119" i="3"/>
  <c r="Z118" i="3"/>
  <c r="X118" i="3"/>
  <c r="P118" i="3"/>
  <c r="N118" i="3"/>
  <c r="L118" i="3"/>
  <c r="D118" i="3"/>
  <c r="B118" i="3"/>
  <c r="Z117" i="3"/>
  <c r="P117" i="3"/>
  <c r="X117" i="3" s="1"/>
  <c r="N117" i="3"/>
  <c r="L117" i="3"/>
  <c r="D117" i="3"/>
  <c r="B117" i="3"/>
  <c r="Z116" i="3"/>
  <c r="P116" i="3"/>
  <c r="X116" i="3" s="1"/>
  <c r="N116" i="3"/>
  <c r="L116" i="3"/>
  <c r="D116" i="3"/>
  <c r="B116" i="3"/>
  <c r="Z115" i="3"/>
  <c r="P115" i="3"/>
  <c r="X115" i="3" s="1"/>
  <c r="N115" i="3"/>
  <c r="L115" i="3"/>
  <c r="D115" i="3"/>
  <c r="B115" i="3"/>
  <c r="Z114" i="3"/>
  <c r="P114" i="3"/>
  <c r="X114" i="3" s="1"/>
  <c r="N114" i="3"/>
  <c r="D114" i="3"/>
  <c r="L114" i="3" s="1"/>
  <c r="B114" i="3"/>
  <c r="Z113" i="3"/>
  <c r="P113" i="3"/>
  <c r="X113" i="3" s="1"/>
  <c r="N113" i="3"/>
  <c r="D113" i="3"/>
  <c r="L113" i="3" s="1"/>
  <c r="B113" i="3"/>
  <c r="Z112" i="3"/>
  <c r="X112" i="3"/>
  <c r="P112" i="3"/>
  <c r="N112" i="3"/>
  <c r="D112" i="3"/>
  <c r="L112" i="3" s="1"/>
  <c r="B112" i="3"/>
  <c r="Z111" i="3"/>
  <c r="P111" i="3"/>
  <c r="X111" i="3" s="1"/>
  <c r="N111" i="3"/>
  <c r="D111" i="3"/>
  <c r="L111" i="3" s="1"/>
  <c r="B111" i="3"/>
  <c r="Z110" i="3"/>
  <c r="X110" i="3"/>
  <c r="P110" i="3"/>
  <c r="N110" i="3"/>
  <c r="D110" i="3"/>
  <c r="L110" i="3" s="1"/>
  <c r="B110" i="3"/>
  <c r="Z109" i="3"/>
  <c r="X109" i="3"/>
  <c r="P109" i="3"/>
  <c r="N109" i="3"/>
  <c r="L109" i="3"/>
  <c r="D109" i="3"/>
  <c r="B109" i="3"/>
  <c r="Z108" i="3"/>
  <c r="X108" i="3"/>
  <c r="P108" i="3"/>
  <c r="N108" i="3"/>
  <c r="D108" i="3"/>
  <c r="L108" i="3" s="1"/>
  <c r="B108" i="3"/>
  <c r="Z107" i="3"/>
  <c r="X107" i="3"/>
  <c r="P107" i="3"/>
  <c r="N107" i="3"/>
  <c r="L107" i="3"/>
  <c r="D107" i="3"/>
  <c r="B107" i="3"/>
  <c r="Z106" i="3"/>
  <c r="X106" i="3"/>
  <c r="P106" i="3"/>
  <c r="N106" i="3"/>
  <c r="L106" i="3"/>
  <c r="D106" i="3"/>
  <c r="B106" i="3"/>
  <c r="Z105" i="3"/>
  <c r="P105" i="3"/>
  <c r="X105" i="3" s="1"/>
  <c r="N105" i="3"/>
  <c r="L105" i="3"/>
  <c r="D105" i="3"/>
  <c r="B105" i="3"/>
  <c r="Z104" i="3"/>
  <c r="P104" i="3"/>
  <c r="X104" i="3" s="1"/>
  <c r="N104" i="3"/>
  <c r="L104" i="3"/>
  <c r="D104" i="3"/>
  <c r="B104" i="3"/>
  <c r="Z103" i="3"/>
  <c r="P103" i="3"/>
  <c r="X103" i="3" s="1"/>
  <c r="N103" i="3"/>
  <c r="L103" i="3"/>
  <c r="D103" i="3"/>
  <c r="B103" i="3"/>
  <c r="Z102" i="3"/>
  <c r="P102" i="3"/>
  <c r="X102" i="3" s="1"/>
  <c r="N102" i="3"/>
  <c r="D102" i="3"/>
  <c r="L102" i="3" s="1"/>
  <c r="B102" i="3"/>
  <c r="Z101" i="3"/>
  <c r="P101" i="3"/>
  <c r="X101" i="3" s="1"/>
  <c r="N101" i="3"/>
  <c r="D101" i="3"/>
  <c r="L101" i="3" s="1"/>
  <c r="B101" i="3"/>
  <c r="Z100" i="3"/>
  <c r="X100" i="3"/>
  <c r="P100" i="3"/>
  <c r="N100" i="3"/>
  <c r="D100" i="3"/>
  <c r="L100" i="3" s="1"/>
  <c r="B100" i="3"/>
  <c r="Z99" i="3"/>
  <c r="P99" i="3"/>
  <c r="X99" i="3" s="1"/>
  <c r="N99" i="3"/>
  <c r="D99" i="3"/>
  <c r="L99" i="3" s="1"/>
  <c r="B99" i="3"/>
  <c r="Z98" i="3"/>
  <c r="X98" i="3"/>
  <c r="P98" i="3"/>
  <c r="N98" i="3"/>
  <c r="D98" i="3"/>
  <c r="L98" i="3" s="1"/>
  <c r="B98" i="3"/>
  <c r="Z97" i="3"/>
  <c r="X97" i="3"/>
  <c r="P97" i="3"/>
  <c r="N97" i="3"/>
  <c r="L97" i="3"/>
  <c r="D97" i="3"/>
  <c r="B97" i="3"/>
  <c r="Z96" i="3"/>
  <c r="X96" i="3"/>
  <c r="P96" i="3"/>
  <c r="N96" i="3"/>
  <c r="D96" i="3"/>
  <c r="L96" i="3" s="1"/>
  <c r="B96" i="3"/>
  <c r="Z95" i="3"/>
  <c r="X95" i="3"/>
  <c r="P95" i="3"/>
  <c r="N95" i="3"/>
  <c r="L95" i="3"/>
  <c r="D95" i="3"/>
  <c r="B95" i="3"/>
  <c r="Z94" i="3"/>
  <c r="X94" i="3"/>
  <c r="P94" i="3"/>
  <c r="N94" i="3"/>
  <c r="L94" i="3"/>
  <c r="D94" i="3"/>
  <c r="B94" i="3"/>
  <c r="Z93" i="3"/>
  <c r="P93" i="3"/>
  <c r="X93" i="3" s="1"/>
  <c r="N93" i="3"/>
  <c r="L93" i="3"/>
  <c r="D93" i="3"/>
  <c r="B93" i="3"/>
  <c r="Z92" i="3"/>
  <c r="P92" i="3"/>
  <c r="X92" i="3" s="1"/>
  <c r="N92" i="3"/>
  <c r="L92" i="3"/>
  <c r="D92" i="3"/>
  <c r="B92" i="3"/>
  <c r="Z91" i="3"/>
  <c r="P91" i="3"/>
  <c r="X91" i="3" s="1"/>
  <c r="N91" i="3"/>
  <c r="L91" i="3"/>
  <c r="D91" i="3"/>
  <c r="B91" i="3"/>
  <c r="Z90" i="3"/>
  <c r="P90" i="3"/>
  <c r="X90" i="3" s="1"/>
  <c r="N90" i="3"/>
  <c r="D90" i="3"/>
  <c r="L90" i="3" s="1"/>
  <c r="B90" i="3"/>
  <c r="Z89" i="3"/>
  <c r="P89" i="3"/>
  <c r="X89" i="3" s="1"/>
  <c r="N89" i="3"/>
  <c r="D89" i="3"/>
  <c r="L89" i="3" s="1"/>
  <c r="B89" i="3"/>
  <c r="Z88" i="3"/>
  <c r="X88" i="3"/>
  <c r="P88" i="3"/>
  <c r="N88" i="3"/>
  <c r="D88" i="3"/>
  <c r="L88" i="3" s="1"/>
  <c r="B88" i="3"/>
  <c r="Z87" i="3"/>
  <c r="P87" i="3"/>
  <c r="X87" i="3" s="1"/>
  <c r="N87" i="3"/>
  <c r="D87" i="3"/>
  <c r="L87" i="3" s="1"/>
  <c r="B87" i="3"/>
  <c r="Z86" i="3"/>
  <c r="X86" i="3"/>
  <c r="P86" i="3"/>
  <c r="N86" i="3"/>
  <c r="D86" i="3"/>
  <c r="L86" i="3" s="1"/>
  <c r="B86" i="3"/>
  <c r="Z85" i="3"/>
  <c r="X85" i="3"/>
  <c r="P85" i="3"/>
  <c r="N85" i="3"/>
  <c r="L85" i="3"/>
  <c r="D85" i="3"/>
  <c r="B85" i="3"/>
  <c r="Z84" i="3"/>
  <c r="X84" i="3"/>
  <c r="P84" i="3"/>
  <c r="N84" i="3"/>
  <c r="D84" i="3"/>
  <c r="L84" i="3" s="1"/>
  <c r="B84" i="3"/>
  <c r="Z83" i="3"/>
  <c r="X83" i="3"/>
  <c r="P83" i="3"/>
  <c r="N83" i="3"/>
  <c r="L83" i="3"/>
  <c r="D83" i="3"/>
  <c r="B83" i="3"/>
  <c r="Z82" i="3"/>
  <c r="X82" i="3"/>
  <c r="P82" i="3"/>
  <c r="N82" i="3"/>
  <c r="L82" i="3"/>
  <c r="D82" i="3"/>
  <c r="B82" i="3"/>
  <c r="Z81" i="3"/>
  <c r="P81" i="3"/>
  <c r="X81" i="3" s="1"/>
  <c r="N81" i="3"/>
  <c r="L81" i="3"/>
  <c r="D81" i="3"/>
  <c r="B81" i="3"/>
  <c r="Z80" i="3"/>
  <c r="P80" i="3"/>
  <c r="X80" i="3" s="1"/>
  <c r="N80" i="3"/>
  <c r="L80" i="3"/>
  <c r="D80" i="3"/>
  <c r="B80" i="3"/>
  <c r="Z79" i="3"/>
  <c r="P79" i="3"/>
  <c r="X79" i="3" s="1"/>
  <c r="N79" i="3"/>
  <c r="L79" i="3"/>
  <c r="D79" i="3"/>
  <c r="B79" i="3"/>
  <c r="Z78" i="3"/>
  <c r="P78" i="3"/>
  <c r="X78" i="3" s="1"/>
  <c r="N78" i="3"/>
  <c r="D78" i="3"/>
  <c r="L78" i="3" s="1"/>
  <c r="B78" i="3"/>
  <c r="Z77" i="3"/>
  <c r="P77" i="3"/>
  <c r="X77" i="3" s="1"/>
  <c r="N77" i="3"/>
  <c r="D77" i="3"/>
  <c r="L77" i="3" s="1"/>
  <c r="B77" i="3"/>
  <c r="Z76" i="3"/>
  <c r="X76" i="3"/>
  <c r="P76" i="3"/>
  <c r="N76" i="3"/>
  <c r="D76" i="3"/>
  <c r="L76" i="3" s="1"/>
  <c r="B76" i="3"/>
  <c r="Z75" i="3"/>
  <c r="P75" i="3"/>
  <c r="X75" i="3" s="1"/>
  <c r="N75" i="3"/>
  <c r="D75" i="3"/>
  <c r="L75" i="3" s="1"/>
  <c r="B75" i="3"/>
  <c r="Z74" i="3"/>
  <c r="X74" i="3"/>
  <c r="P74" i="3"/>
  <c r="N74" i="3"/>
  <c r="D74" i="3"/>
  <c r="L74" i="3" s="1"/>
  <c r="B74" i="3"/>
  <c r="Z73" i="3"/>
  <c r="X73" i="3"/>
  <c r="P73" i="3"/>
  <c r="N73" i="3"/>
  <c r="L73" i="3"/>
  <c r="D73" i="3"/>
  <c r="B73" i="3"/>
  <c r="Z72" i="3"/>
  <c r="X72" i="3"/>
  <c r="P72" i="3"/>
  <c r="N72" i="3"/>
  <c r="D72" i="3"/>
  <c r="L72" i="3" s="1"/>
  <c r="B72" i="3"/>
  <c r="Z71" i="3"/>
  <c r="X71" i="3"/>
  <c r="P71" i="3"/>
  <c r="N71" i="3"/>
  <c r="L71" i="3"/>
  <c r="D71" i="3"/>
  <c r="B71" i="3"/>
  <c r="Z70" i="3"/>
  <c r="X70" i="3"/>
  <c r="P70" i="3"/>
  <c r="N70" i="3"/>
  <c r="L70" i="3"/>
  <c r="D70" i="3"/>
  <c r="B70" i="3"/>
  <c r="Z69" i="3"/>
  <c r="P69" i="3"/>
  <c r="X69" i="3" s="1"/>
  <c r="N69" i="3"/>
  <c r="L69" i="3"/>
  <c r="D69" i="3"/>
  <c r="B69" i="3"/>
  <c r="Z68" i="3"/>
  <c r="P68" i="3"/>
  <c r="X68" i="3" s="1"/>
  <c r="N68" i="3"/>
  <c r="L68" i="3"/>
  <c r="D68" i="3"/>
  <c r="B68" i="3"/>
  <c r="Z67" i="3"/>
  <c r="P67" i="3"/>
  <c r="X67" i="3" s="1"/>
  <c r="N67" i="3"/>
  <c r="L67" i="3"/>
  <c r="D67" i="3"/>
  <c r="B67" i="3"/>
  <c r="Z66" i="3"/>
  <c r="P66" i="3"/>
  <c r="X66" i="3" s="1"/>
  <c r="N66" i="3"/>
  <c r="D66" i="3"/>
  <c r="L66" i="3" s="1"/>
  <c r="B66" i="3"/>
  <c r="Z65" i="3"/>
  <c r="P65" i="3"/>
  <c r="X65" i="3" s="1"/>
  <c r="N65" i="3"/>
  <c r="D65" i="3"/>
  <c r="L65" i="3" s="1"/>
  <c r="B65" i="3"/>
  <c r="Z64" i="3"/>
  <c r="X64" i="3"/>
  <c r="P64" i="3"/>
  <c r="N64" i="3"/>
  <c r="D64" i="3"/>
  <c r="L64" i="3" s="1"/>
  <c r="B64" i="3"/>
  <c r="Z63" i="3"/>
  <c r="P63" i="3"/>
  <c r="X63" i="3" s="1"/>
  <c r="N63" i="3"/>
  <c r="D63" i="3"/>
  <c r="L63" i="3" s="1"/>
  <c r="B63" i="3"/>
  <c r="Z62" i="3"/>
  <c r="X62" i="3"/>
  <c r="P62" i="3"/>
  <c r="N62" i="3"/>
  <c r="D62" i="3"/>
  <c r="L62" i="3" s="1"/>
  <c r="B62" i="3"/>
  <c r="Z61" i="3"/>
  <c r="X61" i="3"/>
  <c r="P61" i="3"/>
  <c r="N61" i="3"/>
  <c r="L61" i="3"/>
  <c r="D61" i="3"/>
  <c r="B61" i="3"/>
  <c r="Z60" i="3"/>
  <c r="X60" i="3"/>
  <c r="P60" i="3"/>
  <c r="N60" i="3"/>
  <c r="D60" i="3"/>
  <c r="L60" i="3" s="1"/>
  <c r="B60" i="3"/>
  <c r="Z59" i="3"/>
  <c r="X59" i="3"/>
  <c r="P59" i="3"/>
  <c r="N59" i="3"/>
  <c r="L59" i="3"/>
  <c r="D59" i="3"/>
  <c r="B59" i="3"/>
  <c r="Z58" i="3"/>
  <c r="X58" i="3"/>
  <c r="P58" i="3"/>
  <c r="N58" i="3"/>
  <c r="L58" i="3"/>
  <c r="D58" i="3"/>
  <c r="B58" i="3"/>
  <c r="Z57" i="3"/>
  <c r="P57" i="3"/>
  <c r="X57" i="3" s="1"/>
  <c r="N57" i="3"/>
  <c r="L57" i="3"/>
  <c r="D57" i="3"/>
  <c r="B57" i="3"/>
  <c r="Z56" i="3"/>
  <c r="P56" i="3"/>
  <c r="X56" i="3" s="1"/>
  <c r="N56" i="3"/>
  <c r="L56" i="3"/>
  <c r="D56" i="3"/>
  <c r="B56" i="3"/>
  <c r="P55" i="3"/>
  <c r="X55" i="3" s="1"/>
  <c r="Z55" i="3" s="1"/>
  <c r="L55" i="3"/>
  <c r="N55" i="3" s="1"/>
  <c r="D55" i="3"/>
  <c r="B55" i="3"/>
  <c r="Z54" i="3"/>
  <c r="P54" i="3"/>
  <c r="X54" i="3" s="1"/>
  <c r="N54" i="3"/>
  <c r="D54" i="3"/>
  <c r="L54" i="3" s="1"/>
  <c r="B54" i="3"/>
  <c r="Z53" i="3"/>
  <c r="P53" i="3"/>
  <c r="X53" i="3" s="1"/>
  <c r="N53" i="3"/>
  <c r="D53" i="3"/>
  <c r="L53" i="3" s="1"/>
  <c r="B53" i="3"/>
  <c r="Z52" i="3"/>
  <c r="X52" i="3"/>
  <c r="P52" i="3"/>
  <c r="N52" i="3"/>
  <c r="D52" i="3"/>
  <c r="L52" i="3" s="1"/>
  <c r="B52" i="3"/>
  <c r="Z51" i="3"/>
  <c r="P51" i="3"/>
  <c r="X51" i="3" s="1"/>
  <c r="N51" i="3"/>
  <c r="D51" i="3"/>
  <c r="L51" i="3" s="1"/>
  <c r="B51" i="3"/>
  <c r="Z50" i="3"/>
  <c r="X50" i="3"/>
  <c r="P50" i="3"/>
  <c r="N50" i="3"/>
  <c r="D50" i="3"/>
  <c r="L50" i="3" s="1"/>
  <c r="B50" i="3"/>
  <c r="Z49" i="3"/>
  <c r="X49" i="3"/>
  <c r="P49" i="3"/>
  <c r="N49" i="3"/>
  <c r="L49" i="3"/>
  <c r="D49" i="3"/>
  <c r="B49" i="3"/>
  <c r="Z48" i="3"/>
  <c r="X48" i="3"/>
  <c r="P48" i="3"/>
  <c r="N48" i="3"/>
  <c r="D48" i="3"/>
  <c r="L48" i="3" s="1"/>
  <c r="B48" i="3"/>
  <c r="Z47" i="3"/>
  <c r="X47" i="3"/>
  <c r="P47" i="3"/>
  <c r="N47" i="3"/>
  <c r="L47" i="3"/>
  <c r="D47" i="3"/>
  <c r="B47" i="3"/>
  <c r="Z46" i="3"/>
  <c r="X46" i="3"/>
  <c r="P46" i="3"/>
  <c r="N46" i="3"/>
  <c r="L46" i="3"/>
  <c r="D46" i="3"/>
  <c r="B46" i="3"/>
  <c r="Z45" i="3"/>
  <c r="P45" i="3"/>
  <c r="X45" i="3" s="1"/>
  <c r="N45" i="3"/>
  <c r="L45" i="3"/>
  <c r="D45" i="3"/>
  <c r="B45" i="3"/>
  <c r="Z44" i="3"/>
  <c r="P44" i="3"/>
  <c r="X44" i="3" s="1"/>
  <c r="N44" i="3"/>
  <c r="L44" i="3"/>
  <c r="D44" i="3"/>
  <c r="B44" i="3"/>
  <c r="Z43" i="3"/>
  <c r="P43" i="3"/>
  <c r="X43" i="3" s="1"/>
  <c r="N43" i="3"/>
  <c r="L43" i="3"/>
  <c r="D43" i="3"/>
  <c r="B43" i="3"/>
  <c r="Z42" i="3"/>
  <c r="P42" i="3"/>
  <c r="X42" i="3" s="1"/>
  <c r="N42" i="3"/>
  <c r="D42" i="3"/>
  <c r="L42" i="3" s="1"/>
  <c r="B42" i="3"/>
  <c r="Z41" i="3"/>
  <c r="P41" i="3"/>
  <c r="X41" i="3" s="1"/>
  <c r="N41" i="3"/>
  <c r="D41" i="3"/>
  <c r="L41" i="3" s="1"/>
  <c r="B41" i="3"/>
  <c r="Z40" i="3"/>
  <c r="X40" i="3"/>
  <c r="P40" i="3"/>
  <c r="N40" i="3"/>
  <c r="D40" i="3"/>
  <c r="L40" i="3" s="1"/>
  <c r="B40" i="3"/>
  <c r="Z39" i="3"/>
  <c r="P39" i="3"/>
  <c r="X39" i="3" s="1"/>
  <c r="N39" i="3"/>
  <c r="D39" i="3"/>
  <c r="L39" i="3" s="1"/>
  <c r="B39" i="3"/>
  <c r="Z38" i="3"/>
  <c r="X38" i="3"/>
  <c r="P38" i="3"/>
  <c r="N38" i="3"/>
  <c r="D38" i="3"/>
  <c r="L38" i="3" s="1"/>
  <c r="B38" i="3"/>
  <c r="Z37" i="3"/>
  <c r="X37" i="3"/>
  <c r="P37" i="3"/>
  <c r="N37" i="3"/>
  <c r="L37" i="3"/>
  <c r="D37" i="3"/>
  <c r="B37" i="3"/>
  <c r="Z36" i="3"/>
  <c r="X36" i="3"/>
  <c r="P36" i="3"/>
  <c r="N36" i="3"/>
  <c r="D36" i="3"/>
  <c r="L36" i="3" s="1"/>
  <c r="B36" i="3"/>
  <c r="Z35" i="3"/>
  <c r="X35" i="3"/>
  <c r="P35" i="3"/>
  <c r="N35" i="3"/>
  <c r="L35" i="3"/>
  <c r="D35" i="3"/>
  <c r="B35" i="3"/>
  <c r="Z34" i="3"/>
  <c r="X34" i="3"/>
  <c r="P34" i="3"/>
  <c r="N34" i="3"/>
  <c r="L34" i="3"/>
  <c r="D34" i="3"/>
  <c r="B34" i="3"/>
  <c r="Z33" i="3"/>
  <c r="P33" i="3"/>
  <c r="X33" i="3" s="1"/>
  <c r="N33" i="3"/>
  <c r="L33" i="3"/>
  <c r="D33" i="3"/>
  <c r="B33" i="3"/>
  <c r="Z32" i="3"/>
  <c r="P32" i="3"/>
  <c r="X32" i="3" s="1"/>
  <c r="N32" i="3"/>
  <c r="L32" i="3"/>
  <c r="D32" i="3"/>
  <c r="B32" i="3"/>
  <c r="Z31" i="3"/>
  <c r="P31" i="3"/>
  <c r="X31" i="3" s="1"/>
  <c r="N31" i="3"/>
  <c r="L31" i="3"/>
  <c r="D31" i="3"/>
  <c r="B31" i="3"/>
  <c r="Z30" i="3"/>
  <c r="P30" i="3"/>
  <c r="X30" i="3" s="1"/>
  <c r="N30" i="3"/>
  <c r="D30" i="3"/>
  <c r="L30" i="3" s="1"/>
  <c r="B30" i="3"/>
  <c r="Z29" i="3"/>
  <c r="P29" i="3"/>
  <c r="X29" i="3" s="1"/>
  <c r="N29" i="3"/>
  <c r="D29" i="3"/>
  <c r="L29" i="3" s="1"/>
  <c r="B29" i="3"/>
  <c r="Z28" i="3"/>
  <c r="X28" i="3"/>
  <c r="P28" i="3"/>
  <c r="N28" i="3"/>
  <c r="D28" i="3"/>
  <c r="L28" i="3" s="1"/>
  <c r="B28" i="3"/>
  <c r="Z27" i="3"/>
  <c r="P27" i="3"/>
  <c r="X27" i="3" s="1"/>
  <c r="N27" i="3"/>
  <c r="D27" i="3"/>
  <c r="L27" i="3" s="1"/>
  <c r="B27" i="3"/>
  <c r="Z26" i="3"/>
  <c r="X26" i="3"/>
  <c r="P26" i="3"/>
  <c r="N26" i="3"/>
  <c r="D26" i="3"/>
  <c r="L26" i="3" s="1"/>
  <c r="B26" i="3"/>
  <c r="Z25" i="3"/>
  <c r="X25" i="3"/>
  <c r="P25" i="3"/>
  <c r="N25" i="3"/>
  <c r="L25" i="3"/>
  <c r="D25" i="3"/>
  <c r="B25" i="3"/>
  <c r="Z24" i="3"/>
  <c r="X24" i="3"/>
  <c r="P24" i="3"/>
  <c r="N24" i="3"/>
  <c r="D24" i="3"/>
  <c r="L24" i="3" s="1"/>
  <c r="B24" i="3"/>
  <c r="Z23" i="3"/>
  <c r="X23" i="3"/>
  <c r="P23" i="3"/>
  <c r="N23" i="3"/>
  <c r="L23" i="3"/>
  <c r="D23" i="3"/>
  <c r="B23" i="3"/>
  <c r="Z22" i="3"/>
  <c r="X22" i="3"/>
  <c r="P22" i="3"/>
  <c r="N22" i="3"/>
  <c r="L22" i="3"/>
  <c r="D22" i="3"/>
  <c r="B22" i="3"/>
  <c r="Z21" i="3"/>
  <c r="P21" i="3"/>
  <c r="X21" i="3" s="1"/>
  <c r="N21" i="3"/>
  <c r="L21" i="3"/>
  <c r="D21" i="3"/>
  <c r="B21" i="3"/>
  <c r="Z20" i="3"/>
  <c r="P20" i="3"/>
  <c r="X20" i="3" s="1"/>
  <c r="N20" i="3"/>
  <c r="L20" i="3"/>
  <c r="D20" i="3"/>
  <c r="B20" i="3"/>
  <c r="Z19" i="3"/>
  <c r="P19" i="3"/>
  <c r="X19" i="3" s="1"/>
  <c r="N19" i="3"/>
  <c r="L19" i="3"/>
  <c r="D19" i="3"/>
  <c r="B19" i="3"/>
  <c r="Z18" i="3"/>
  <c r="P18" i="3"/>
  <c r="X18" i="3" s="1"/>
  <c r="N18" i="3"/>
  <c r="D18" i="3"/>
  <c r="L18" i="3" s="1"/>
  <c r="B18" i="3"/>
  <c r="Z17" i="3"/>
  <c r="P17" i="3"/>
  <c r="X17" i="3" s="1"/>
  <c r="N17" i="3"/>
  <c r="D17" i="3"/>
  <c r="L17" i="3" s="1"/>
  <c r="B17" i="3"/>
  <c r="Z16" i="3"/>
  <c r="X16" i="3"/>
  <c r="P16" i="3"/>
  <c r="N16" i="3"/>
  <c r="D16" i="3"/>
  <c r="L16" i="3" s="1"/>
  <c r="B16" i="3"/>
  <c r="Z15" i="3"/>
  <c r="P15" i="3"/>
  <c r="P12" i="3" s="1"/>
  <c r="N15" i="3"/>
  <c r="D15" i="3"/>
  <c r="L15" i="3" s="1"/>
  <c r="B15" i="3"/>
  <c r="Z14" i="3"/>
  <c r="X14" i="3"/>
  <c r="P14" i="3"/>
  <c r="N14" i="3"/>
  <c r="D14" i="3"/>
  <c r="D12" i="3" s="1"/>
  <c r="B14" i="3"/>
  <c r="X13" i="3"/>
  <c r="Z13" i="3" s="1"/>
  <c r="P13" i="3"/>
  <c r="N13" i="3"/>
  <c r="L13" i="3"/>
  <c r="D13" i="3"/>
  <c r="B13" i="3"/>
  <c r="T12" i="3"/>
  <c r="V315" i="3" s="1"/>
  <c r="H12" i="3"/>
  <c r="J317" i="3" s="1"/>
  <c r="D4" i="3"/>
  <c r="D12" i="112"/>
  <c r="B13" i="113"/>
  <c r="B38" i="112"/>
  <c r="P15" i="111"/>
  <c r="H24" i="111"/>
  <c r="D21" i="112"/>
  <c r="P12" i="113"/>
  <c r="P29" i="113"/>
  <c r="H15" i="111"/>
  <c r="T29" i="111"/>
  <c r="P13" i="112"/>
  <c r="P20" i="113"/>
  <c r="D6" i="112"/>
  <c r="D33" i="113"/>
  <c r="D20" i="53"/>
  <c r="P33" i="53"/>
  <c r="T15" i="52"/>
  <c r="P15" i="52"/>
  <c r="H34" i="50"/>
  <c r="T25" i="47"/>
  <c r="B39" i="50"/>
  <c r="T22" i="47"/>
  <c r="H25" i="44"/>
  <c r="B21" i="52"/>
  <c r="H22" i="49"/>
  <c r="B22" i="53"/>
  <c r="H16" i="50"/>
  <c r="T16" i="47"/>
  <c r="H21" i="44"/>
  <c r="B13" i="52"/>
  <c r="P13" i="47"/>
  <c r="D20" i="50"/>
  <c r="B22" i="44"/>
  <c r="H24" i="52"/>
  <c r="H33" i="47"/>
  <c r="D21" i="43"/>
  <c r="P12" i="50"/>
  <c r="D4" i="47"/>
  <c r="D15" i="44"/>
  <c r="H24" i="46"/>
  <c r="T33" i="40"/>
  <c r="B13" i="47"/>
  <c r="T21" i="41"/>
  <c r="H16" i="44"/>
  <c r="P15" i="53"/>
  <c r="P33" i="43"/>
  <c r="P22" i="44"/>
  <c r="H33" i="43"/>
  <c r="H22" i="40"/>
  <c r="P20" i="44"/>
  <c r="T13" i="43"/>
  <c r="D29" i="38"/>
  <c r="T20" i="44"/>
  <c r="H20" i="38"/>
  <c r="D33" i="43"/>
  <c r="H29" i="41"/>
  <c r="T33" i="38"/>
  <c r="H21" i="46"/>
  <c r="H12" i="40"/>
  <c r="D24" i="44"/>
  <c r="T33" i="53"/>
  <c r="T13" i="40"/>
  <c r="D12" i="50"/>
  <c r="H33" i="38"/>
  <c r="P34" i="35"/>
  <c r="T33" i="31"/>
  <c r="T12" i="29"/>
  <c r="P24" i="35"/>
  <c r="P29" i="32"/>
  <c r="T12" i="41"/>
  <c r="P13" i="34"/>
  <c r="D21" i="38"/>
  <c r="D12" i="34"/>
  <c r="D5" i="37"/>
  <c r="H34" i="32"/>
  <c r="P21" i="28"/>
  <c r="D33" i="35"/>
  <c r="H22" i="32"/>
  <c r="H25" i="29"/>
  <c r="T16" i="37"/>
  <c r="H21" i="34"/>
  <c r="H13" i="31"/>
  <c r="D5" i="28"/>
  <c r="D20" i="35"/>
  <c r="D29" i="31"/>
  <c r="H16" i="26"/>
  <c r="P25" i="23"/>
  <c r="H21" i="31"/>
  <c r="D24" i="25"/>
  <c r="P29" i="22"/>
  <c r="D16" i="34"/>
  <c r="D16" i="26"/>
  <c r="T13" i="22"/>
  <c r="P22" i="28"/>
  <c r="D16" i="25"/>
  <c r="D33" i="40"/>
  <c r="H21" i="29"/>
  <c r="T29" i="25"/>
  <c r="P16" i="22"/>
  <c r="D24" i="34"/>
  <c r="P33" i="26"/>
  <c r="T29" i="32"/>
  <c r="T20" i="26"/>
  <c r="D25" i="23"/>
  <c r="T33" i="34"/>
  <c r="P24" i="111"/>
  <c r="B39" i="112"/>
  <c r="D34" i="112"/>
  <c r="D6" i="111"/>
  <c r="H22" i="111"/>
  <c r="H15" i="112"/>
  <c r="B21" i="112"/>
  <c r="P25" i="113"/>
  <c r="P21" i="113"/>
  <c r="T25" i="111"/>
  <c r="P34" i="111"/>
  <c r="T16" i="112"/>
  <c r="P13" i="111"/>
  <c r="D13" i="113"/>
  <c r="T24" i="53"/>
  <c r="P29" i="53"/>
  <c r="P13" i="52"/>
  <c r="D5" i="52"/>
  <c r="H33" i="50"/>
  <c r="B16" i="47"/>
  <c r="H24" i="50"/>
  <c r="P12" i="47"/>
  <c r="P15" i="44"/>
  <c r="D16" i="52"/>
  <c r="H13" i="49"/>
  <c r="H16" i="53"/>
  <c r="B13" i="50"/>
  <c r="T13" i="47"/>
  <c r="D13" i="44"/>
  <c r="B22" i="50"/>
  <c r="H12" i="47"/>
  <c r="D16" i="50"/>
  <c r="D21" i="44"/>
  <c r="T34" i="50"/>
  <c r="H29" i="47"/>
  <c r="H15" i="43"/>
  <c r="T34" i="49"/>
  <c r="H34" i="46"/>
  <c r="T12" i="44"/>
  <c r="T21" i="44"/>
  <c r="T29" i="40"/>
  <c r="D34" i="46"/>
  <c r="T24" i="40"/>
  <c r="T33" i="43"/>
  <c r="D12" i="52"/>
  <c r="T29" i="43"/>
  <c r="T15" i="44"/>
  <c r="P21" i="43"/>
  <c r="H13" i="40"/>
  <c r="T16" i="44"/>
  <c r="T29" i="41"/>
  <c r="D25" i="38"/>
  <c r="D13" i="43"/>
  <c r="H16" i="38"/>
  <c r="H25" i="43"/>
  <c r="H15" i="41"/>
  <c r="T29" i="38"/>
  <c r="P24" i="44"/>
  <c r="T24" i="38"/>
  <c r="B38" i="43"/>
  <c r="D4" i="52"/>
  <c r="D5" i="40"/>
  <c r="D20" i="47"/>
  <c r="H29" i="38"/>
  <c r="P33" i="35"/>
  <c r="T29" i="31"/>
  <c r="B21" i="28"/>
  <c r="P22" i="35"/>
  <c r="P25" i="32"/>
  <c r="D20" i="40"/>
  <c r="H12" i="34"/>
  <c r="H15" i="38"/>
  <c r="P20" i="32"/>
  <c r="B39" i="35"/>
  <c r="H33" i="32"/>
  <c r="T15" i="28"/>
  <c r="D29" i="35"/>
  <c r="H13" i="32"/>
  <c r="P15" i="29"/>
  <c r="B25" i="35"/>
  <c r="D13" i="34"/>
  <c r="D4" i="31"/>
  <c r="P25" i="50"/>
  <c r="D16" i="35"/>
  <c r="T21" i="31"/>
  <c r="B13" i="26"/>
  <c r="T21" i="23"/>
  <c r="P25" i="29"/>
  <c r="D22" i="25"/>
  <c r="P25" i="22"/>
  <c r="T25" i="32"/>
  <c r="B22" i="25"/>
  <c r="D34" i="40"/>
  <c r="D21" i="28"/>
  <c r="P20" i="23"/>
  <c r="D13" i="40"/>
  <c r="B39" i="28"/>
  <c r="T25" i="25"/>
  <c r="D12" i="22"/>
  <c r="H20" i="34"/>
  <c r="P29" i="26"/>
  <c r="D21" i="32"/>
  <c r="T16" i="26"/>
  <c r="H21" i="23"/>
  <c r="D15" i="34"/>
  <c r="P22" i="111"/>
  <c r="H24" i="112"/>
  <c r="D33" i="112"/>
  <c r="B21" i="113"/>
  <c r="H13" i="111"/>
  <c r="B38" i="111"/>
  <c r="D20" i="112"/>
  <c r="T21" i="113"/>
  <c r="T15" i="113"/>
  <c r="B16" i="111"/>
  <c r="P29" i="111"/>
  <c r="T22" i="111"/>
  <c r="P22" i="113"/>
  <c r="H34" i="112"/>
  <c r="T22" i="53"/>
  <c r="P25" i="53"/>
  <c r="H12" i="52"/>
  <c r="H33" i="53"/>
  <c r="H29" i="50"/>
  <c r="D15" i="47"/>
  <c r="H22" i="50"/>
  <c r="T34" i="46"/>
  <c r="D5" i="44"/>
  <c r="H13" i="52"/>
  <c r="D4" i="49"/>
  <c r="T13" i="53"/>
  <c r="B38" i="49"/>
  <c r="P34" i="46"/>
  <c r="B39" i="43"/>
  <c r="D21" i="50"/>
  <c r="P24" i="46"/>
  <c r="B22" i="49"/>
  <c r="H15" i="44"/>
  <c r="T33" i="50"/>
  <c r="H25" i="47"/>
  <c r="B38" i="53"/>
  <c r="T33" i="49"/>
  <c r="H33" i="46"/>
  <c r="B21" i="43"/>
  <c r="H20" i="44"/>
  <c r="T25" i="40"/>
  <c r="D29" i="46"/>
  <c r="T22" i="40"/>
  <c r="T24" i="43"/>
  <c r="P33" i="50"/>
  <c r="P24" i="43"/>
  <c r="P29" i="43"/>
  <c r="B16" i="43"/>
  <c r="D4" i="40"/>
  <c r="D4" i="44"/>
  <c r="H20" i="41"/>
  <c r="H21" i="38"/>
  <c r="H33" i="41"/>
  <c r="B13" i="38"/>
  <c r="T12" i="43"/>
  <c r="P16" i="40"/>
  <c r="T25" i="38"/>
  <c r="D12" i="44"/>
  <c r="T22" i="38"/>
  <c r="T22" i="43"/>
  <c r="T13" i="50"/>
  <c r="P24" i="38"/>
  <c r="P34" i="43"/>
  <c r="H25" i="38"/>
  <c r="P29" i="35"/>
  <c r="T25" i="31"/>
  <c r="D20" i="28"/>
  <c r="T20" i="35"/>
  <c r="T21" i="32"/>
  <c r="B39" i="38"/>
  <c r="P21" i="32"/>
  <c r="D24" i="37"/>
  <c r="P16" i="32"/>
  <c r="H24" i="35"/>
  <c r="H29" i="32"/>
  <c r="P13" i="28"/>
  <c r="D25" i="35"/>
  <c r="D4" i="32"/>
  <c r="D5" i="29"/>
  <c r="D24" i="35"/>
  <c r="B38" i="32"/>
  <c r="B39" i="29"/>
  <c r="D22" i="41"/>
  <c r="B22" i="34"/>
  <c r="D34" i="29"/>
  <c r="B38" i="25"/>
  <c r="T24" i="22"/>
  <c r="D24" i="29"/>
  <c r="H20" i="25"/>
  <c r="T21" i="22"/>
  <c r="H15" i="32"/>
  <c r="D21" i="25"/>
  <c r="D20" i="38"/>
  <c r="T13" i="28"/>
  <c r="P16" i="23"/>
  <c r="T15" i="37"/>
  <c r="T34" i="28"/>
  <c r="B16" i="25"/>
  <c r="T24" i="20"/>
  <c r="T13" i="32"/>
  <c r="P25" i="26"/>
  <c r="B13" i="32"/>
  <c r="T13" i="26"/>
  <c r="D13" i="23"/>
  <c r="P24" i="32"/>
  <c r="T20" i="111"/>
  <c r="H22" i="112"/>
  <c r="D29" i="112"/>
  <c r="D20" i="113"/>
  <c r="D5" i="111"/>
  <c r="D34" i="111"/>
  <c r="D16" i="112"/>
  <c r="T34" i="112"/>
  <c r="P13" i="113"/>
  <c r="D15" i="111"/>
  <c r="D25" i="113"/>
  <c r="H34" i="113"/>
  <c r="T13" i="113"/>
  <c r="H29" i="112"/>
  <c r="P12" i="53"/>
  <c r="T21" i="53"/>
  <c r="B39" i="53"/>
  <c r="H29" i="53"/>
  <c r="H25" i="50"/>
  <c r="T12" i="47"/>
  <c r="H13" i="50"/>
  <c r="T33" i="46"/>
  <c r="P20" i="43"/>
  <c r="B38" i="50"/>
  <c r="P34" i="47"/>
  <c r="B38" i="52"/>
  <c r="D34" i="49"/>
  <c r="P33" i="46"/>
  <c r="H24" i="43"/>
  <c r="H15" i="50"/>
  <c r="P22" i="46"/>
  <c r="D21" i="49"/>
  <c r="B25" i="43"/>
  <c r="T29" i="50"/>
  <c r="P15" i="47"/>
  <c r="D34" i="53"/>
  <c r="T29" i="49"/>
  <c r="H29" i="46"/>
  <c r="D20" i="43"/>
  <c r="P16" i="44"/>
  <c r="B16" i="40"/>
  <c r="P29" i="44"/>
  <c r="P12" i="40"/>
  <c r="D15" i="43"/>
  <c r="T24" i="49"/>
  <c r="P22" i="53"/>
  <c r="T25" i="43"/>
  <c r="B38" i="41"/>
  <c r="T20" i="53"/>
  <c r="D29" i="43"/>
  <c r="T16" i="41"/>
  <c r="D13" i="38"/>
  <c r="H24" i="41"/>
  <c r="B38" i="37"/>
  <c r="T25" i="41"/>
  <c r="P16" i="52"/>
  <c r="B16" i="38"/>
  <c r="B39" i="41"/>
  <c r="P12" i="38"/>
  <c r="T16" i="43"/>
  <c r="D33" i="46"/>
  <c r="P22" i="38"/>
  <c r="T15" i="43"/>
  <c r="P15" i="38"/>
  <c r="P25" i="35"/>
  <c r="B16" i="31"/>
  <c r="D16" i="28"/>
  <c r="T16" i="35"/>
  <c r="T24" i="31"/>
  <c r="H24" i="38"/>
  <c r="T15" i="32"/>
  <c r="H12" i="37"/>
  <c r="D12" i="32"/>
  <c r="H22" i="35"/>
  <c r="H25" i="32"/>
  <c r="H12" i="28"/>
  <c r="H21" i="35"/>
  <c r="H34" i="31"/>
  <c r="P20" i="28"/>
  <c r="D22" i="35"/>
  <c r="D34" i="32"/>
  <c r="H24" i="29"/>
  <c r="P34" i="40"/>
  <c r="D21" i="34"/>
  <c r="D29" i="29"/>
  <c r="D34" i="25"/>
  <c r="T22" i="22"/>
  <c r="T21" i="29"/>
  <c r="H16" i="25"/>
  <c r="B22" i="20"/>
  <c r="D33" i="31"/>
  <c r="H15" i="25"/>
  <c r="T22" i="35"/>
  <c r="T34" i="26"/>
  <c r="D12" i="23"/>
  <c r="P13" i="35"/>
  <c r="T29" i="28"/>
  <c r="D15" i="25"/>
  <c r="T22" i="20"/>
  <c r="H16" i="31"/>
  <c r="T21" i="26"/>
  <c r="P22" i="29"/>
  <c r="P34" i="25"/>
  <c r="B39" i="22"/>
  <c r="B21" i="32"/>
  <c r="T16" i="111"/>
  <c r="H13" i="112"/>
  <c r="D25" i="112"/>
  <c r="D16" i="113"/>
  <c r="T34" i="113"/>
  <c r="D33" i="111"/>
  <c r="B25" i="111"/>
  <c r="T33" i="112"/>
  <c r="H12" i="113"/>
  <c r="T12" i="111"/>
  <c r="H21" i="113"/>
  <c r="H29" i="113"/>
  <c r="T24" i="112"/>
  <c r="P15" i="112"/>
  <c r="T34" i="52"/>
  <c r="T24" i="52"/>
  <c r="H24" i="53"/>
  <c r="H25" i="53"/>
  <c r="P15" i="50"/>
  <c r="B21" i="46"/>
  <c r="D4" i="50"/>
  <c r="T29" i="46"/>
  <c r="P16" i="43"/>
  <c r="D34" i="50"/>
  <c r="P33" i="47"/>
  <c r="P34" i="52"/>
  <c r="D33" i="49"/>
  <c r="P29" i="46"/>
  <c r="H22" i="43"/>
  <c r="B25" i="49"/>
  <c r="T20" i="46"/>
  <c r="H15" i="49"/>
  <c r="D24" i="43"/>
  <c r="T25" i="50"/>
  <c r="D5" i="47"/>
  <c r="H21" i="53"/>
  <c r="T25" i="49"/>
  <c r="H25" i="46"/>
  <c r="D16" i="43"/>
  <c r="T13" i="44"/>
  <c r="D15" i="40"/>
  <c r="P13" i="44"/>
  <c r="H21" i="52"/>
  <c r="D5" i="43"/>
  <c r="D25" i="47"/>
  <c r="P33" i="52"/>
  <c r="P13" i="43"/>
  <c r="D34" i="41"/>
  <c r="P21" i="50"/>
  <c r="P12" i="43"/>
  <c r="P15" i="41"/>
  <c r="B39" i="37"/>
  <c r="P21" i="41"/>
  <c r="D34" i="37"/>
  <c r="D24" i="41"/>
  <c r="T24" i="44"/>
  <c r="D15" i="38"/>
  <c r="H25" i="41"/>
  <c r="T34" i="37"/>
  <c r="H34" i="41"/>
  <c r="P22" i="43"/>
  <c r="T20" i="38"/>
  <c r="T33" i="41"/>
  <c r="D5" i="38"/>
  <c r="T21" i="35"/>
  <c r="D15" i="31"/>
  <c r="D13" i="46"/>
  <c r="T13" i="35"/>
  <c r="T22" i="31"/>
  <c r="D4" i="38"/>
  <c r="P13" i="32"/>
  <c r="H34" i="35"/>
  <c r="P21" i="31"/>
  <c r="H13" i="35"/>
  <c r="P15" i="32"/>
  <c r="H20" i="47"/>
  <c r="D13" i="35"/>
  <c r="H33" i="31"/>
  <c r="P16" i="28"/>
  <c r="H20" i="35"/>
  <c r="D33" i="32"/>
  <c r="H22" i="29"/>
  <c r="T21" i="40"/>
  <c r="H15" i="34"/>
  <c r="P12" i="29"/>
  <c r="D33" i="25"/>
  <c r="P12" i="22"/>
  <c r="H20" i="29"/>
  <c r="B13" i="25"/>
  <c r="D21" i="20"/>
  <c r="D13" i="31"/>
  <c r="P21" i="23"/>
  <c r="T34" i="34"/>
  <c r="T33" i="26"/>
  <c r="P21" i="22"/>
  <c r="P24" i="34"/>
  <c r="H22" i="28"/>
  <c r="T12" i="25"/>
  <c r="P12" i="20"/>
  <c r="P33" i="29"/>
  <c r="T24" i="25"/>
  <c r="D21" i="29"/>
  <c r="P33" i="25"/>
  <c r="H24" i="22"/>
  <c r="T16" i="32"/>
  <c r="B39" i="113"/>
  <c r="T13" i="111"/>
  <c r="D5" i="112"/>
  <c r="H21" i="112"/>
  <c r="B25" i="112"/>
  <c r="T33" i="113"/>
  <c r="D29" i="111"/>
  <c r="D24" i="111"/>
  <c r="T29" i="112"/>
  <c r="P34" i="112"/>
  <c r="P16" i="113"/>
  <c r="D4" i="113"/>
  <c r="P15" i="113"/>
  <c r="P24" i="112"/>
  <c r="P21" i="111"/>
  <c r="T33" i="52"/>
  <c r="T22" i="52"/>
  <c r="H22" i="53"/>
  <c r="T16" i="53"/>
  <c r="D5" i="50"/>
  <c r="D20" i="46"/>
  <c r="H34" i="49"/>
  <c r="T25" i="46"/>
  <c r="D12" i="43"/>
  <c r="D33" i="50"/>
  <c r="P29" i="47"/>
  <c r="D33" i="52"/>
  <c r="D29" i="49"/>
  <c r="P25" i="46"/>
  <c r="H13" i="43"/>
  <c r="D24" i="49"/>
  <c r="T16" i="46"/>
  <c r="P20" i="47"/>
  <c r="D22" i="43"/>
  <c r="B16" i="50"/>
  <c r="P20" i="46"/>
  <c r="B13" i="53"/>
  <c r="B16" i="49"/>
  <c r="P15" i="46"/>
  <c r="H15" i="52"/>
  <c r="H34" i="43"/>
  <c r="T12" i="40"/>
  <c r="D34" i="43"/>
  <c r="T15" i="50"/>
  <c r="D24" i="53"/>
  <c r="H21" i="47"/>
  <c r="D25" i="52"/>
  <c r="D24" i="52"/>
  <c r="D33" i="41"/>
  <c r="H12" i="50"/>
  <c r="B21" i="41"/>
  <c r="P29" i="40"/>
  <c r="H24" i="37"/>
  <c r="H34" i="40"/>
  <c r="D33" i="37"/>
  <c r="D20" i="52"/>
  <c r="H12" i="44"/>
  <c r="T12" i="38"/>
  <c r="P22" i="41"/>
  <c r="T33" i="37"/>
  <c r="T13" i="41"/>
  <c r="B25" i="41"/>
  <c r="T16" i="38"/>
  <c r="P24" i="41"/>
  <c r="P20" i="37"/>
  <c r="T24" i="34"/>
  <c r="T12" i="31"/>
  <c r="P20" i="41"/>
  <c r="P34" i="34"/>
  <c r="P12" i="31"/>
  <c r="H34" i="37"/>
  <c r="H12" i="32"/>
  <c r="H33" i="35"/>
  <c r="T15" i="31"/>
  <c r="D4" i="35"/>
  <c r="D5" i="32"/>
  <c r="P33" i="38"/>
  <c r="B39" i="34"/>
  <c r="H29" i="31"/>
  <c r="D12" i="28"/>
  <c r="H16" i="35"/>
  <c r="D29" i="32"/>
  <c r="H13" i="29"/>
  <c r="H22" i="38"/>
  <c r="P22" i="50"/>
  <c r="T33" i="28"/>
  <c r="D29" i="25"/>
  <c r="D16" i="40"/>
  <c r="D25" i="28"/>
  <c r="P24" i="23"/>
  <c r="H15" i="20"/>
  <c r="T16" i="29"/>
  <c r="T15" i="23"/>
  <c r="T29" i="34"/>
  <c r="T29" i="26"/>
  <c r="T15" i="22"/>
  <c r="T20" i="34"/>
  <c r="B16" i="28"/>
  <c r="H34" i="23"/>
  <c r="T34" i="19"/>
  <c r="B25" i="29"/>
  <c r="T22" i="25"/>
  <c r="T13" i="29"/>
  <c r="P29" i="25"/>
  <c r="H22" i="22"/>
  <c r="H20" i="31"/>
  <c r="H24" i="113"/>
  <c r="B38" i="113"/>
  <c r="P20" i="111"/>
  <c r="D13" i="112"/>
  <c r="D24" i="112"/>
  <c r="T29" i="113"/>
  <c r="D25" i="111"/>
  <c r="D22" i="111"/>
  <c r="T25" i="112"/>
  <c r="P33" i="112"/>
  <c r="D12" i="113"/>
  <c r="H33" i="112"/>
  <c r="P21" i="112"/>
  <c r="T20" i="112"/>
  <c r="H12" i="111"/>
  <c r="T29" i="52"/>
  <c r="P12" i="52"/>
  <c r="H13" i="53"/>
  <c r="H15" i="53"/>
  <c r="P20" i="49"/>
  <c r="D16" i="46"/>
  <c r="H33" i="49"/>
  <c r="B16" i="46"/>
  <c r="B25" i="53"/>
  <c r="D29" i="50"/>
  <c r="P25" i="47"/>
  <c r="P29" i="52"/>
  <c r="D25" i="49"/>
  <c r="T21" i="46"/>
  <c r="D4" i="43"/>
  <c r="D22" i="49"/>
  <c r="T13" i="46"/>
  <c r="P16" i="47"/>
  <c r="H20" i="43"/>
  <c r="D15" i="50"/>
  <c r="P16" i="46"/>
  <c r="D34" i="52"/>
  <c r="D15" i="49"/>
  <c r="D5" i="46"/>
  <c r="P34" i="50"/>
  <c r="D25" i="43"/>
  <c r="T25" i="53"/>
  <c r="T20" i="43"/>
  <c r="T16" i="49"/>
  <c r="T15" i="53"/>
  <c r="B39" i="46"/>
  <c r="P13" i="50"/>
  <c r="T16" i="52"/>
  <c r="D29" i="41"/>
  <c r="P22" i="49"/>
  <c r="D20" i="41"/>
  <c r="B25" i="40"/>
  <c r="H22" i="37"/>
  <c r="P22" i="40"/>
  <c r="D29" i="37"/>
  <c r="P29" i="49"/>
  <c r="H12" i="41"/>
  <c r="B21" i="37"/>
  <c r="D21" i="41"/>
  <c r="T29" i="37"/>
  <c r="D5" i="41"/>
  <c r="T20" i="41"/>
  <c r="T13" i="38"/>
  <c r="B22" i="41"/>
  <c r="P16" i="37"/>
  <c r="T22" i="34"/>
  <c r="T34" i="29"/>
  <c r="P20" i="40"/>
  <c r="P33" i="34"/>
  <c r="P34" i="49"/>
  <c r="P15" i="37"/>
  <c r="P24" i="31"/>
  <c r="H29" i="35"/>
  <c r="P13" i="31"/>
  <c r="H34" i="34"/>
  <c r="P20" i="31"/>
  <c r="P29" i="38"/>
  <c r="H24" i="34"/>
  <c r="H25" i="31"/>
  <c r="T29" i="53"/>
  <c r="B13" i="35"/>
  <c r="D25" i="32"/>
  <c r="D4" i="29"/>
  <c r="H13" i="38"/>
  <c r="B13" i="41"/>
  <c r="D15" i="28"/>
  <c r="D25" i="25"/>
  <c r="P20" i="38"/>
  <c r="T22" i="28"/>
  <c r="P22" i="23"/>
  <c r="T15" i="40"/>
  <c r="H15" i="29"/>
  <c r="P13" i="23"/>
  <c r="B16" i="34"/>
  <c r="T25" i="26"/>
  <c r="P13" i="22"/>
  <c r="B25" i="32"/>
  <c r="H13" i="28"/>
  <c r="H33" i="23"/>
  <c r="T33" i="19"/>
  <c r="H16" i="29"/>
  <c r="P12" i="25"/>
  <c r="P34" i="28"/>
  <c r="P25" i="25"/>
  <c r="H13" i="22"/>
  <c r="D16" i="31"/>
  <c r="H22" i="113"/>
  <c r="B25" i="113"/>
  <c r="P16" i="111"/>
  <c r="D4" i="112"/>
  <c r="D22" i="112"/>
  <c r="T25" i="113"/>
  <c r="H21" i="111"/>
  <c r="H20" i="111"/>
  <c r="B16" i="112"/>
  <c r="P29" i="112"/>
  <c r="P22" i="112"/>
  <c r="T15" i="111"/>
  <c r="H12" i="112"/>
  <c r="P12" i="111"/>
  <c r="B21" i="111"/>
  <c r="T25" i="52"/>
  <c r="P21" i="53"/>
  <c r="D4" i="53"/>
  <c r="H12" i="53"/>
  <c r="P16" i="49"/>
  <c r="D33" i="53"/>
  <c r="H29" i="49"/>
  <c r="D15" i="46"/>
  <c r="D22" i="53"/>
  <c r="D25" i="50"/>
  <c r="T21" i="47"/>
  <c r="D13" i="52"/>
  <c r="H21" i="49"/>
  <c r="B38" i="44"/>
  <c r="T34" i="53"/>
  <c r="H20" i="49"/>
  <c r="P24" i="53"/>
  <c r="D12" i="47"/>
  <c r="H16" i="43"/>
  <c r="T12" i="50"/>
  <c r="D12" i="46"/>
  <c r="D29" i="52"/>
  <c r="T12" i="49"/>
  <c r="T34" i="44"/>
  <c r="P29" i="50"/>
  <c r="P15" i="43"/>
  <c r="P24" i="50"/>
  <c r="H12" i="43"/>
  <c r="B22" i="47"/>
  <c r="H20" i="52"/>
  <c r="H22" i="46"/>
  <c r="P24" i="49"/>
  <c r="T15" i="49"/>
  <c r="D25" i="41"/>
  <c r="T13" i="49"/>
  <c r="D21" i="53"/>
  <c r="H20" i="40"/>
  <c r="H13" i="37"/>
  <c r="T16" i="40"/>
  <c r="D25" i="37"/>
  <c r="B25" i="47"/>
  <c r="H29" i="40"/>
  <c r="D20" i="37"/>
  <c r="H16" i="41"/>
  <c r="T25" i="37"/>
  <c r="P33" i="40"/>
  <c r="D16" i="41"/>
  <c r="P34" i="37"/>
  <c r="T15" i="41"/>
  <c r="D12" i="37"/>
  <c r="P12" i="34"/>
  <c r="T33" i="29"/>
  <c r="P21" i="38"/>
  <c r="P29" i="34"/>
  <c r="D34" i="47"/>
  <c r="P20" i="35"/>
  <c r="P22" i="31"/>
  <c r="H25" i="35"/>
  <c r="H12" i="31"/>
  <c r="H33" i="34"/>
  <c r="P16" i="31"/>
  <c r="P25" i="38"/>
  <c r="H22" i="34"/>
  <c r="P15" i="31"/>
  <c r="H16" i="47"/>
  <c r="B38" i="34"/>
  <c r="H21" i="32"/>
  <c r="H34" i="28"/>
  <c r="H33" i="37"/>
  <c r="D12" i="38"/>
  <c r="D4" i="28"/>
  <c r="H21" i="25"/>
  <c r="H15" i="35"/>
  <c r="H21" i="28"/>
  <c r="T20" i="23"/>
  <c r="B25" i="37"/>
  <c r="P33" i="28"/>
  <c r="H12" i="23"/>
  <c r="D21" i="31"/>
  <c r="B16" i="26"/>
  <c r="H12" i="22"/>
  <c r="D15" i="32"/>
  <c r="T24" i="26"/>
  <c r="H29" i="23"/>
  <c r="T29" i="19"/>
  <c r="B38" i="28"/>
  <c r="H13" i="113"/>
  <c r="D24" i="113"/>
  <c r="D12" i="111"/>
  <c r="H34" i="111"/>
  <c r="H20" i="112"/>
  <c r="B16" i="113"/>
  <c r="D13" i="111"/>
  <c r="H16" i="111"/>
  <c r="D15" i="112"/>
  <c r="P25" i="112"/>
  <c r="T13" i="112"/>
  <c r="P24" i="113"/>
  <c r="P33" i="111"/>
  <c r="H33" i="113"/>
  <c r="D16" i="111"/>
  <c r="B16" i="52"/>
  <c r="P20" i="53"/>
  <c r="H34" i="52"/>
  <c r="B25" i="52"/>
  <c r="D12" i="49"/>
  <c r="D29" i="53"/>
  <c r="H25" i="49"/>
  <c r="T12" i="46"/>
  <c r="H20" i="53"/>
  <c r="H21" i="50"/>
  <c r="T24" i="46"/>
  <c r="B25" i="50"/>
  <c r="D13" i="49"/>
  <c r="D34" i="44"/>
  <c r="P13" i="53"/>
  <c r="H16" i="49"/>
  <c r="D16" i="53"/>
  <c r="P21" i="46"/>
  <c r="B13" i="43"/>
  <c r="B21" i="49"/>
  <c r="B21" i="44"/>
  <c r="P25" i="52"/>
  <c r="B39" i="47"/>
  <c r="T33" i="44"/>
  <c r="P12" i="49"/>
  <c r="T24" i="41"/>
  <c r="T20" i="50"/>
  <c r="P34" i="41"/>
  <c r="D24" i="46"/>
  <c r="P20" i="50"/>
  <c r="H13" i="46"/>
  <c r="T20" i="49"/>
  <c r="B21" i="47"/>
  <c r="H21" i="41"/>
  <c r="H15" i="47"/>
  <c r="T21" i="50"/>
  <c r="B13" i="40"/>
  <c r="D4" i="37"/>
  <c r="P15" i="40"/>
  <c r="H21" i="37"/>
  <c r="B38" i="46"/>
  <c r="P24" i="40"/>
  <c r="D16" i="37"/>
  <c r="D15" i="41"/>
  <c r="B16" i="37"/>
  <c r="P25" i="40"/>
  <c r="P13" i="41"/>
  <c r="P33" i="37"/>
  <c r="H13" i="41"/>
  <c r="P13" i="40"/>
  <c r="T24" i="32"/>
  <c r="T29" i="29"/>
  <c r="T15" i="38"/>
  <c r="P25" i="34"/>
  <c r="H22" i="44"/>
  <c r="P16" i="35"/>
  <c r="T20" i="31"/>
  <c r="P15" i="35"/>
  <c r="D24" i="40"/>
  <c r="H29" i="34"/>
  <c r="D12" i="31"/>
  <c r="T22" i="37"/>
  <c r="H13" i="34"/>
  <c r="D5" i="31"/>
  <c r="P16" i="41"/>
  <c r="D34" i="34"/>
  <c r="D13" i="32"/>
  <c r="H33" i="28"/>
  <c r="H29" i="37"/>
  <c r="T15" i="35"/>
  <c r="B25" i="26"/>
  <c r="D13" i="25"/>
  <c r="B25" i="34"/>
  <c r="B22" i="26"/>
  <c r="T16" i="23"/>
  <c r="H16" i="37"/>
  <c r="B25" i="28"/>
  <c r="P24" i="22"/>
  <c r="B13" i="31"/>
  <c r="D15" i="26"/>
  <c r="T34" i="20"/>
  <c r="D24" i="31"/>
  <c r="T22" i="26"/>
  <c r="H25" i="23"/>
  <c r="H22" i="41"/>
  <c r="D33" i="28"/>
  <c r="T25" i="35"/>
  <c r="D22" i="28"/>
  <c r="B38" i="23"/>
  <c r="D16" i="38"/>
  <c r="H16" i="113"/>
  <c r="B22" i="112"/>
  <c r="T33" i="111"/>
  <c r="T21" i="111"/>
  <c r="H25" i="52"/>
  <c r="T24" i="47"/>
  <c r="B39" i="44"/>
  <c r="T20" i="52"/>
  <c r="D13" i="53"/>
  <c r="H13" i="47"/>
  <c r="D22" i="47"/>
  <c r="B13" i="44"/>
  <c r="D22" i="44"/>
  <c r="D22" i="38"/>
  <c r="D24" i="47"/>
  <c r="T20" i="40"/>
  <c r="T34" i="31"/>
  <c r="H21" i="43"/>
  <c r="H15" i="37"/>
  <c r="H24" i="32"/>
  <c r="H22" i="31"/>
  <c r="H20" i="26"/>
  <c r="P33" i="22"/>
  <c r="H12" i="29"/>
  <c r="T33" i="25"/>
  <c r="D20" i="34"/>
  <c r="B13" i="37"/>
  <c r="P24" i="25"/>
  <c r="T13" i="34"/>
  <c r="B22" i="38"/>
  <c r="T20" i="29"/>
  <c r="H29" i="25"/>
  <c r="D20" i="22"/>
  <c r="T15" i="25"/>
  <c r="P16" i="19"/>
  <c r="B13" i="34"/>
  <c r="H21" i="20"/>
  <c r="B16" i="16"/>
  <c r="D25" i="19"/>
  <c r="T21" i="16"/>
  <c r="P34" i="20"/>
  <c r="P34" i="29"/>
  <c r="P24" i="20"/>
  <c r="P13" i="16"/>
  <c r="T20" i="20"/>
  <c r="D12" i="25"/>
  <c r="H24" i="17"/>
  <c r="T20" i="32"/>
  <c r="P25" i="20"/>
  <c r="D21" i="22"/>
  <c r="B13" i="17"/>
  <c r="D34" i="17"/>
  <c r="B16" i="13"/>
  <c r="B38" i="8"/>
  <c r="H34" i="22"/>
  <c r="P20" i="11"/>
  <c r="P21" i="19"/>
  <c r="P29" i="13"/>
  <c r="B22" i="8"/>
  <c r="P25" i="17"/>
  <c r="H24" i="11"/>
  <c r="D16" i="8"/>
  <c r="T13" i="4"/>
  <c r="P16" i="14"/>
  <c r="D13" i="11"/>
  <c r="P13" i="19"/>
  <c r="P20" i="13"/>
  <c r="D13" i="17"/>
  <c r="P15" i="13"/>
  <c r="T15" i="29"/>
  <c r="B13" i="16"/>
  <c r="D4" i="13"/>
  <c r="P34" i="7"/>
  <c r="D24" i="22"/>
  <c r="B38" i="13"/>
  <c r="D15" i="11"/>
  <c r="H12" i="17"/>
  <c r="T21" i="11"/>
  <c r="D12" i="7"/>
  <c r="D15" i="10"/>
  <c r="T22" i="4"/>
  <c r="D15" i="4"/>
  <c r="T16" i="5"/>
  <c r="D25" i="10"/>
  <c r="B13" i="5"/>
  <c r="H21" i="10"/>
  <c r="P34" i="4"/>
  <c r="T33" i="7"/>
  <c r="T15" i="4"/>
  <c r="T20" i="5"/>
  <c r="D15" i="8"/>
  <c r="B25" i="5"/>
  <c r="P15" i="17"/>
  <c r="T22" i="5"/>
  <c r="H20" i="13"/>
  <c r="T22" i="7"/>
  <c r="D13" i="7"/>
  <c r="P22" i="5"/>
  <c r="H29" i="44"/>
  <c r="B21" i="34"/>
  <c r="D16" i="29"/>
  <c r="T21" i="28"/>
  <c r="B13" i="23"/>
  <c r="P24" i="17"/>
  <c r="T16" i="28"/>
  <c r="B38" i="19"/>
  <c r="P21" i="11"/>
  <c r="H34" i="11"/>
  <c r="D4" i="11"/>
  <c r="H25" i="17"/>
  <c r="D33" i="14"/>
  <c r="D20" i="10"/>
  <c r="H12" i="4"/>
  <c r="P13" i="4"/>
  <c r="P25" i="4"/>
  <c r="D22" i="4"/>
  <c r="B22" i="113"/>
  <c r="D4" i="111"/>
  <c r="T24" i="111"/>
  <c r="T16" i="113"/>
  <c r="P22" i="52"/>
  <c r="H34" i="44"/>
  <c r="D24" i="50"/>
  <c r="B13" i="49"/>
  <c r="D20" i="49"/>
  <c r="T29" i="44"/>
  <c r="P33" i="41"/>
  <c r="D21" i="47"/>
  <c r="D29" i="47"/>
  <c r="D13" i="37"/>
  <c r="D12" i="41"/>
  <c r="P29" i="37"/>
  <c r="T25" i="29"/>
  <c r="D12" i="35"/>
  <c r="H25" i="34"/>
  <c r="H34" i="29"/>
  <c r="H29" i="28"/>
  <c r="P34" i="23"/>
  <c r="T33" i="35"/>
  <c r="T12" i="26"/>
  <c r="P15" i="23"/>
  <c r="T34" i="32"/>
  <c r="P12" i="35"/>
  <c r="P22" i="25"/>
  <c r="D24" i="32"/>
  <c r="H20" i="37"/>
  <c r="P25" i="28"/>
  <c r="H25" i="25"/>
  <c r="D16" i="22"/>
  <c r="H24" i="23"/>
  <c r="D12" i="19"/>
  <c r="B38" i="31"/>
  <c r="T12" i="20"/>
  <c r="D15" i="16"/>
  <c r="H21" i="19"/>
  <c r="H33" i="26"/>
  <c r="H33" i="20"/>
  <c r="D33" i="26"/>
  <c r="H16" i="20"/>
  <c r="H12" i="16"/>
  <c r="D16" i="20"/>
  <c r="B22" i="23"/>
  <c r="H22" i="17"/>
  <c r="D22" i="31"/>
  <c r="T21" i="20"/>
  <c r="B13" i="22"/>
  <c r="B38" i="16"/>
  <c r="H21" i="17"/>
  <c r="D15" i="13"/>
  <c r="D34" i="8"/>
  <c r="D21" i="17"/>
  <c r="P16" i="11"/>
  <c r="T15" i="19"/>
  <c r="P25" i="13"/>
  <c r="D21" i="8"/>
  <c r="T22" i="16"/>
  <c r="H22" i="11"/>
  <c r="B22" i="7"/>
  <c r="H21" i="40"/>
  <c r="D12" i="14"/>
  <c r="B39" i="10"/>
  <c r="H33" i="17"/>
  <c r="P16" i="13"/>
  <c r="H22" i="16"/>
  <c r="D5" i="13"/>
  <c r="D29" i="26"/>
  <c r="B38" i="14"/>
  <c r="B21" i="11"/>
  <c r="P33" i="7"/>
  <c r="D33" i="19"/>
  <c r="D34" i="13"/>
  <c r="T12" i="11"/>
  <c r="P24" i="16"/>
  <c r="T24" i="10"/>
  <c r="B21" i="5"/>
  <c r="P34" i="8"/>
  <c r="P21" i="4"/>
  <c r="H13" i="23"/>
  <c r="P15" i="5"/>
  <c r="D13" i="10"/>
  <c r="D29" i="4"/>
  <c r="D4" i="8"/>
  <c r="T25" i="4"/>
  <c r="T24" i="7"/>
  <c r="T34" i="14"/>
  <c r="H15" i="5"/>
  <c r="D29" i="7"/>
  <c r="T21" i="5"/>
  <c r="T33" i="14"/>
  <c r="T29" i="4"/>
  <c r="D22" i="11"/>
  <c r="T21" i="4"/>
  <c r="T24" i="5"/>
  <c r="D5" i="17"/>
  <c r="H20" i="50"/>
  <c r="P20" i="22"/>
  <c r="P34" i="31"/>
  <c r="D5" i="25"/>
  <c r="T33" i="17"/>
  <c r="D22" i="29"/>
  <c r="D15" i="20"/>
  <c r="D5" i="20"/>
  <c r="B38" i="26"/>
  <c r="D33" i="16"/>
  <c r="D29" i="8"/>
  <c r="D21" i="16"/>
  <c r="T15" i="14"/>
  <c r="P15" i="22"/>
  <c r="H22" i="10"/>
  <c r="H29" i="26"/>
  <c r="D21" i="11"/>
  <c r="D16" i="11"/>
  <c r="D20" i="17"/>
  <c r="D20" i="14"/>
  <c r="B38" i="7"/>
  <c r="D12" i="16"/>
  <c r="H21" i="5"/>
  <c r="D4" i="4"/>
  <c r="P20" i="4"/>
  <c r="D21" i="113"/>
  <c r="T24" i="113"/>
  <c r="H25" i="113"/>
  <c r="T22" i="112"/>
  <c r="H16" i="52"/>
  <c r="H33" i="44"/>
  <c r="D22" i="50"/>
  <c r="P21" i="47"/>
  <c r="D16" i="49"/>
  <c r="T25" i="44"/>
  <c r="P29" i="41"/>
  <c r="D22" i="46"/>
  <c r="D4" i="46"/>
  <c r="P33" i="44"/>
  <c r="D29" i="40"/>
  <c r="P25" i="37"/>
  <c r="B16" i="29"/>
  <c r="P21" i="34"/>
  <c r="P15" i="34"/>
  <c r="H33" i="29"/>
  <c r="H25" i="28"/>
  <c r="P33" i="23"/>
  <c r="D15" i="35"/>
  <c r="B21" i="25"/>
  <c r="D5" i="23"/>
  <c r="P29" i="28"/>
  <c r="B21" i="29"/>
  <c r="T20" i="25"/>
  <c r="H16" i="32"/>
  <c r="T34" i="35"/>
  <c r="D24" i="28"/>
  <c r="P15" i="25"/>
  <c r="B39" i="20"/>
  <c r="D21" i="23"/>
  <c r="T34" i="17"/>
  <c r="H15" i="31"/>
  <c r="H25" i="19"/>
  <c r="T12" i="16"/>
  <c r="D13" i="19"/>
  <c r="H25" i="26"/>
  <c r="P29" i="20"/>
  <c r="D25" i="26"/>
  <c r="D12" i="20"/>
  <c r="P25" i="31"/>
  <c r="T13" i="20"/>
  <c r="H33" i="22"/>
  <c r="H13" i="17"/>
  <c r="H15" i="28"/>
  <c r="P20" i="20"/>
  <c r="D34" i="20"/>
  <c r="D34" i="16"/>
  <c r="B39" i="16"/>
  <c r="T12" i="13"/>
  <c r="D33" i="8"/>
  <c r="H15" i="17"/>
  <c r="D12" i="11"/>
  <c r="B21" i="17"/>
  <c r="T21" i="13"/>
  <c r="H15" i="8"/>
  <c r="P21" i="14"/>
  <c r="H13" i="11"/>
  <c r="D21" i="7"/>
  <c r="T24" i="35"/>
  <c r="P21" i="13"/>
  <c r="H24" i="10"/>
  <c r="H29" i="17"/>
  <c r="D12" i="13"/>
  <c r="H13" i="16"/>
  <c r="B22" i="11"/>
  <c r="H16" i="23"/>
  <c r="D34" i="14"/>
  <c r="D20" i="11"/>
  <c r="P29" i="7"/>
  <c r="H12" i="19"/>
  <c r="D33" i="13"/>
  <c r="B21" i="10"/>
  <c r="B21" i="14"/>
  <c r="T22" i="10"/>
  <c r="D20" i="5"/>
  <c r="P20" i="8"/>
  <c r="D16" i="4"/>
  <c r="B13" i="20"/>
  <c r="T34" i="4"/>
  <c r="H22" i="8"/>
  <c r="T24" i="4"/>
  <c r="T33" i="5"/>
  <c r="H20" i="4"/>
  <c r="T16" i="7"/>
  <c r="B16" i="14"/>
  <c r="P12" i="5"/>
  <c r="T12" i="7"/>
  <c r="P20" i="5"/>
  <c r="D15" i="14"/>
  <c r="H24" i="4"/>
  <c r="H16" i="11"/>
  <c r="T15" i="47"/>
  <c r="T16" i="25"/>
  <c r="H34" i="26"/>
  <c r="D13" i="26"/>
  <c r="H21" i="22"/>
  <c r="D29" i="20"/>
  <c r="D24" i="16"/>
  <c r="B25" i="7"/>
  <c r="T15" i="13"/>
  <c r="T25" i="22"/>
  <c r="D29" i="13"/>
  <c r="D16" i="5"/>
  <c r="P13" i="8"/>
  <c r="D24" i="11"/>
  <c r="B21" i="13"/>
  <c r="H15" i="113"/>
  <c r="T22" i="113"/>
  <c r="D6" i="113"/>
  <c r="B21" i="53"/>
  <c r="T13" i="52"/>
  <c r="H34" i="47"/>
  <c r="B16" i="44"/>
  <c r="P25" i="41"/>
  <c r="B13" i="46"/>
  <c r="P25" i="43"/>
  <c r="H13" i="44"/>
  <c r="B21" i="40"/>
  <c r="T21" i="37"/>
  <c r="D15" i="29"/>
  <c r="T15" i="34"/>
  <c r="D5" i="34"/>
  <c r="H29" i="29"/>
  <c r="P15" i="28"/>
  <c r="P29" i="23"/>
  <c r="D20" i="25"/>
  <c r="B13" i="28"/>
  <c r="T29" i="35"/>
  <c r="H24" i="20"/>
  <c r="P15" i="19"/>
  <c r="P20" i="25"/>
  <c r="D29" i="19"/>
  <c r="D4" i="17"/>
  <c r="H24" i="16"/>
  <c r="P21" i="10"/>
  <c r="H15" i="7"/>
  <c r="B39" i="14"/>
  <c r="P25" i="7"/>
  <c r="P12" i="10"/>
  <c r="P33" i="4"/>
  <c r="D15" i="7"/>
  <c r="H16" i="5"/>
  <c r="H33" i="111"/>
  <c r="B13" i="111"/>
  <c r="T20" i="113"/>
  <c r="D15" i="52"/>
  <c r="T34" i="47"/>
  <c r="D15" i="53"/>
  <c r="P24" i="47"/>
  <c r="B22" i="52"/>
  <c r="D20" i="44"/>
  <c r="B38" i="47"/>
  <c r="H20" i="46"/>
  <c r="D16" i="47"/>
  <c r="B38" i="38"/>
  <c r="B25" i="44"/>
  <c r="P16" i="50"/>
  <c r="H33" i="40"/>
  <c r="H12" i="38"/>
  <c r="T16" i="31"/>
  <c r="P20" i="29"/>
  <c r="P13" i="38"/>
  <c r="H25" i="37"/>
  <c r="H16" i="34"/>
  <c r="H16" i="28"/>
  <c r="T33" i="20"/>
  <c r="P16" i="38"/>
  <c r="P24" i="26"/>
  <c r="P13" i="29"/>
  <c r="T13" i="25"/>
  <c r="B38" i="29"/>
  <c r="B16" i="35"/>
  <c r="H20" i="28"/>
  <c r="T34" i="23"/>
  <c r="H22" i="20"/>
  <c r="D5" i="22"/>
  <c r="T29" i="17"/>
  <c r="P15" i="26"/>
  <c r="D5" i="19"/>
  <c r="D34" i="28"/>
  <c r="P22" i="17"/>
  <c r="B39" i="23"/>
  <c r="H12" i="20"/>
  <c r="H13" i="25"/>
  <c r="B22" i="19"/>
  <c r="D12" i="26"/>
  <c r="P33" i="19"/>
  <c r="B16" i="20"/>
  <c r="H34" i="16"/>
  <c r="B39" i="25"/>
  <c r="T24" i="19"/>
  <c r="P34" i="19"/>
  <c r="D29" i="16"/>
  <c r="D4" i="16"/>
  <c r="T15" i="11"/>
  <c r="D25" i="8"/>
  <c r="P34" i="14"/>
  <c r="T15" i="10"/>
  <c r="H15" i="16"/>
  <c r="H33" i="11"/>
  <c r="D24" i="7"/>
  <c r="P13" i="14"/>
  <c r="H34" i="10"/>
  <c r="P21" i="5"/>
  <c r="T20" i="19"/>
  <c r="P13" i="13"/>
  <c r="H13" i="10"/>
  <c r="P20" i="16"/>
  <c r="T12" i="22"/>
  <c r="H24" i="14"/>
  <c r="H15" i="11"/>
  <c r="D24" i="20"/>
  <c r="D29" i="14"/>
  <c r="B22" i="10"/>
  <c r="T21" i="7"/>
  <c r="D16" i="17"/>
  <c r="D25" i="13"/>
  <c r="D16" i="10"/>
  <c r="D16" i="14"/>
  <c r="H34" i="8"/>
  <c r="B22" i="4"/>
  <c r="H25" i="7"/>
  <c r="D16" i="13"/>
  <c r="T20" i="11"/>
  <c r="D12" i="4"/>
  <c r="D34" i="7"/>
  <c r="D5" i="4"/>
  <c r="T25" i="14"/>
  <c r="H24" i="19"/>
  <c r="P34" i="5"/>
  <c r="B38" i="10"/>
  <c r="H22" i="4"/>
  <c r="P34" i="17"/>
  <c r="D15" i="5"/>
  <c r="P22" i="11"/>
  <c r="P16" i="4"/>
  <c r="H33" i="7"/>
  <c r="D20" i="13"/>
  <c r="D5" i="5"/>
  <c r="B38" i="5"/>
  <c r="B22" i="16"/>
  <c r="H21" i="13"/>
  <c r="H22" i="25"/>
  <c r="B22" i="13"/>
  <c r="H33" i="8"/>
  <c r="D21" i="4"/>
  <c r="P22" i="7"/>
  <c r="T13" i="11"/>
  <c r="P25" i="10"/>
  <c r="D20" i="31"/>
  <c r="T20" i="7"/>
  <c r="P34" i="10"/>
  <c r="T24" i="11"/>
  <c r="T24" i="16"/>
  <c r="H33" i="5"/>
  <c r="B39" i="8"/>
  <c r="H13" i="4"/>
  <c r="H15" i="14"/>
  <c r="H34" i="4"/>
  <c r="T16" i="11"/>
  <c r="B13" i="4"/>
  <c r="T25" i="7"/>
  <c r="T34" i="10"/>
  <c r="P29" i="4"/>
  <c r="H29" i="111"/>
  <c r="P34" i="113"/>
  <c r="P12" i="112"/>
  <c r="T12" i="52"/>
  <c r="T33" i="47"/>
  <c r="B39" i="52"/>
  <c r="P22" i="47"/>
  <c r="P20" i="52"/>
  <c r="D16" i="44"/>
  <c r="D33" i="47"/>
  <c r="H24" i="44"/>
  <c r="B22" i="46"/>
  <c r="D34" i="38"/>
  <c r="P12" i="44"/>
  <c r="P13" i="49"/>
  <c r="H25" i="40"/>
  <c r="P24" i="37"/>
  <c r="T13" i="31"/>
  <c r="P16" i="29"/>
  <c r="P22" i="37"/>
  <c r="P13" i="37"/>
  <c r="B22" i="32"/>
  <c r="B21" i="26"/>
  <c r="T29" i="20"/>
  <c r="T13" i="37"/>
  <c r="P22" i="26"/>
  <c r="P24" i="28"/>
  <c r="B25" i="23"/>
  <c r="D33" i="29"/>
  <c r="T33" i="32"/>
  <c r="B39" i="26"/>
  <c r="T33" i="23"/>
  <c r="H13" i="20"/>
  <c r="P33" i="20"/>
  <c r="T25" i="17"/>
  <c r="D24" i="23"/>
  <c r="T24" i="17"/>
  <c r="P20" i="26"/>
  <c r="T20" i="17"/>
  <c r="T22" i="23"/>
  <c r="B25" i="19"/>
  <c r="H22" i="23"/>
  <c r="D21" i="19"/>
  <c r="H12" i="25"/>
  <c r="B21" i="19"/>
  <c r="P13" i="20"/>
  <c r="H33" i="16"/>
  <c r="H24" i="25"/>
  <c r="T22" i="19"/>
  <c r="P25" i="19"/>
  <c r="D25" i="16"/>
  <c r="T24" i="14"/>
  <c r="P13" i="11"/>
  <c r="H21" i="8"/>
  <c r="P33" i="14"/>
  <c r="P13" i="10"/>
  <c r="P24" i="14"/>
  <c r="H29" i="11"/>
  <c r="D22" i="7"/>
  <c r="H12" i="14"/>
  <c r="H33" i="10"/>
  <c r="T15" i="5"/>
  <c r="T13" i="19"/>
  <c r="H12" i="13"/>
  <c r="D4" i="10"/>
  <c r="P16" i="16"/>
  <c r="B25" i="20"/>
  <c r="H22" i="14"/>
  <c r="B25" i="10"/>
  <c r="T15" i="20"/>
  <c r="D25" i="14"/>
  <c r="H25" i="111"/>
  <c r="P33" i="113"/>
  <c r="D20" i="111"/>
  <c r="P34" i="53"/>
  <c r="T29" i="47"/>
  <c r="H22" i="52"/>
  <c r="T20" i="47"/>
  <c r="B21" i="50"/>
  <c r="B22" i="43"/>
  <c r="D13" i="47"/>
  <c r="P21" i="44"/>
  <c r="T34" i="43"/>
  <c r="D33" i="38"/>
  <c r="T34" i="41"/>
  <c r="D21" i="46"/>
  <c r="H34" i="38"/>
  <c r="T12" i="37"/>
  <c r="B38" i="40"/>
  <c r="D12" i="29"/>
  <c r="T20" i="37"/>
  <c r="B21" i="35"/>
  <c r="P33" i="31"/>
  <c r="D20" i="26"/>
  <c r="T25" i="20"/>
  <c r="B22" i="35"/>
  <c r="T21" i="25"/>
  <c r="B22" i="28"/>
  <c r="D25" i="40"/>
  <c r="T24" i="29"/>
  <c r="H20" i="32"/>
  <c r="H24" i="26"/>
  <c r="T29" i="23"/>
  <c r="D4" i="20"/>
  <c r="H25" i="20"/>
  <c r="B16" i="17"/>
  <c r="B21" i="23"/>
  <c r="T22" i="17"/>
  <c r="P13" i="25"/>
  <c r="T16" i="17"/>
  <c r="H20" i="23"/>
  <c r="D24" i="19"/>
  <c r="B38" i="22"/>
  <c r="H15" i="19"/>
  <c r="D22" i="23"/>
  <c r="D20" i="19"/>
  <c r="B39" i="19"/>
  <c r="H29" i="16"/>
  <c r="D4" i="25"/>
  <c r="P12" i="19"/>
  <c r="T21" i="19"/>
  <c r="H21" i="16"/>
  <c r="T22" i="14"/>
  <c r="H12" i="11"/>
  <c r="D13" i="8"/>
  <c r="P29" i="14"/>
  <c r="H12" i="10"/>
  <c r="P22" i="14"/>
  <c r="H25" i="11"/>
  <c r="H20" i="7"/>
  <c r="P24" i="13"/>
  <c r="H29" i="10"/>
  <c r="P13" i="5"/>
  <c r="P13" i="17"/>
  <c r="B38" i="11"/>
  <c r="T34" i="8"/>
  <c r="H34" i="14"/>
  <c r="P16" i="20"/>
  <c r="H13" i="14"/>
  <c r="D24" i="10"/>
  <c r="P24" i="19"/>
  <c r="H21" i="14"/>
  <c r="H15" i="10"/>
  <c r="D34" i="5"/>
  <c r="B25" i="14"/>
  <c r="D13" i="13"/>
  <c r="P21" i="20"/>
  <c r="D21" i="13"/>
  <c r="H29" i="8"/>
  <c r="H15" i="4"/>
  <c r="T15" i="7"/>
  <c r="P33" i="10"/>
  <c r="P25" i="8"/>
  <c r="T21" i="17"/>
  <c r="H12" i="7"/>
  <c r="D12" i="8"/>
  <c r="P12" i="11"/>
  <c r="D22" i="13"/>
  <c r="H25" i="5"/>
  <c r="P33" i="8"/>
  <c r="T21" i="10"/>
  <c r="T22" i="11"/>
  <c r="D33" i="4"/>
  <c r="P29" i="10"/>
  <c r="B21" i="7"/>
  <c r="P21" i="7"/>
  <c r="B16" i="10"/>
  <c r="D24" i="4"/>
  <c r="T15" i="8"/>
  <c r="D16" i="7"/>
  <c r="T12" i="4"/>
  <c r="D5" i="113"/>
  <c r="H16" i="112"/>
  <c r="T12" i="112"/>
  <c r="D34" i="113"/>
  <c r="P16" i="53"/>
  <c r="D25" i="53"/>
  <c r="D13" i="50"/>
  <c r="D33" i="44"/>
  <c r="T15" i="46"/>
  <c r="T21" i="52"/>
  <c r="T22" i="41"/>
  <c r="P21" i="49"/>
  <c r="D13" i="41"/>
  <c r="P33" i="49"/>
  <c r="D21" i="40"/>
  <c r="D22" i="40"/>
  <c r="P34" i="38"/>
  <c r="T21" i="34"/>
  <c r="D5" i="35"/>
  <c r="D15" i="37"/>
  <c r="D33" i="34"/>
  <c r="T16" i="34"/>
  <c r="D21" i="26"/>
  <c r="P22" i="22"/>
  <c r="B21" i="31"/>
  <c r="T24" i="28"/>
  <c r="D34" i="23"/>
  <c r="T20" i="28"/>
  <c r="P21" i="37"/>
  <c r="D13" i="29"/>
  <c r="D16" i="32"/>
  <c r="H22" i="26"/>
  <c r="T25" i="23"/>
  <c r="H34" i="19"/>
  <c r="D20" i="20"/>
  <c r="D15" i="17"/>
  <c r="T34" i="22"/>
  <c r="P12" i="17"/>
  <c r="P12" i="23"/>
  <c r="T13" i="17"/>
  <c r="D16" i="23"/>
  <c r="D22" i="19"/>
  <c r="H29" i="22"/>
  <c r="P20" i="17"/>
  <c r="D20" i="23"/>
  <c r="D16" i="19"/>
  <c r="T25" i="19"/>
  <c r="H25" i="16"/>
  <c r="H15" i="23"/>
  <c r="H29" i="43"/>
  <c r="B25" i="17"/>
  <c r="D13" i="16"/>
  <c r="P12" i="14"/>
  <c r="P24" i="10"/>
  <c r="B39" i="7"/>
  <c r="P25" i="14"/>
  <c r="B25" i="8"/>
  <c r="T20" i="14"/>
  <c r="P15" i="11"/>
  <c r="H16" i="7"/>
  <c r="P22" i="13"/>
  <c r="H25" i="10"/>
  <c r="H12" i="5"/>
  <c r="P22" i="16"/>
  <c r="D34" i="11"/>
  <c r="T33" i="8"/>
  <c r="H33" i="14"/>
  <c r="D34" i="19"/>
  <c r="D4" i="14"/>
  <c r="D22" i="10"/>
  <c r="B22" i="17"/>
  <c r="D13" i="14"/>
  <c r="P24" i="8"/>
  <c r="D33" i="5"/>
  <c r="D24" i="14"/>
  <c r="T34" i="11"/>
  <c r="D13" i="20"/>
  <c r="H15" i="13"/>
  <c r="H25" i="8"/>
  <c r="P12" i="16"/>
  <c r="P12" i="7"/>
  <c r="H34" i="7"/>
  <c r="P16" i="8"/>
  <c r="D24" i="13"/>
  <c r="B39" i="5"/>
  <c r="H29" i="7"/>
  <c r="T12" i="10"/>
  <c r="B13" i="13"/>
  <c r="D24" i="5"/>
  <c r="T24" i="8"/>
  <c r="T22" i="8"/>
  <c r="T29" i="10"/>
  <c r="B21" i="4"/>
  <c r="P24" i="5"/>
  <c r="H24" i="8"/>
  <c r="P20" i="112"/>
  <c r="B13" i="112"/>
  <c r="B22" i="111"/>
  <c r="D29" i="113"/>
  <c r="D12" i="53"/>
  <c r="D5" i="53"/>
  <c r="B39" i="49"/>
  <c r="D29" i="44"/>
  <c r="P13" i="46"/>
  <c r="T24" i="50"/>
  <c r="P12" i="41"/>
  <c r="H12" i="49"/>
  <c r="B39" i="40"/>
  <c r="D25" i="46"/>
  <c r="H15" i="40"/>
  <c r="H16" i="40"/>
  <c r="T21" i="38"/>
  <c r="P34" i="32"/>
  <c r="P20" i="34"/>
  <c r="B38" i="35"/>
  <c r="D29" i="34"/>
  <c r="D22" i="32"/>
  <c r="H15" i="26"/>
  <c r="T20" i="22"/>
  <c r="D25" i="29"/>
  <c r="D13" i="28"/>
  <c r="D33" i="23"/>
  <c r="P21" i="26"/>
  <c r="P12" i="37"/>
  <c r="T25" i="28"/>
  <c r="D25" i="31"/>
  <c r="H13" i="26"/>
  <c r="B16" i="23"/>
  <c r="H33" i="19"/>
  <c r="T16" i="20"/>
  <c r="T12" i="17"/>
  <c r="H20" i="22"/>
  <c r="T34" i="16"/>
  <c r="D34" i="22"/>
  <c r="P34" i="16"/>
  <c r="D4" i="23"/>
  <c r="H20" i="19"/>
  <c r="B25" i="22"/>
  <c r="P16" i="17"/>
  <c r="T33" i="22"/>
  <c r="P22" i="32"/>
  <c r="B16" i="19"/>
  <c r="P15" i="16"/>
  <c r="D33" i="22"/>
  <c r="D22" i="34"/>
  <c r="D24" i="17"/>
  <c r="P16" i="25"/>
  <c r="T34" i="13"/>
  <c r="P22" i="10"/>
  <c r="H24" i="7"/>
  <c r="T21" i="14"/>
  <c r="D24" i="8"/>
  <c r="T16" i="14"/>
  <c r="D5" i="11"/>
  <c r="B13" i="7"/>
  <c r="T20" i="13"/>
  <c r="P15" i="10"/>
  <c r="P24" i="4"/>
  <c r="T20" i="16"/>
  <c r="D33" i="11"/>
  <c r="T29" i="8"/>
  <c r="H29" i="14"/>
  <c r="H13" i="19"/>
  <c r="H34" i="13"/>
  <c r="H20" i="10"/>
  <c r="B25" i="16"/>
  <c r="B39" i="13"/>
  <c r="P22" i="8"/>
  <c r="D29" i="5"/>
  <c r="D22" i="14"/>
  <c r="T33" i="11"/>
  <c r="P22" i="19"/>
  <c r="P34" i="11"/>
  <c r="P15" i="8"/>
  <c r="B25" i="13"/>
  <c r="H22" i="5"/>
  <c r="P15" i="7"/>
  <c r="D25" i="7"/>
  <c r="B25" i="11"/>
  <c r="T34" i="5"/>
  <c r="H21" i="7"/>
  <c r="P29" i="8"/>
  <c r="P24" i="11"/>
  <c r="T12" i="5"/>
  <c r="P21" i="8"/>
  <c r="H20" i="5"/>
  <c r="T12" i="8"/>
  <c r="P15" i="4"/>
  <c r="P12" i="8"/>
  <c r="H16" i="4"/>
  <c r="B16" i="5"/>
  <c r="H12" i="8"/>
  <c r="D21" i="14"/>
  <c r="P16" i="112"/>
  <c r="B39" i="111"/>
  <c r="D21" i="111"/>
  <c r="H25" i="112"/>
  <c r="P21" i="52"/>
  <c r="D21" i="52"/>
  <c r="H24" i="49"/>
  <c r="D25" i="44"/>
  <c r="H12" i="46"/>
  <c r="T22" i="50"/>
  <c r="T34" i="40"/>
  <c r="H15" i="46"/>
  <c r="H24" i="40"/>
  <c r="P25" i="44"/>
  <c r="T34" i="38"/>
  <c r="D12" i="40"/>
  <c r="T24" i="37"/>
  <c r="P33" i="32"/>
  <c r="P16" i="34"/>
  <c r="D34" i="35"/>
  <c r="D25" i="34"/>
  <c r="D20" i="32"/>
  <c r="B25" i="25"/>
  <c r="T16" i="22"/>
  <c r="T22" i="29"/>
  <c r="P34" i="26"/>
  <c r="D29" i="23"/>
  <c r="T15" i="26"/>
  <c r="P21" i="35"/>
  <c r="H24" i="28"/>
  <c r="B22" i="31"/>
  <c r="D4" i="26"/>
  <c r="D15" i="23"/>
  <c r="H29" i="19"/>
  <c r="P15" i="20"/>
  <c r="B21" i="16"/>
  <c r="B16" i="22"/>
  <c r="T33" i="16"/>
  <c r="H25" i="22"/>
  <c r="P33" i="16"/>
  <c r="T29" i="22"/>
  <c r="H16" i="19"/>
  <c r="H15" i="22"/>
  <c r="D12" i="17"/>
  <c r="D29" i="22"/>
  <c r="B25" i="31"/>
  <c r="D15" i="19"/>
  <c r="D5" i="16"/>
  <c r="D13" i="22"/>
  <c r="P29" i="29"/>
  <c r="D22" i="17"/>
  <c r="T24" i="23"/>
  <c r="T33" i="13"/>
  <c r="T20" i="10"/>
  <c r="H22" i="7"/>
  <c r="T24" i="13"/>
  <c r="D22" i="8"/>
  <c r="T13" i="14"/>
  <c r="P20" i="10"/>
  <c r="H16" i="22"/>
  <c r="T16" i="13"/>
  <c r="D5" i="10"/>
  <c r="P22" i="4"/>
  <c r="T16" i="16"/>
  <c r="D29" i="11"/>
  <c r="T25" i="8"/>
  <c r="H25" i="14"/>
  <c r="D33" i="17"/>
  <c r="H33" i="13"/>
  <c r="H16" i="10"/>
  <c r="D22" i="16"/>
  <c r="H24" i="13"/>
  <c r="T20" i="8"/>
  <c r="D25" i="5"/>
  <c r="H20" i="14"/>
  <c r="T29" i="11"/>
  <c r="T16" i="19"/>
  <c r="P33" i="11"/>
  <c r="D5" i="8"/>
  <c r="H16" i="13"/>
  <c r="H13" i="5"/>
  <c r="D13" i="5"/>
  <c r="P33" i="5"/>
  <c r="H20" i="11"/>
  <c r="H24" i="5"/>
  <c r="H29" i="5"/>
  <c r="H16" i="8"/>
  <c r="T21" i="8"/>
  <c r="H33" i="4"/>
  <c r="B13" i="8"/>
  <c r="D25" i="4"/>
  <c r="T29" i="7"/>
  <c r="D13" i="4"/>
  <c r="P13" i="7"/>
  <c r="T12" i="34"/>
  <c r="D12" i="5"/>
  <c r="T34" i="7"/>
  <c r="H21" i="26"/>
  <c r="T34" i="111"/>
  <c r="B16" i="53"/>
  <c r="T16" i="50"/>
  <c r="H24" i="31"/>
  <c r="B22" i="37"/>
  <c r="B21" i="22"/>
  <c r="B21" i="20"/>
  <c r="D22" i="20"/>
  <c r="H16" i="17"/>
  <c r="H20" i="20"/>
  <c r="T16" i="4"/>
  <c r="H25" i="13"/>
  <c r="H16" i="14"/>
  <c r="B38" i="4"/>
  <c r="D5" i="7"/>
  <c r="B39" i="4"/>
  <c r="T13" i="5"/>
  <c r="B13" i="10"/>
  <c r="H29" i="4"/>
  <c r="H34" i="17"/>
  <c r="D20" i="16"/>
  <c r="T15" i="112"/>
  <c r="H24" i="47"/>
  <c r="D4" i="41"/>
  <c r="D24" i="26"/>
  <c r="P13" i="26"/>
  <c r="T12" i="32"/>
  <c r="P29" i="16"/>
  <c r="D29" i="28"/>
  <c r="H22" i="19"/>
  <c r="P34" i="13"/>
  <c r="T13" i="16"/>
  <c r="B13" i="14"/>
  <c r="B22" i="5"/>
  <c r="T25" i="5"/>
  <c r="T21" i="43"/>
  <c r="D34" i="31"/>
  <c r="P25" i="111"/>
  <c r="H22" i="47"/>
  <c r="B22" i="40"/>
  <c r="D22" i="26"/>
  <c r="H12" i="26"/>
  <c r="P21" i="25"/>
  <c r="P25" i="16"/>
  <c r="D5" i="26"/>
  <c r="B38" i="17"/>
  <c r="P33" i="13"/>
  <c r="P20" i="14"/>
  <c r="B16" i="32"/>
  <c r="T25" i="11"/>
  <c r="B16" i="4"/>
  <c r="B16" i="8"/>
  <c r="H34" i="5"/>
  <c r="B25" i="4"/>
  <c r="H33" i="52"/>
  <c r="P25" i="49"/>
  <c r="T22" i="32"/>
  <c r="T13" i="23"/>
  <c r="H12" i="35"/>
  <c r="P29" i="19"/>
  <c r="D25" i="22"/>
  <c r="T12" i="19"/>
  <c r="T29" i="13"/>
  <c r="P16" i="10"/>
  <c r="D25" i="11"/>
  <c r="H20" i="16"/>
  <c r="B16" i="11"/>
  <c r="T33" i="4"/>
  <c r="H13" i="8"/>
  <c r="P29" i="5"/>
  <c r="B39" i="17"/>
  <c r="H21" i="11"/>
  <c r="P21" i="17"/>
  <c r="P25" i="5"/>
  <c r="D4" i="19"/>
  <c r="H29" i="52"/>
  <c r="T21" i="49"/>
  <c r="P12" i="32"/>
  <c r="P34" i="22"/>
  <c r="P22" i="34"/>
  <c r="P20" i="19"/>
  <c r="B22" i="22"/>
  <c r="T25" i="13"/>
  <c r="D12" i="10"/>
  <c r="H16" i="16"/>
  <c r="H21" i="4"/>
  <c r="D25" i="17"/>
  <c r="P15" i="49"/>
  <c r="P34" i="44"/>
  <c r="P21" i="29"/>
  <c r="T12" i="28"/>
  <c r="B13" i="19"/>
  <c r="B16" i="41"/>
  <c r="T16" i="10"/>
  <c r="P33" i="17"/>
  <c r="D21" i="35"/>
  <c r="H22" i="13"/>
  <c r="T15" i="17"/>
  <c r="D21" i="5"/>
  <c r="D20" i="4"/>
  <c r="B22" i="14"/>
  <c r="D5" i="49"/>
  <c r="T22" i="44"/>
  <c r="T22" i="49"/>
  <c r="D20" i="29"/>
  <c r="P21" i="40"/>
  <c r="D16" i="16"/>
  <c r="P29" i="31"/>
  <c r="T25" i="34"/>
  <c r="T13" i="10"/>
  <c r="P29" i="17"/>
  <c r="D34" i="26"/>
  <c r="H13" i="13"/>
  <c r="P29" i="11"/>
  <c r="B13" i="11"/>
  <c r="P24" i="7"/>
  <c r="D29" i="10"/>
  <c r="T12" i="35"/>
  <c r="T33" i="10"/>
  <c r="D22" i="113"/>
  <c r="T22" i="46"/>
  <c r="B25" i="46"/>
  <c r="B21" i="38"/>
  <c r="P12" i="26"/>
  <c r="P24" i="29"/>
  <c r="D25" i="20"/>
  <c r="B38" i="20"/>
  <c r="H34" i="20"/>
  <c r="H13" i="7"/>
  <c r="T13" i="13"/>
  <c r="P15" i="14"/>
  <c r="D21" i="10"/>
  <c r="P25" i="11"/>
  <c r="D33" i="10"/>
  <c r="T29" i="5"/>
  <c r="D34" i="4"/>
  <c r="D24" i="38"/>
  <c r="T25" i="16"/>
  <c r="P12" i="13"/>
  <c r="D20" i="7"/>
  <c r="H20" i="113"/>
  <c r="P12" i="46"/>
  <c r="H16" i="46"/>
  <c r="D21" i="37"/>
  <c r="T34" i="25"/>
  <c r="B22" i="29"/>
  <c r="P22" i="20"/>
  <c r="D33" i="20"/>
  <c r="H29" i="20"/>
  <c r="D4" i="7"/>
  <c r="B39" i="11"/>
  <c r="D5" i="14"/>
  <c r="T16" i="8"/>
  <c r="P20" i="7"/>
  <c r="D22" i="5"/>
  <c r="T29" i="14"/>
  <c r="H25" i="4"/>
  <c r="D22" i="52"/>
  <c r="H33" i="25"/>
  <c r="P16" i="26"/>
  <c r="D4" i="5"/>
  <c r="D15" i="113"/>
  <c r="P24" i="52"/>
  <c r="B25" i="38"/>
  <c r="D4" i="34"/>
  <c r="D22" i="37"/>
  <c r="H34" i="25"/>
  <c r="T29" i="16"/>
  <c r="P21" i="16"/>
  <c r="P12" i="28"/>
  <c r="T22" i="13"/>
  <c r="B21" i="8"/>
  <c r="D29" i="17"/>
  <c r="T13" i="8"/>
  <c r="P16" i="7"/>
  <c r="P16" i="5"/>
  <c r="D34" i="10"/>
  <c r="T12" i="14"/>
  <c r="T12" i="113"/>
  <c r="B39" i="32"/>
  <c r="T15" i="16"/>
  <c r="D20" i="8"/>
  <c r="D33" i="7"/>
  <c r="T21" i="112"/>
  <c r="H34" i="53"/>
  <c r="T12" i="53"/>
  <c r="B39" i="31"/>
  <c r="D4" i="22"/>
  <c r="T12" i="23"/>
  <c r="D22" i="22"/>
  <c r="D15" i="22"/>
  <c r="H20" i="17"/>
  <c r="H20" i="8"/>
  <c r="T20" i="4"/>
  <c r="H29" i="13"/>
  <c r="B13" i="29"/>
  <c r="T25" i="10"/>
  <c r="P12" i="4"/>
  <c r="T13" i="7"/>
  <c r="B16" i="7"/>
  <c r="L24" i="81" l="1"/>
  <c r="N24" i="81" s="1"/>
  <c r="Z58" i="51"/>
  <c r="N25" i="104"/>
  <c r="V58" i="51"/>
  <c r="Z18" i="68"/>
  <c r="X27" i="45"/>
  <c r="Z27" i="45" s="1"/>
  <c r="T102" i="45"/>
  <c r="Z19" i="48"/>
  <c r="X21" i="99"/>
  <c r="V27" i="45"/>
  <c r="R21" i="99"/>
  <c r="X27" i="73"/>
  <c r="Z27" i="73" s="1"/>
  <c r="V25" i="94"/>
  <c r="L24" i="96"/>
  <c r="N24" i="96" s="1"/>
  <c r="L40" i="33"/>
  <c r="L32" i="42"/>
  <c r="Z18" i="61"/>
  <c r="V62" i="71"/>
  <c r="N18" i="55"/>
  <c r="H122" i="69"/>
  <c r="H126" i="69" s="1"/>
  <c r="J126" i="69" s="1"/>
  <c r="X33" i="36"/>
  <c r="Z33" i="36" s="1"/>
  <c r="V56" i="74"/>
  <c r="N25" i="95"/>
  <c r="Z32" i="42"/>
  <c r="X18" i="55"/>
  <c r="Z18" i="55" s="1"/>
  <c r="N70" i="69"/>
  <c r="N24" i="70"/>
  <c r="X24" i="81"/>
  <c r="Z24" i="81" s="1"/>
  <c r="X25" i="104"/>
  <c r="T126" i="27"/>
  <c r="V32" i="42"/>
  <c r="H84" i="73"/>
  <c r="J84" i="73" s="1"/>
  <c r="Z58" i="77"/>
  <c r="Z68" i="30"/>
  <c r="Z22" i="86"/>
  <c r="Z18" i="109"/>
  <c r="V68" i="30"/>
  <c r="P81" i="56"/>
  <c r="H65" i="68"/>
  <c r="H69" i="68" s="1"/>
  <c r="H72" i="68" s="1"/>
  <c r="L62" i="71"/>
  <c r="N62" i="71" s="1"/>
  <c r="L27" i="73"/>
  <c r="N27" i="73" s="1"/>
  <c r="Z24" i="84"/>
  <c r="D81" i="94"/>
  <c r="F81" i="94" s="1"/>
  <c r="N166" i="12"/>
  <c r="N24" i="80"/>
  <c r="L25" i="94"/>
  <c r="N25" i="94" s="1"/>
  <c r="N185" i="18"/>
  <c r="T89" i="76"/>
  <c r="T101" i="96"/>
  <c r="X166" i="12"/>
  <c r="Z166" i="12" s="1"/>
  <c r="L18" i="56"/>
  <c r="X18" i="58"/>
  <c r="Z18" i="58" s="1"/>
  <c r="X19" i="59"/>
  <c r="L18" i="61"/>
  <c r="N18" i="61" s="1"/>
  <c r="X24" i="88"/>
  <c r="Z24" i="88" s="1"/>
  <c r="X25" i="98"/>
  <c r="Z25" i="98" s="1"/>
  <c r="L21" i="99"/>
  <c r="N25" i="106"/>
  <c r="H94" i="98"/>
  <c r="L25" i="98"/>
  <c r="N36" i="98"/>
  <c r="Z25" i="5"/>
  <c r="N21" i="26"/>
  <c r="L21" i="14"/>
  <c r="T18" i="4"/>
  <c r="V15" i="4"/>
  <c r="Z12" i="4"/>
  <c r="V34" i="4"/>
  <c r="V24" i="4"/>
  <c r="V36" i="4"/>
  <c r="V25" i="4"/>
  <c r="V22" i="4"/>
  <c r="V27" i="4"/>
  <c r="V16" i="4"/>
  <c r="V29" i="4"/>
  <c r="V33" i="4"/>
  <c r="V18" i="4"/>
  <c r="V31" i="4"/>
  <c r="V20" i="4"/>
  <c r="V21" i="4"/>
  <c r="L24" i="4"/>
  <c r="X29" i="4"/>
  <c r="Z13" i="5"/>
  <c r="X22" i="5"/>
  <c r="Z24" i="5"/>
  <c r="L13" i="7"/>
  <c r="L33" i="7"/>
  <c r="Z34" i="7"/>
  <c r="J20" i="8"/>
  <c r="J18" i="8"/>
  <c r="J16" i="8"/>
  <c r="J24" i="8"/>
  <c r="J22" i="8"/>
  <c r="J31" i="8"/>
  <c r="J34" i="8"/>
  <c r="J25" i="8"/>
  <c r="J27" i="8"/>
  <c r="J29" i="8"/>
  <c r="J33" i="8"/>
  <c r="J21" i="8"/>
  <c r="H18" i="8"/>
  <c r="N12" i="8"/>
  <c r="J36" i="8"/>
  <c r="J15" i="8"/>
  <c r="N24" i="8"/>
  <c r="Z34" i="10"/>
  <c r="L20" i="13"/>
  <c r="V21" i="14"/>
  <c r="V20" i="14"/>
  <c r="V18" i="14"/>
  <c r="V16" i="14"/>
  <c r="T18" i="14"/>
  <c r="V15" i="14"/>
  <c r="V36" i="14"/>
  <c r="V34" i="14"/>
  <c r="V33" i="14"/>
  <c r="V31" i="14"/>
  <c r="V29" i="14"/>
  <c r="V27" i="14"/>
  <c r="V25" i="14"/>
  <c r="V24" i="14"/>
  <c r="V22" i="14"/>
  <c r="Z12" i="14"/>
  <c r="Z21" i="4"/>
  <c r="Z22" i="7"/>
  <c r="N25" i="4"/>
  <c r="L34" i="4"/>
  <c r="D18" i="5"/>
  <c r="F15" i="5"/>
  <c r="F21" i="5"/>
  <c r="F36" i="5"/>
  <c r="F22" i="5"/>
  <c r="F31" i="5"/>
  <c r="F24" i="5"/>
  <c r="F29" i="5"/>
  <c r="F33" i="5"/>
  <c r="F25" i="5"/>
  <c r="F20" i="5"/>
  <c r="F16" i="5"/>
  <c r="L12" i="5"/>
  <c r="F34" i="5"/>
  <c r="F27" i="5"/>
  <c r="F18" i="5"/>
  <c r="L16" i="7"/>
  <c r="X21" i="7"/>
  <c r="Z25" i="7"/>
  <c r="N33" i="7"/>
  <c r="L29" i="10"/>
  <c r="N16" i="11"/>
  <c r="L22" i="11"/>
  <c r="N20" i="13"/>
  <c r="V21" i="34"/>
  <c r="V20" i="34"/>
  <c r="V18" i="34"/>
  <c r="V16" i="34"/>
  <c r="Z12" i="34"/>
  <c r="V34" i="34"/>
  <c r="V29" i="34"/>
  <c r="V24" i="34"/>
  <c r="V15" i="34"/>
  <c r="V33" i="34"/>
  <c r="V27" i="34"/>
  <c r="V22" i="34"/>
  <c r="T18" i="34"/>
  <c r="V36" i="34"/>
  <c r="V31" i="34"/>
  <c r="V25" i="34"/>
  <c r="N16" i="4"/>
  <c r="X24" i="5"/>
  <c r="X16" i="4"/>
  <c r="L22" i="4"/>
  <c r="N24" i="4"/>
  <c r="Z29" i="4"/>
  <c r="Z22" i="5"/>
  <c r="X29" i="5"/>
  <c r="N34" i="5"/>
  <c r="X13" i="7"/>
  <c r="X12" i="8"/>
  <c r="R21" i="8"/>
  <c r="R25" i="8"/>
  <c r="R16" i="8"/>
  <c r="R20" i="8"/>
  <c r="R29" i="8"/>
  <c r="R33" i="8"/>
  <c r="R18" i="8"/>
  <c r="R34" i="8"/>
  <c r="R36" i="8"/>
  <c r="R24" i="8"/>
  <c r="P18" i="8"/>
  <c r="R27" i="8"/>
  <c r="R15" i="8"/>
  <c r="R31" i="8"/>
  <c r="R22" i="8"/>
  <c r="Z15" i="8"/>
  <c r="X29" i="10"/>
  <c r="Z16" i="11"/>
  <c r="X22" i="11"/>
  <c r="L15" i="14"/>
  <c r="Z33" i="14"/>
  <c r="X15" i="17"/>
  <c r="N34" i="17"/>
  <c r="L13" i="4"/>
  <c r="X15" i="4"/>
  <c r="L33" i="4"/>
  <c r="N34" i="4"/>
  <c r="L15" i="5"/>
  <c r="N16" i="5"/>
  <c r="X20" i="5"/>
  <c r="Z21" i="5"/>
  <c r="Z13" i="7"/>
  <c r="L20" i="7"/>
  <c r="Z29" i="7"/>
  <c r="Z12" i="8"/>
  <c r="V36" i="8"/>
  <c r="V34" i="8"/>
  <c r="V33" i="8"/>
  <c r="V31" i="8"/>
  <c r="V29" i="8"/>
  <c r="V27" i="8"/>
  <c r="V25" i="8"/>
  <c r="V24" i="8"/>
  <c r="V22" i="8"/>
  <c r="T18" i="8"/>
  <c r="V15" i="8"/>
  <c r="V20" i="8"/>
  <c r="V21" i="8"/>
  <c r="V18" i="8"/>
  <c r="V16" i="8"/>
  <c r="Z29" i="10"/>
  <c r="Z22" i="11"/>
  <c r="N15" i="14"/>
  <c r="X34" i="17"/>
  <c r="X20" i="4"/>
  <c r="Z12" i="7"/>
  <c r="V20" i="7"/>
  <c r="V18" i="7"/>
  <c r="V16" i="7"/>
  <c r="V27" i="7"/>
  <c r="V36" i="7"/>
  <c r="V15" i="7"/>
  <c r="V33" i="7"/>
  <c r="V24" i="7"/>
  <c r="V29" i="7"/>
  <c r="V21" i="7"/>
  <c r="V25" i="7"/>
  <c r="V34" i="7"/>
  <c r="T18" i="7"/>
  <c r="V31" i="7"/>
  <c r="V22" i="7"/>
  <c r="L29" i="7"/>
  <c r="L15" i="8"/>
  <c r="L34" i="10"/>
  <c r="Z29" i="14"/>
  <c r="L25" i="4"/>
  <c r="N20" i="5"/>
  <c r="Z22" i="8"/>
  <c r="Z21" i="10"/>
  <c r="N13" i="4"/>
  <c r="N22" i="4"/>
  <c r="X25" i="4"/>
  <c r="R20" i="5"/>
  <c r="R18" i="5"/>
  <c r="R16" i="5"/>
  <c r="X12" i="5"/>
  <c r="R33" i="5"/>
  <c r="R25" i="5"/>
  <c r="R15" i="5"/>
  <c r="R34" i="5"/>
  <c r="R27" i="5"/>
  <c r="P18" i="5"/>
  <c r="R36" i="5"/>
  <c r="R29" i="5"/>
  <c r="R21" i="5"/>
  <c r="R22" i="5"/>
  <c r="R31" i="5"/>
  <c r="R24" i="5"/>
  <c r="N15" i="5"/>
  <c r="Z20" i="5"/>
  <c r="Z29" i="5"/>
  <c r="X24" i="7"/>
  <c r="X21" i="8"/>
  <c r="Z24" i="8"/>
  <c r="X33" i="8"/>
  <c r="L24" i="11"/>
  <c r="Z34" i="14"/>
  <c r="Z15" i="4"/>
  <c r="L20" i="4"/>
  <c r="N21" i="4"/>
  <c r="N33" i="4"/>
  <c r="V36" i="5"/>
  <c r="V34" i="5"/>
  <c r="V33" i="5"/>
  <c r="V31" i="5"/>
  <c r="V29" i="5"/>
  <c r="V27" i="5"/>
  <c r="V25" i="5"/>
  <c r="V16" i="5"/>
  <c r="V18" i="5"/>
  <c r="T18" i="5"/>
  <c r="Z12" i="5"/>
  <c r="V20" i="5"/>
  <c r="V21" i="5"/>
  <c r="V15" i="5"/>
  <c r="V22" i="5"/>
  <c r="V24" i="5"/>
  <c r="L24" i="5"/>
  <c r="N25" i="5"/>
  <c r="N33" i="5"/>
  <c r="X34" i="5"/>
  <c r="L15" i="7"/>
  <c r="Z16" i="7"/>
  <c r="Z24" i="7"/>
  <c r="Z33" i="7"/>
  <c r="N13" i="8"/>
  <c r="Z21" i="8"/>
  <c r="X24" i="11"/>
  <c r="L22" i="13"/>
  <c r="Z24" i="16"/>
  <c r="N24" i="19"/>
  <c r="N20" i="4"/>
  <c r="Z25" i="4"/>
  <c r="X34" i="4"/>
  <c r="N16" i="8"/>
  <c r="X29" i="8"/>
  <c r="T18" i="10"/>
  <c r="V15" i="10"/>
  <c r="Z12" i="10"/>
  <c r="V36" i="10"/>
  <c r="V34" i="10"/>
  <c r="V33" i="10"/>
  <c r="V31" i="10"/>
  <c r="V29" i="10"/>
  <c r="V27" i="10"/>
  <c r="V25" i="10"/>
  <c r="V21" i="10"/>
  <c r="V20" i="10"/>
  <c r="V24" i="10"/>
  <c r="V18" i="10"/>
  <c r="V22" i="10"/>
  <c r="V16" i="10"/>
  <c r="R20" i="11"/>
  <c r="R18" i="11"/>
  <c r="R16" i="11"/>
  <c r="P18" i="11"/>
  <c r="R15" i="11"/>
  <c r="X12" i="11"/>
  <c r="R24" i="11"/>
  <c r="R22" i="11"/>
  <c r="R33" i="11"/>
  <c r="R25" i="11"/>
  <c r="R31" i="11"/>
  <c r="R36" i="11"/>
  <c r="R29" i="11"/>
  <c r="R34" i="11"/>
  <c r="R27" i="11"/>
  <c r="R21" i="11"/>
  <c r="Z24" i="11"/>
  <c r="Z25" i="14"/>
  <c r="N21" i="5"/>
  <c r="Z33" i="5"/>
  <c r="N21" i="10"/>
  <c r="R21" i="4"/>
  <c r="R33" i="4"/>
  <c r="R22" i="4"/>
  <c r="R34" i="4"/>
  <c r="R24" i="4"/>
  <c r="R36" i="4"/>
  <c r="R25" i="4"/>
  <c r="R15" i="4"/>
  <c r="R20" i="4"/>
  <c r="R27" i="4"/>
  <c r="R16" i="4"/>
  <c r="R29" i="4"/>
  <c r="R18" i="4"/>
  <c r="X12" i="4"/>
  <c r="P18" i="4"/>
  <c r="R31" i="4"/>
  <c r="N29" i="5"/>
  <c r="N21" i="7"/>
  <c r="N29" i="7"/>
  <c r="F24" i="8"/>
  <c r="F22" i="8"/>
  <c r="F21" i="8"/>
  <c r="F20" i="8"/>
  <c r="F18" i="8"/>
  <c r="F16" i="8"/>
  <c r="D18" i="8"/>
  <c r="F15" i="8"/>
  <c r="L12" i="8"/>
  <c r="F31" i="8"/>
  <c r="F36" i="8"/>
  <c r="F34" i="8"/>
  <c r="F27" i="8"/>
  <c r="F25" i="8"/>
  <c r="F29" i="8"/>
  <c r="F33" i="8"/>
  <c r="X34" i="10"/>
  <c r="X13" i="4"/>
  <c r="Z24" i="4"/>
  <c r="L29" i="4"/>
  <c r="X16" i="5"/>
  <c r="L22" i="5"/>
  <c r="N24" i="5"/>
  <c r="Z34" i="5"/>
  <c r="J21" i="7"/>
  <c r="H18" i="7"/>
  <c r="J15" i="7"/>
  <c r="N12" i="7"/>
  <c r="J36" i="7"/>
  <c r="J34" i="7"/>
  <c r="J33" i="7"/>
  <c r="J31" i="7"/>
  <c r="J29" i="7"/>
  <c r="J27" i="7"/>
  <c r="J25" i="7"/>
  <c r="J18" i="7"/>
  <c r="J22" i="7"/>
  <c r="J20" i="7"/>
  <c r="J24" i="7"/>
  <c r="J16" i="7"/>
  <c r="Z20" i="7"/>
  <c r="L34" i="7"/>
  <c r="X13" i="8"/>
  <c r="N22" i="8"/>
  <c r="L13" i="10"/>
  <c r="L25" i="10"/>
  <c r="L33" i="10"/>
  <c r="N20" i="11"/>
  <c r="L24" i="13"/>
  <c r="Z21" i="17"/>
  <c r="L20" i="31"/>
  <c r="L12" i="4"/>
  <c r="F20" i="4"/>
  <c r="F18" i="4"/>
  <c r="F16" i="4"/>
  <c r="F29" i="4"/>
  <c r="D18" i="4"/>
  <c r="F31" i="4"/>
  <c r="F33" i="4"/>
  <c r="F21" i="4"/>
  <c r="F15" i="4"/>
  <c r="F22" i="4"/>
  <c r="F34" i="4"/>
  <c r="F27" i="4"/>
  <c r="F24" i="4"/>
  <c r="F36" i="4"/>
  <c r="F25" i="4"/>
  <c r="X33" i="4"/>
  <c r="Z34" i="4"/>
  <c r="X15" i="5"/>
  <c r="Z16" i="5"/>
  <c r="L21" i="5"/>
  <c r="X25" i="5"/>
  <c r="X33" i="5"/>
  <c r="L25" i="7"/>
  <c r="X16" i="8"/>
  <c r="X25" i="8"/>
  <c r="X25" i="10"/>
  <c r="Z20" i="11"/>
  <c r="D18" i="16"/>
  <c r="F15" i="16"/>
  <c r="F24" i="16"/>
  <c r="F22" i="16"/>
  <c r="F34" i="16"/>
  <c r="F31" i="16"/>
  <c r="F27" i="16"/>
  <c r="F21" i="16"/>
  <c r="F18" i="16"/>
  <c r="F36" i="16"/>
  <c r="F33" i="16"/>
  <c r="F29" i="16"/>
  <c r="F25" i="16"/>
  <c r="F20" i="16"/>
  <c r="F16" i="16"/>
  <c r="L12" i="16"/>
  <c r="N13" i="23"/>
  <c r="L15" i="4"/>
  <c r="Z33" i="4"/>
  <c r="L13" i="5"/>
  <c r="X15" i="7"/>
  <c r="N34" i="7"/>
  <c r="X33" i="10"/>
  <c r="Z13" i="11"/>
  <c r="L16" i="13"/>
  <c r="J18" i="4"/>
  <c r="J31" i="4"/>
  <c r="H18" i="4"/>
  <c r="J20" i="4"/>
  <c r="J33" i="4"/>
  <c r="J21" i="4"/>
  <c r="J22" i="4"/>
  <c r="J34" i="4"/>
  <c r="J29" i="4"/>
  <c r="N12" i="4"/>
  <c r="J24" i="4"/>
  <c r="J36" i="4"/>
  <c r="J25" i="4"/>
  <c r="J27" i="4"/>
  <c r="J15" i="4"/>
  <c r="J16" i="4"/>
  <c r="L16" i="4"/>
  <c r="X21" i="4"/>
  <c r="Z22" i="4"/>
  <c r="N29" i="4"/>
  <c r="N13" i="5"/>
  <c r="N22" i="5"/>
  <c r="R24" i="7"/>
  <c r="R22" i="7"/>
  <c r="P18" i="7"/>
  <c r="R15" i="7"/>
  <c r="R31" i="7"/>
  <c r="R27" i="7"/>
  <c r="X12" i="7"/>
  <c r="R36" i="7"/>
  <c r="R20" i="7"/>
  <c r="R33" i="7"/>
  <c r="R16" i="7"/>
  <c r="R34" i="7"/>
  <c r="R29" i="7"/>
  <c r="R21" i="7"/>
  <c r="R25" i="7"/>
  <c r="R18" i="7"/>
  <c r="Z15" i="7"/>
  <c r="X22" i="7"/>
  <c r="N25" i="7"/>
  <c r="X20" i="8"/>
  <c r="X34" i="8"/>
  <c r="L15" i="10"/>
  <c r="Z25" i="10"/>
  <c r="Z33" i="10"/>
  <c r="N16" i="13"/>
  <c r="X12" i="16"/>
  <c r="R24" i="16"/>
  <c r="R22" i="16"/>
  <c r="R20" i="16"/>
  <c r="R18" i="16"/>
  <c r="R16" i="16"/>
  <c r="R36" i="16"/>
  <c r="R33" i="16"/>
  <c r="R29" i="16"/>
  <c r="R25" i="16"/>
  <c r="R21" i="16"/>
  <c r="R31" i="16"/>
  <c r="R27" i="16"/>
  <c r="R15" i="16"/>
  <c r="P18" i="16"/>
  <c r="R34" i="16"/>
  <c r="N15" i="4"/>
  <c r="L21" i="4"/>
  <c r="L16" i="5"/>
  <c r="L20" i="5"/>
  <c r="F36" i="7"/>
  <c r="F34" i="7"/>
  <c r="F33" i="7"/>
  <c r="F31" i="7"/>
  <c r="F29" i="7"/>
  <c r="F27" i="7"/>
  <c r="F25" i="7"/>
  <c r="F21" i="7"/>
  <c r="F20" i="7"/>
  <c r="F18" i="7"/>
  <c r="F16" i="7"/>
  <c r="D18" i="7"/>
  <c r="L12" i="7"/>
  <c r="F22" i="7"/>
  <c r="F15" i="7"/>
  <c r="F24" i="7"/>
  <c r="X16" i="7"/>
  <c r="X20" i="7"/>
  <c r="X15" i="8"/>
  <c r="N25" i="8"/>
  <c r="N29" i="8"/>
  <c r="N33" i="8"/>
  <c r="N34" i="8"/>
  <c r="R21" i="10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R24" i="10"/>
  <c r="R22" i="10"/>
  <c r="Z22" i="10"/>
  <c r="Z24" i="10"/>
  <c r="Z21" i="11"/>
  <c r="X25" i="11"/>
  <c r="X29" i="11"/>
  <c r="X33" i="11"/>
  <c r="X34" i="11"/>
  <c r="N15" i="13"/>
  <c r="L21" i="13"/>
  <c r="L16" i="14"/>
  <c r="L20" i="14"/>
  <c r="X24" i="16"/>
  <c r="J36" i="17"/>
  <c r="J34" i="17"/>
  <c r="J33" i="17"/>
  <c r="J31" i="17"/>
  <c r="J29" i="17"/>
  <c r="J27" i="17"/>
  <c r="J25" i="17"/>
  <c r="J21" i="17"/>
  <c r="H18" i="17"/>
  <c r="J15" i="17"/>
  <c r="J18" i="17"/>
  <c r="J22" i="17"/>
  <c r="J20" i="17"/>
  <c r="J16" i="17"/>
  <c r="J24" i="17"/>
  <c r="N12" i="17"/>
  <c r="Z15" i="17"/>
  <c r="X21" i="17"/>
  <c r="Z16" i="19"/>
  <c r="X22" i="19"/>
  <c r="L13" i="20"/>
  <c r="X21" i="20"/>
  <c r="N22" i="25"/>
  <c r="L16" i="10"/>
  <c r="L20" i="10"/>
  <c r="Z12" i="11"/>
  <c r="V36" i="11"/>
  <c r="V34" i="11"/>
  <c r="V33" i="11"/>
  <c r="V31" i="11"/>
  <c r="V29" i="11"/>
  <c r="V27" i="11"/>
  <c r="V25" i="11"/>
  <c r="V24" i="11"/>
  <c r="V22" i="11"/>
  <c r="V20" i="11"/>
  <c r="V18" i="11"/>
  <c r="V16" i="11"/>
  <c r="T18" i="11"/>
  <c r="V15" i="11"/>
  <c r="V21" i="11"/>
  <c r="L15" i="11"/>
  <c r="Z25" i="11"/>
  <c r="Z29" i="11"/>
  <c r="Z33" i="11"/>
  <c r="Z34" i="11"/>
  <c r="L13" i="13"/>
  <c r="N21" i="13"/>
  <c r="L25" i="13"/>
  <c r="L29" i="13"/>
  <c r="L33" i="13"/>
  <c r="L34" i="13"/>
  <c r="N16" i="14"/>
  <c r="N20" i="14"/>
  <c r="L22" i="14"/>
  <c r="L24" i="14"/>
  <c r="L16" i="17"/>
  <c r="L20" i="17"/>
  <c r="J34" i="19"/>
  <c r="J25" i="19"/>
  <c r="J27" i="19"/>
  <c r="J24" i="19"/>
  <c r="J22" i="19"/>
  <c r="J36" i="19"/>
  <c r="J29" i="19"/>
  <c r="J20" i="19"/>
  <c r="J18" i="19"/>
  <c r="J16" i="19"/>
  <c r="H18" i="19"/>
  <c r="J15" i="19"/>
  <c r="J31" i="19"/>
  <c r="J33" i="19"/>
  <c r="N12" i="19"/>
  <c r="J21" i="19"/>
  <c r="L33" i="19"/>
  <c r="L24" i="22"/>
  <c r="L34" i="31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5" i="10"/>
  <c r="L21" i="10"/>
  <c r="L16" i="11"/>
  <c r="L20" i="11"/>
  <c r="N13" i="13"/>
  <c r="N22" i="13"/>
  <c r="N24" i="13"/>
  <c r="L13" i="14"/>
  <c r="N21" i="14"/>
  <c r="L25" i="14"/>
  <c r="L29" i="14"/>
  <c r="L33" i="14"/>
  <c r="L34" i="14"/>
  <c r="N16" i="16"/>
  <c r="N20" i="16"/>
  <c r="L22" i="16"/>
  <c r="X24" i="19"/>
  <c r="Z15" i="20"/>
  <c r="L24" i="20"/>
  <c r="Z25" i="22"/>
  <c r="N16" i="23"/>
  <c r="L29" i="26"/>
  <c r="Z15" i="29"/>
  <c r="N16" i="10"/>
  <c r="N20" i="10"/>
  <c r="L22" i="10"/>
  <c r="L24" i="10"/>
  <c r="N15" i="11"/>
  <c r="L21" i="11"/>
  <c r="X15" i="13"/>
  <c r="N25" i="13"/>
  <c r="N29" i="13"/>
  <c r="N33" i="13"/>
  <c r="N34" i="13"/>
  <c r="N13" i="14"/>
  <c r="N22" i="14"/>
  <c r="N24" i="14"/>
  <c r="N13" i="16"/>
  <c r="N22" i="16"/>
  <c r="L13" i="17"/>
  <c r="L25" i="17"/>
  <c r="L29" i="17"/>
  <c r="L33" i="17"/>
  <c r="N13" i="19"/>
  <c r="L34" i="19"/>
  <c r="X16" i="20"/>
  <c r="V21" i="22"/>
  <c r="V20" i="22"/>
  <c r="V18" i="22"/>
  <c r="V16" i="22"/>
  <c r="T18" i="22"/>
  <c r="V15" i="22"/>
  <c r="V36" i="22"/>
  <c r="V34" i="22"/>
  <c r="V33" i="22"/>
  <c r="V31" i="22"/>
  <c r="V29" i="22"/>
  <c r="V27" i="22"/>
  <c r="V25" i="22"/>
  <c r="V22" i="22"/>
  <c r="V24" i="22"/>
  <c r="Z12" i="22"/>
  <c r="N29" i="26"/>
  <c r="L12" i="13"/>
  <c r="F36" i="13"/>
  <c r="F34" i="13"/>
  <c r="F33" i="13"/>
  <c r="F31" i="13"/>
  <c r="F29" i="13"/>
  <c r="F27" i="13"/>
  <c r="F25" i="13"/>
  <c r="F24" i="13"/>
  <c r="F22" i="13"/>
  <c r="F20" i="13"/>
  <c r="F18" i="13"/>
  <c r="F16" i="13"/>
  <c r="D18" i="13"/>
  <c r="F15" i="13"/>
  <c r="F21" i="13"/>
  <c r="X16" i="13"/>
  <c r="X20" i="13"/>
  <c r="X15" i="14"/>
  <c r="N25" i="14"/>
  <c r="N29" i="14"/>
  <c r="N33" i="14"/>
  <c r="N34" i="14"/>
  <c r="X16" i="16"/>
  <c r="X20" i="16"/>
  <c r="N25" i="17"/>
  <c r="N29" i="17"/>
  <c r="N33" i="17"/>
  <c r="X13" i="19"/>
  <c r="L34" i="26"/>
  <c r="L21" i="35"/>
  <c r="Z25" i="8"/>
  <c r="Z29" i="8"/>
  <c r="Z33" i="8"/>
  <c r="Z34" i="8"/>
  <c r="N13" i="10"/>
  <c r="N22" i="10"/>
  <c r="N24" i="10"/>
  <c r="L13" i="11"/>
  <c r="N21" i="11"/>
  <c r="L25" i="11"/>
  <c r="L29" i="11"/>
  <c r="L33" i="11"/>
  <c r="L34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J15" i="13"/>
  <c r="H18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D18" i="14"/>
  <c r="F15" i="14"/>
  <c r="F20" i="14"/>
  <c r="F18" i="14"/>
  <c r="F16" i="14"/>
  <c r="X16" i="14"/>
  <c r="X20" i="14"/>
  <c r="Z13" i="16"/>
  <c r="Z16" i="16"/>
  <c r="Z20" i="16"/>
  <c r="X22" i="16"/>
  <c r="X13" i="17"/>
  <c r="Z13" i="19"/>
  <c r="Z20" i="19"/>
  <c r="X15" i="22"/>
  <c r="Z24" i="35"/>
  <c r="N21" i="40"/>
  <c r="Z13" i="4"/>
  <c r="Z16" i="4"/>
  <c r="Z20" i="4"/>
  <c r="X22" i="4"/>
  <c r="X24" i="4"/>
  <c r="J31" i="5"/>
  <c r="J22" i="5"/>
  <c r="J24" i="5"/>
  <c r="J33" i="5"/>
  <c r="J25" i="5"/>
  <c r="J15" i="5"/>
  <c r="J16" i="5"/>
  <c r="J34" i="5"/>
  <c r="J27" i="5"/>
  <c r="N12" i="5"/>
  <c r="J18" i="5"/>
  <c r="H18" i="5"/>
  <c r="J36" i="5"/>
  <c r="J29" i="5"/>
  <c r="J20" i="5"/>
  <c r="J21" i="5"/>
  <c r="X13" i="5"/>
  <c r="Z15" i="5"/>
  <c r="X21" i="5"/>
  <c r="N15" i="7"/>
  <c r="L21" i="7"/>
  <c r="L16" i="8"/>
  <c r="L20" i="8"/>
  <c r="X15" i="10"/>
  <c r="N25" i="10"/>
  <c r="N29" i="10"/>
  <c r="N33" i="10"/>
  <c r="N34" i="10"/>
  <c r="N13" i="11"/>
  <c r="N22" i="11"/>
  <c r="N24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Z22" i="16"/>
  <c r="X25" i="17"/>
  <c r="X29" i="17"/>
  <c r="X33" i="17"/>
  <c r="N16" i="22"/>
  <c r="N16" i="7"/>
  <c r="N20" i="7"/>
  <c r="L22" i="7"/>
  <c r="L24" i="7"/>
  <c r="N15" i="8"/>
  <c r="L21" i="8"/>
  <c r="L12" i="10"/>
  <c r="F36" i="10"/>
  <c r="F34" i="10"/>
  <c r="F33" i="10"/>
  <c r="F31" i="10"/>
  <c r="F29" i="10"/>
  <c r="F27" i="10"/>
  <c r="F25" i="10"/>
  <c r="F21" i="10"/>
  <c r="F20" i="10"/>
  <c r="F18" i="10"/>
  <c r="F16" i="10"/>
  <c r="D18" i="10"/>
  <c r="F15" i="10"/>
  <c r="F24" i="10"/>
  <c r="F22" i="10"/>
  <c r="X16" i="10"/>
  <c r="X20" i="10"/>
  <c r="X15" i="11"/>
  <c r="N25" i="11"/>
  <c r="N29" i="11"/>
  <c r="N33" i="11"/>
  <c r="N34" i="11"/>
  <c r="Z21" i="13"/>
  <c r="X25" i="13"/>
  <c r="X29" i="13"/>
  <c r="X33" i="13"/>
  <c r="X34" i="13"/>
  <c r="Z13" i="14"/>
  <c r="Z16" i="14"/>
  <c r="Z20" i="14"/>
  <c r="X22" i="14"/>
  <c r="X24" i="14"/>
  <c r="N15" i="16"/>
  <c r="L21" i="16"/>
  <c r="Z15" i="19"/>
  <c r="X21" i="19"/>
  <c r="N20" i="20"/>
  <c r="N20" i="8"/>
  <c r="L22" i="8"/>
  <c r="L24" i="8"/>
  <c r="J36" i="10"/>
  <c r="J34" i="10"/>
  <c r="J33" i="10"/>
  <c r="J31" i="10"/>
  <c r="J29" i="10"/>
  <c r="J27" i="10"/>
  <c r="J25" i="10"/>
  <c r="J24" i="10"/>
  <c r="J22" i="10"/>
  <c r="J21" i="10"/>
  <c r="H18" i="10"/>
  <c r="J15" i="10"/>
  <c r="J20" i="10"/>
  <c r="N12" i="10"/>
  <c r="J18" i="10"/>
  <c r="J16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0" i="11"/>
  <c r="F18" i="11"/>
  <c r="F16" i="11"/>
  <c r="D18" i="11"/>
  <c r="F15" i="11"/>
  <c r="F21" i="11"/>
  <c r="L12" i="11"/>
  <c r="X16" i="11"/>
  <c r="X20" i="11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L24" i="16"/>
  <c r="N15" i="17"/>
  <c r="L21" i="17"/>
  <c r="N34" i="22"/>
  <c r="N13" i="7"/>
  <c r="N22" i="7"/>
  <c r="N24" i="7"/>
  <c r="L13" i="8"/>
  <c r="N21" i="8"/>
  <c r="L25" i="8"/>
  <c r="L29" i="8"/>
  <c r="L33" i="8"/>
  <c r="L34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N12" i="11"/>
  <c r="J15" i="11"/>
  <c r="H18" i="11"/>
  <c r="X13" i="11"/>
  <c r="Z15" i="11"/>
  <c r="X21" i="11"/>
  <c r="V24" i="13"/>
  <c r="V22" i="13"/>
  <c r="V21" i="13"/>
  <c r="V20" i="13"/>
  <c r="V18" i="13"/>
  <c r="V16" i="13"/>
  <c r="T18" i="13"/>
  <c r="V15" i="13"/>
  <c r="Z12" i="13"/>
  <c r="V34" i="13"/>
  <c r="V33" i="13"/>
  <c r="V31" i="13"/>
  <c r="V29" i="13"/>
  <c r="V36" i="13"/>
  <c r="V27" i="13"/>
  <c r="V25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N24" i="16"/>
  <c r="N21" i="17"/>
  <c r="L34" i="17"/>
  <c r="N22" i="19"/>
  <c r="Z24" i="23"/>
  <c r="X16" i="25"/>
  <c r="L13" i="16"/>
  <c r="N21" i="16"/>
  <c r="L25" i="16"/>
  <c r="L29" i="16"/>
  <c r="L33" i="16"/>
  <c r="L34" i="16"/>
  <c r="N16" i="17"/>
  <c r="N20" i="17"/>
  <c r="L22" i="17"/>
  <c r="L24" i="17"/>
  <c r="Z21" i="19"/>
  <c r="X25" i="19"/>
  <c r="X34" i="19"/>
  <c r="L29" i="20"/>
  <c r="L34" i="20"/>
  <c r="L21" i="22"/>
  <c r="X16" i="26"/>
  <c r="X12" i="28"/>
  <c r="R20" i="28"/>
  <c r="R18" i="28"/>
  <c r="R16" i="28"/>
  <c r="P18" i="28"/>
  <c r="R15" i="28"/>
  <c r="R33" i="28"/>
  <c r="R27" i="28"/>
  <c r="R22" i="28"/>
  <c r="R34" i="28"/>
  <c r="R29" i="28"/>
  <c r="R24" i="28"/>
  <c r="R36" i="28"/>
  <c r="R31" i="28"/>
  <c r="R25" i="28"/>
  <c r="R21" i="28"/>
  <c r="X29" i="29"/>
  <c r="L22" i="34"/>
  <c r="N29" i="43"/>
  <c r="P18" i="19"/>
  <c r="R15" i="19"/>
  <c r="R33" i="19"/>
  <c r="X12" i="19"/>
  <c r="R34" i="19"/>
  <c r="R25" i="19"/>
  <c r="R27" i="19"/>
  <c r="R24" i="19"/>
  <c r="R22" i="19"/>
  <c r="R21" i="19"/>
  <c r="R36" i="19"/>
  <c r="R20" i="19"/>
  <c r="R18" i="19"/>
  <c r="R31" i="19"/>
  <c r="R29" i="19"/>
  <c r="R16" i="19"/>
  <c r="Z22" i="19"/>
  <c r="Z24" i="19"/>
  <c r="X20" i="20"/>
  <c r="Z21" i="20"/>
  <c r="X25" i="20"/>
  <c r="N29" i="20"/>
  <c r="N34" i="20"/>
  <c r="L13" i="22"/>
  <c r="L33" i="22"/>
  <c r="N15" i="23"/>
  <c r="N24" i="25"/>
  <c r="N15" i="28"/>
  <c r="L22" i="31"/>
  <c r="Z20" i="32"/>
  <c r="Z25" i="34"/>
  <c r="X15" i="16"/>
  <c r="N25" i="16"/>
  <c r="N29" i="16"/>
  <c r="N33" i="16"/>
  <c r="N34" i="16"/>
  <c r="N13" i="17"/>
  <c r="N22" i="17"/>
  <c r="N24" i="17"/>
  <c r="V31" i="19"/>
  <c r="V33" i="19"/>
  <c r="Z12" i="19"/>
  <c r="V25" i="19"/>
  <c r="V34" i="19"/>
  <c r="V27" i="19"/>
  <c r="V24" i="19"/>
  <c r="V22" i="19"/>
  <c r="V21" i="19"/>
  <c r="V20" i="19"/>
  <c r="V18" i="19"/>
  <c r="V16" i="19"/>
  <c r="V36" i="19"/>
  <c r="V15" i="19"/>
  <c r="T18" i="19"/>
  <c r="V29" i="19"/>
  <c r="L15" i="19"/>
  <c r="Z25" i="19"/>
  <c r="X13" i="20"/>
  <c r="N21" i="22"/>
  <c r="N33" i="22"/>
  <c r="F24" i="25"/>
  <c r="F22" i="25"/>
  <c r="F21" i="25"/>
  <c r="F20" i="25"/>
  <c r="F18" i="25"/>
  <c r="F16" i="25"/>
  <c r="D18" i="25"/>
  <c r="F15" i="25"/>
  <c r="L12" i="25"/>
  <c r="F33" i="25"/>
  <c r="F25" i="25"/>
  <c r="F31" i="25"/>
  <c r="F36" i="25"/>
  <c r="F34" i="25"/>
  <c r="F29" i="25"/>
  <c r="F27" i="25"/>
  <c r="L29" i="28"/>
  <c r="X22" i="32"/>
  <c r="L16" i="19"/>
  <c r="L20" i="19"/>
  <c r="X33" i="19"/>
  <c r="Z13" i="20"/>
  <c r="L16" i="20"/>
  <c r="Z20" i="20"/>
  <c r="L22" i="20"/>
  <c r="L15" i="22"/>
  <c r="L29" i="22"/>
  <c r="Z33" i="22"/>
  <c r="L20" i="23"/>
  <c r="L22" i="23"/>
  <c r="J20" i="25"/>
  <c r="J18" i="25"/>
  <c r="J16" i="25"/>
  <c r="H18" i="25"/>
  <c r="J15" i="25"/>
  <c r="N12" i="25"/>
  <c r="J24" i="25"/>
  <c r="J22" i="25"/>
  <c r="J34" i="25"/>
  <c r="J27" i="25"/>
  <c r="J33" i="25"/>
  <c r="J25" i="25"/>
  <c r="J31" i="25"/>
  <c r="J36" i="25"/>
  <c r="J29" i="25"/>
  <c r="J21" i="25"/>
  <c r="F21" i="26"/>
  <c r="F20" i="26"/>
  <c r="F18" i="26"/>
  <c r="F16" i="26"/>
  <c r="D18" i="26"/>
  <c r="F15" i="26"/>
  <c r="L12" i="26"/>
  <c r="F36" i="26"/>
  <c r="F34" i="26"/>
  <c r="F33" i="26"/>
  <c r="F31" i="26"/>
  <c r="F29" i="26"/>
  <c r="F27" i="26"/>
  <c r="F25" i="26"/>
  <c r="F24" i="26"/>
  <c r="F22" i="26"/>
  <c r="Z16" i="28"/>
  <c r="X25" i="31"/>
  <c r="N12" i="16"/>
  <c r="J24" i="16"/>
  <c r="J22" i="16"/>
  <c r="J20" i="16"/>
  <c r="J18" i="16"/>
  <c r="J16" i="16"/>
  <c r="J21" i="16"/>
  <c r="H18" i="16"/>
  <c r="J15" i="16"/>
  <c r="J36" i="16"/>
  <c r="J33" i="16"/>
  <c r="J29" i="16"/>
  <c r="J25" i="16"/>
  <c r="J31" i="16"/>
  <c r="J27" i="16"/>
  <c r="J34" i="16"/>
  <c r="X13" i="16"/>
  <c r="Z15" i="16"/>
  <c r="X21" i="16"/>
  <c r="L12" i="17"/>
  <c r="F36" i="17"/>
  <c r="F34" i="17"/>
  <c r="F33" i="17"/>
  <c r="F31" i="17"/>
  <c r="F29" i="17"/>
  <c r="F27" i="17"/>
  <c r="F25" i="17"/>
  <c r="F21" i="17"/>
  <c r="F24" i="17"/>
  <c r="F18" i="17"/>
  <c r="D18" i="17"/>
  <c r="F15" i="17"/>
  <c r="F22" i="17"/>
  <c r="F20" i="17"/>
  <c r="F16" i="17"/>
  <c r="X16" i="17"/>
  <c r="X20" i="17"/>
  <c r="N15" i="19"/>
  <c r="L21" i="19"/>
  <c r="L29" i="19"/>
  <c r="F20" i="20"/>
  <c r="F18" i="20"/>
  <c r="F16" i="20"/>
  <c r="F36" i="20"/>
  <c r="F34" i="20"/>
  <c r="F33" i="20"/>
  <c r="F31" i="20"/>
  <c r="F29" i="20"/>
  <c r="F27" i="20"/>
  <c r="F25" i="20"/>
  <c r="F15" i="20"/>
  <c r="L12" i="20"/>
  <c r="F22" i="20"/>
  <c r="F24" i="20"/>
  <c r="D18" i="20"/>
  <c r="F21" i="20"/>
  <c r="N16" i="20"/>
  <c r="X24" i="20"/>
  <c r="L33" i="20"/>
  <c r="N15" i="22"/>
  <c r="N29" i="22"/>
  <c r="N22" i="23"/>
  <c r="N13" i="25"/>
  <c r="L13" i="26"/>
  <c r="L25" i="26"/>
  <c r="L33" i="26"/>
  <c r="X34" i="29"/>
  <c r="X29" i="31"/>
  <c r="N16" i="19"/>
  <c r="N20" i="19"/>
  <c r="L22" i="19"/>
  <c r="L24" i="19"/>
  <c r="J21" i="20"/>
  <c r="J33" i="20"/>
  <c r="J27" i="20"/>
  <c r="J22" i="20"/>
  <c r="J16" i="20"/>
  <c r="J34" i="20"/>
  <c r="J29" i="20"/>
  <c r="J18" i="20"/>
  <c r="J24" i="20"/>
  <c r="H18" i="20"/>
  <c r="N12" i="20"/>
  <c r="J20" i="20"/>
  <c r="J36" i="20"/>
  <c r="J25" i="20"/>
  <c r="J15" i="20"/>
  <c r="J31" i="20"/>
  <c r="L15" i="20"/>
  <c r="X29" i="20"/>
  <c r="N33" i="20"/>
  <c r="X34" i="20"/>
  <c r="L25" i="22"/>
  <c r="Z29" i="22"/>
  <c r="L16" i="23"/>
  <c r="N20" i="23"/>
  <c r="Z22" i="23"/>
  <c r="X20" i="25"/>
  <c r="N25" i="26"/>
  <c r="N33" i="26"/>
  <c r="Z21" i="16"/>
  <c r="X25" i="16"/>
  <c r="X29" i="16"/>
  <c r="X33" i="16"/>
  <c r="X34" i="16"/>
  <c r="Z13" i="17"/>
  <c r="Z16" i="17"/>
  <c r="Z20" i="17"/>
  <c r="X22" i="17"/>
  <c r="X24" i="17"/>
  <c r="L13" i="19"/>
  <c r="N21" i="19"/>
  <c r="L25" i="19"/>
  <c r="L22" i="22"/>
  <c r="N25" i="22"/>
  <c r="L34" i="22"/>
  <c r="R24" i="23"/>
  <c r="R22" i="23"/>
  <c r="R21" i="23"/>
  <c r="R20" i="23"/>
  <c r="R18" i="23"/>
  <c r="R16" i="23"/>
  <c r="P18" i="23"/>
  <c r="R15" i="23"/>
  <c r="R33" i="23"/>
  <c r="R27" i="23"/>
  <c r="R36" i="23"/>
  <c r="R31" i="23"/>
  <c r="R25" i="23"/>
  <c r="R34" i="23"/>
  <c r="X12" i="23"/>
  <c r="R29" i="23"/>
  <c r="X13" i="25"/>
  <c r="X20" i="26"/>
  <c r="L34" i="28"/>
  <c r="L22" i="29"/>
  <c r="V36" i="16"/>
  <c r="V34" i="16"/>
  <c r="V33" i="16"/>
  <c r="V31" i="16"/>
  <c r="V29" i="16"/>
  <c r="V27" i="16"/>
  <c r="V25" i="16"/>
  <c r="V24" i="16"/>
  <c r="V22" i="16"/>
  <c r="V20" i="16"/>
  <c r="V18" i="16"/>
  <c r="V16" i="16"/>
  <c r="Z12" i="16"/>
  <c r="T18" i="16"/>
  <c r="V15" i="16"/>
  <c r="V21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1" i="17"/>
  <c r="P18" i="17"/>
  <c r="R15" i="17"/>
  <c r="R22" i="17"/>
  <c r="R20" i="17"/>
  <c r="R16" i="17"/>
  <c r="X12" i="17"/>
  <c r="R18" i="17"/>
  <c r="R24" i="17"/>
  <c r="Z22" i="17"/>
  <c r="Z24" i="17"/>
  <c r="X15" i="19"/>
  <c r="N25" i="19"/>
  <c r="Z12" i="20"/>
  <c r="V24" i="20"/>
  <c r="V22" i="20"/>
  <c r="V21" i="20"/>
  <c r="V34" i="20"/>
  <c r="V29" i="20"/>
  <c r="T18" i="20"/>
  <c r="V20" i="20"/>
  <c r="V36" i="20"/>
  <c r="V31" i="20"/>
  <c r="V25" i="20"/>
  <c r="V15" i="20"/>
  <c r="V27" i="20"/>
  <c r="V18" i="20"/>
  <c r="V16" i="20"/>
  <c r="V33" i="20"/>
  <c r="N21" i="20"/>
  <c r="X22" i="20"/>
  <c r="L25" i="20"/>
  <c r="N20" i="22"/>
  <c r="Z34" i="22"/>
  <c r="L24" i="23"/>
  <c r="X15" i="26"/>
  <c r="N34" i="26"/>
  <c r="N15" i="31"/>
  <c r="L16" i="16"/>
  <c r="L20" i="16"/>
  <c r="V24" i="17"/>
  <c r="V22" i="17"/>
  <c r="V21" i="17"/>
  <c r="T18" i="17"/>
  <c r="V15" i="17"/>
  <c r="V36" i="17"/>
  <c r="V33" i="17"/>
  <c r="V29" i="17"/>
  <c r="V25" i="17"/>
  <c r="V20" i="17"/>
  <c r="V16" i="17"/>
  <c r="Z12" i="17"/>
  <c r="V34" i="17"/>
  <c r="V31" i="17"/>
  <c r="V27" i="17"/>
  <c r="V18" i="17"/>
  <c r="L15" i="17"/>
  <c r="Z25" i="17"/>
  <c r="Z29" i="17"/>
  <c r="Z33" i="17"/>
  <c r="Z34" i="17"/>
  <c r="F34" i="19"/>
  <c r="F27" i="19"/>
  <c r="F24" i="19"/>
  <c r="F22" i="19"/>
  <c r="F36" i="19"/>
  <c r="F29" i="19"/>
  <c r="F21" i="19"/>
  <c r="F20" i="19"/>
  <c r="F18" i="19"/>
  <c r="F16" i="19"/>
  <c r="D18" i="19"/>
  <c r="F15" i="19"/>
  <c r="F31" i="19"/>
  <c r="F25" i="19"/>
  <c r="F33" i="19"/>
  <c r="L12" i="19"/>
  <c r="X16" i="19"/>
  <c r="X20" i="19"/>
  <c r="X29" i="19"/>
  <c r="X15" i="20"/>
  <c r="Z16" i="20"/>
  <c r="L20" i="20"/>
  <c r="N25" i="20"/>
  <c r="X33" i="20"/>
  <c r="L21" i="23"/>
  <c r="N24" i="23"/>
  <c r="Z15" i="25"/>
  <c r="X21" i="25"/>
  <c r="V21" i="32"/>
  <c r="V20" i="32"/>
  <c r="V18" i="32"/>
  <c r="V16" i="32"/>
  <c r="V15" i="32"/>
  <c r="V36" i="32"/>
  <c r="V31" i="32"/>
  <c r="V25" i="32"/>
  <c r="T18" i="32"/>
  <c r="V34" i="32"/>
  <c r="V29" i="32"/>
  <c r="V24" i="32"/>
  <c r="Z12" i="32"/>
  <c r="V22" i="32"/>
  <c r="V27" i="32"/>
  <c r="V33" i="32"/>
  <c r="N29" i="19"/>
  <c r="N33" i="19"/>
  <c r="N34" i="19"/>
  <c r="N13" i="20"/>
  <c r="N22" i="20"/>
  <c r="N24" i="20"/>
  <c r="L16" i="22"/>
  <c r="L20" i="22"/>
  <c r="V20" i="23"/>
  <c r="V18" i="23"/>
  <c r="V16" i="23"/>
  <c r="T18" i="23"/>
  <c r="V15" i="23"/>
  <c r="V24" i="23"/>
  <c r="V22" i="23"/>
  <c r="Z12" i="23"/>
  <c r="V36" i="23"/>
  <c r="V31" i="23"/>
  <c r="V25" i="23"/>
  <c r="V21" i="23"/>
  <c r="V34" i="23"/>
  <c r="V33" i="23"/>
  <c r="V29" i="23"/>
  <c r="V27" i="23"/>
  <c r="L15" i="23"/>
  <c r="Z25" i="23"/>
  <c r="Z29" i="23"/>
  <c r="Z33" i="23"/>
  <c r="Z34" i="23"/>
  <c r="X15" i="25"/>
  <c r="N25" i="25"/>
  <c r="N29" i="25"/>
  <c r="N33" i="25"/>
  <c r="N34" i="25"/>
  <c r="N13" i="26"/>
  <c r="N22" i="26"/>
  <c r="N24" i="26"/>
  <c r="N20" i="28"/>
  <c r="Z21" i="28"/>
  <c r="L24" i="28"/>
  <c r="X25" i="28"/>
  <c r="Z20" i="29"/>
  <c r="X24" i="29"/>
  <c r="L25" i="31"/>
  <c r="L16" i="32"/>
  <c r="N20" i="32"/>
  <c r="Z33" i="32"/>
  <c r="Z29" i="35"/>
  <c r="Z34" i="35"/>
  <c r="N20" i="37"/>
  <c r="X21" i="40"/>
  <c r="V36" i="28"/>
  <c r="V34" i="28"/>
  <c r="V33" i="28"/>
  <c r="V31" i="28"/>
  <c r="V29" i="28"/>
  <c r="V27" i="28"/>
  <c r="V25" i="28"/>
  <c r="V22" i="28"/>
  <c r="V18" i="28"/>
  <c r="T18" i="28"/>
  <c r="V24" i="28"/>
  <c r="V20" i="28"/>
  <c r="V15" i="28"/>
  <c r="Z12" i="28"/>
  <c r="V16" i="28"/>
  <c r="V21" i="28"/>
  <c r="N24" i="28"/>
  <c r="Z25" i="28"/>
  <c r="L13" i="29"/>
  <c r="Z24" i="29"/>
  <c r="L33" i="29"/>
  <c r="X34" i="31"/>
  <c r="N16" i="32"/>
  <c r="L24" i="32"/>
  <c r="Z13" i="34"/>
  <c r="X22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21" i="35"/>
  <c r="X12" i="37"/>
  <c r="R24" i="37"/>
  <c r="R22" i="37"/>
  <c r="P18" i="37"/>
  <c r="R15" i="37"/>
  <c r="R34" i="37"/>
  <c r="R31" i="37"/>
  <c r="R27" i="37"/>
  <c r="R21" i="37"/>
  <c r="R36" i="37"/>
  <c r="R33" i="37"/>
  <c r="R29" i="37"/>
  <c r="R25" i="37"/>
  <c r="R18" i="37"/>
  <c r="R16" i="37"/>
  <c r="R20" i="37"/>
  <c r="X21" i="37"/>
  <c r="L25" i="40"/>
  <c r="Z13" i="25"/>
  <c r="Z16" i="25"/>
  <c r="Z20" i="25"/>
  <c r="X22" i="25"/>
  <c r="X24" i="25"/>
  <c r="H18" i="26"/>
  <c r="J15" i="26"/>
  <c r="N12" i="26"/>
  <c r="J21" i="26"/>
  <c r="J34" i="26"/>
  <c r="J27" i="26"/>
  <c r="J33" i="26"/>
  <c r="J25" i="26"/>
  <c r="J20" i="26"/>
  <c r="J31" i="26"/>
  <c r="J24" i="26"/>
  <c r="J18" i="26"/>
  <c r="J36" i="26"/>
  <c r="J29" i="26"/>
  <c r="J16" i="26"/>
  <c r="J22" i="26"/>
  <c r="X13" i="26"/>
  <c r="Z15" i="26"/>
  <c r="X21" i="26"/>
  <c r="Z20" i="28"/>
  <c r="X24" i="28"/>
  <c r="X13" i="29"/>
  <c r="L16" i="29"/>
  <c r="L16" i="31"/>
  <c r="N20" i="31"/>
  <c r="Z16" i="32"/>
  <c r="X24" i="32"/>
  <c r="L15" i="34"/>
  <c r="Z33" i="34"/>
  <c r="R24" i="35"/>
  <c r="R22" i="35"/>
  <c r="R21" i="35"/>
  <c r="P18" i="35"/>
  <c r="R15" i="35"/>
  <c r="X12" i="35"/>
  <c r="R20" i="35"/>
  <c r="R33" i="35"/>
  <c r="R27" i="35"/>
  <c r="R18" i="35"/>
  <c r="R36" i="35"/>
  <c r="R31" i="35"/>
  <c r="R25" i="35"/>
  <c r="R16" i="35"/>
  <c r="R34" i="35"/>
  <c r="R29" i="35"/>
  <c r="L16" i="38"/>
  <c r="N13" i="22"/>
  <c r="N22" i="22"/>
  <c r="N24" i="22"/>
  <c r="L13" i="23"/>
  <c r="N21" i="23"/>
  <c r="L25" i="23"/>
  <c r="L29" i="23"/>
  <c r="L33" i="23"/>
  <c r="L34" i="23"/>
  <c r="Z21" i="25"/>
  <c r="X25" i="25"/>
  <c r="X29" i="25"/>
  <c r="X33" i="25"/>
  <c r="X34" i="25"/>
  <c r="Z13" i="26"/>
  <c r="Z16" i="26"/>
  <c r="Z20" i="26"/>
  <c r="X22" i="26"/>
  <c r="X24" i="26"/>
  <c r="L22" i="28"/>
  <c r="X29" i="28"/>
  <c r="X34" i="28"/>
  <c r="Z13" i="29"/>
  <c r="L21" i="29"/>
  <c r="X22" i="29"/>
  <c r="L21" i="32"/>
  <c r="Z29" i="32"/>
  <c r="Z34" i="32"/>
  <c r="L20" i="34"/>
  <c r="V20" i="35"/>
  <c r="V18" i="35"/>
  <c r="V16" i="35"/>
  <c r="T18" i="35"/>
  <c r="V15" i="35"/>
  <c r="V36" i="35"/>
  <c r="V34" i="35"/>
  <c r="V33" i="35"/>
  <c r="V31" i="35"/>
  <c r="V29" i="35"/>
  <c r="V27" i="35"/>
  <c r="V25" i="35"/>
  <c r="V22" i="35"/>
  <c r="Z12" i="35"/>
  <c r="V21" i="35"/>
  <c r="V24" i="35"/>
  <c r="Z25" i="35"/>
  <c r="L22" i="37"/>
  <c r="X12" i="25"/>
  <c r="R36" i="25"/>
  <c r="R34" i="25"/>
  <c r="R33" i="25"/>
  <c r="R31" i="25"/>
  <c r="R29" i="25"/>
  <c r="R27" i="25"/>
  <c r="R25" i="25"/>
  <c r="R24" i="25"/>
  <c r="R22" i="25"/>
  <c r="R21" i="25"/>
  <c r="R15" i="25"/>
  <c r="R20" i="25"/>
  <c r="R18" i="25"/>
  <c r="P18" i="25"/>
  <c r="R16" i="25"/>
  <c r="Z22" i="25"/>
  <c r="Z24" i="25"/>
  <c r="Z21" i="26"/>
  <c r="X25" i="26"/>
  <c r="X29" i="26"/>
  <c r="X33" i="26"/>
  <c r="X34" i="26"/>
  <c r="L13" i="28"/>
  <c r="Z24" i="28"/>
  <c r="L33" i="28"/>
  <c r="N16" i="29"/>
  <c r="X33" i="29"/>
  <c r="N16" i="31"/>
  <c r="Z13" i="32"/>
  <c r="N20" i="34"/>
  <c r="L24" i="34"/>
  <c r="Z13" i="37"/>
  <c r="X16" i="38"/>
  <c r="N22" i="41"/>
  <c r="Z29" i="19"/>
  <c r="Z33" i="19"/>
  <c r="Z34" i="19"/>
  <c r="R36" i="20"/>
  <c r="R34" i="20"/>
  <c r="R33" i="20"/>
  <c r="R31" i="20"/>
  <c r="R29" i="20"/>
  <c r="R27" i="20"/>
  <c r="R25" i="20"/>
  <c r="R22" i="20"/>
  <c r="X12" i="20"/>
  <c r="R16" i="20"/>
  <c r="R24" i="20"/>
  <c r="R18" i="20"/>
  <c r="P18" i="20"/>
  <c r="R20" i="20"/>
  <c r="R21" i="20"/>
  <c r="R15" i="20"/>
  <c r="Z22" i="20"/>
  <c r="Z24" i="20"/>
  <c r="L12" i="22"/>
  <c r="F36" i="22"/>
  <c r="F34" i="22"/>
  <c r="F33" i="22"/>
  <c r="F31" i="22"/>
  <c r="F29" i="22"/>
  <c r="F27" i="22"/>
  <c r="F25" i="22"/>
  <c r="D18" i="22"/>
  <c r="F15" i="22"/>
  <c r="F16" i="22"/>
  <c r="F18" i="22"/>
  <c r="F21" i="22"/>
  <c r="F24" i="22"/>
  <c r="F20" i="22"/>
  <c r="F22" i="22"/>
  <c r="X16" i="22"/>
  <c r="X20" i="22"/>
  <c r="X15" i="23"/>
  <c r="N25" i="23"/>
  <c r="N29" i="23"/>
  <c r="N33" i="23"/>
  <c r="N3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R15" i="26"/>
  <c r="P18" i="26"/>
  <c r="Z22" i="26"/>
  <c r="Z24" i="26"/>
  <c r="N13" i="28"/>
  <c r="N22" i="28"/>
  <c r="Z29" i="28"/>
  <c r="Z34" i="28"/>
  <c r="N21" i="29"/>
  <c r="Z22" i="29"/>
  <c r="L25" i="29"/>
  <c r="L24" i="31"/>
  <c r="L15" i="32"/>
  <c r="Z20" i="34"/>
  <c r="X24" i="34"/>
  <c r="X13" i="35"/>
  <c r="Z15" i="37"/>
  <c r="L13" i="40"/>
  <c r="L33" i="40"/>
  <c r="Z25" i="20"/>
  <c r="Z29" i="20"/>
  <c r="Z33" i="20"/>
  <c r="Z34" i="20"/>
  <c r="N12" i="22"/>
  <c r="J36" i="22"/>
  <c r="J34" i="22"/>
  <c r="J33" i="22"/>
  <c r="J31" i="22"/>
  <c r="J29" i="22"/>
  <c r="J27" i="22"/>
  <c r="J25" i="22"/>
  <c r="J21" i="22"/>
  <c r="J20" i="22"/>
  <c r="J22" i="22"/>
  <c r="J15" i="22"/>
  <c r="J18" i="22"/>
  <c r="H18" i="22"/>
  <c r="J24" i="22"/>
  <c r="J16" i="22"/>
  <c r="X13" i="22"/>
  <c r="Z15" i="22"/>
  <c r="X21" i="22"/>
  <c r="L12" i="23"/>
  <c r="F24" i="23"/>
  <c r="F22" i="23"/>
  <c r="F34" i="23"/>
  <c r="F29" i="23"/>
  <c r="F16" i="23"/>
  <c r="F33" i="23"/>
  <c r="F27" i="23"/>
  <c r="F20" i="23"/>
  <c r="F36" i="23"/>
  <c r="F31" i="23"/>
  <c r="F25" i="23"/>
  <c r="F15" i="23"/>
  <c r="F21" i="23"/>
  <c r="F18" i="23"/>
  <c r="D18" i="23"/>
  <c r="X16" i="23"/>
  <c r="X20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Z13" i="28"/>
  <c r="L21" i="28"/>
  <c r="X22" i="28"/>
  <c r="J36" i="29"/>
  <c r="J34" i="29"/>
  <c r="J33" i="29"/>
  <c r="J31" i="29"/>
  <c r="J29" i="29"/>
  <c r="J27" i="29"/>
  <c r="J25" i="29"/>
  <c r="J24" i="29"/>
  <c r="J22" i="29"/>
  <c r="J21" i="29"/>
  <c r="J20" i="29"/>
  <c r="J15" i="29"/>
  <c r="N12" i="29"/>
  <c r="J16" i="29"/>
  <c r="J18" i="29"/>
  <c r="H18" i="29"/>
  <c r="L20" i="29"/>
  <c r="X21" i="29"/>
  <c r="L21" i="31"/>
  <c r="Z29" i="34"/>
  <c r="Z34" i="34"/>
  <c r="Z22" i="35"/>
  <c r="L20" i="38"/>
  <c r="L34" i="4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0" i="23"/>
  <c r="J18" i="23"/>
  <c r="J16" i="23"/>
  <c r="J15" i="23"/>
  <c r="H18" i="23"/>
  <c r="J21" i="23"/>
  <c r="X13" i="23"/>
  <c r="Z15" i="23"/>
  <c r="X21" i="23"/>
  <c r="N15" i="25"/>
  <c r="L21" i="25"/>
  <c r="L16" i="26"/>
  <c r="L20" i="26"/>
  <c r="N16" i="28"/>
  <c r="X33" i="28"/>
  <c r="N15" i="29"/>
  <c r="Z16" i="29"/>
  <c r="L13" i="31"/>
  <c r="L33" i="31"/>
  <c r="N15" i="32"/>
  <c r="Z25" i="32"/>
  <c r="L16" i="34"/>
  <c r="L15" i="35"/>
  <c r="Z33" i="35"/>
  <c r="N16" i="37"/>
  <c r="Z15" i="40"/>
  <c r="N15" i="20"/>
  <c r="L21" i="20"/>
  <c r="Z21" i="22"/>
  <c r="X25" i="22"/>
  <c r="X29" i="22"/>
  <c r="X33" i="22"/>
  <c r="X34" i="22"/>
  <c r="Z13" i="23"/>
  <c r="Z16" i="23"/>
  <c r="Z20" i="23"/>
  <c r="X22" i="23"/>
  <c r="X24" i="23"/>
  <c r="N16" i="25"/>
  <c r="N20" i="25"/>
  <c r="L22" i="25"/>
  <c r="L24" i="25"/>
  <c r="N15" i="26"/>
  <c r="L21" i="26"/>
  <c r="N21" i="28"/>
  <c r="Z22" i="28"/>
  <c r="L25" i="28"/>
  <c r="N20" i="29"/>
  <c r="Z21" i="29"/>
  <c r="L24" i="29"/>
  <c r="X25" i="29"/>
  <c r="N21" i="31"/>
  <c r="X33" i="31"/>
  <c r="N16" i="34"/>
  <c r="N15" i="35"/>
  <c r="X20" i="38"/>
  <c r="L16" i="40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X12" i="22"/>
  <c r="Z22" i="22"/>
  <c r="Z24" i="22"/>
  <c r="Z21" i="23"/>
  <c r="X25" i="23"/>
  <c r="X29" i="23"/>
  <c r="X33" i="23"/>
  <c r="X34" i="23"/>
  <c r="L13" i="25"/>
  <c r="N21" i="25"/>
  <c r="L25" i="25"/>
  <c r="L29" i="25"/>
  <c r="L33" i="25"/>
  <c r="L34" i="25"/>
  <c r="N16" i="26"/>
  <c r="N20" i="26"/>
  <c r="L22" i="26"/>
  <c r="L24" i="26"/>
  <c r="L15" i="28"/>
  <c r="Z33" i="28"/>
  <c r="P18" i="29"/>
  <c r="R15" i="29"/>
  <c r="R36" i="29"/>
  <c r="R31" i="29"/>
  <c r="R25" i="29"/>
  <c r="R21" i="29"/>
  <c r="R16" i="29"/>
  <c r="R33" i="29"/>
  <c r="R27" i="29"/>
  <c r="R22" i="29"/>
  <c r="R18" i="29"/>
  <c r="R34" i="29"/>
  <c r="R29" i="29"/>
  <c r="X12" i="29"/>
  <c r="R24" i="29"/>
  <c r="R20" i="29"/>
  <c r="L29" i="29"/>
  <c r="L34" i="29"/>
  <c r="Z21" i="31"/>
  <c r="L29" i="31"/>
  <c r="L20" i="32"/>
  <c r="L22" i="32"/>
  <c r="Z16" i="34"/>
  <c r="Z15" i="35"/>
  <c r="F24" i="38"/>
  <c r="F22" i="38"/>
  <c r="F21" i="38"/>
  <c r="L12" i="38"/>
  <c r="F34" i="38"/>
  <c r="F31" i="38"/>
  <c r="F27" i="38"/>
  <c r="F18" i="38"/>
  <c r="D18" i="38"/>
  <c r="F15" i="38"/>
  <c r="F36" i="38"/>
  <c r="F33" i="38"/>
  <c r="F29" i="38"/>
  <c r="F25" i="38"/>
  <c r="F20" i="38"/>
  <c r="F16" i="38"/>
  <c r="X22" i="50"/>
  <c r="N15" i="34"/>
  <c r="L21" i="34"/>
  <c r="L16" i="35"/>
  <c r="L20" i="35"/>
  <c r="X13" i="37"/>
  <c r="N25" i="37"/>
  <c r="N29" i="37"/>
  <c r="N33" i="37"/>
  <c r="N13" i="38"/>
  <c r="N22" i="38"/>
  <c r="Z21" i="40"/>
  <c r="X34" i="40"/>
  <c r="L22" i="41"/>
  <c r="X25" i="50"/>
  <c r="X15" i="28"/>
  <c r="N25" i="28"/>
  <c r="N29" i="28"/>
  <c r="N33" i="28"/>
  <c r="N34" i="28"/>
  <c r="N13" i="29"/>
  <c r="N22" i="29"/>
  <c r="N24" i="29"/>
  <c r="N13" i="31"/>
  <c r="N22" i="31"/>
  <c r="N24" i="31"/>
  <c r="L13" i="32"/>
  <c r="N21" i="32"/>
  <c r="L25" i="32"/>
  <c r="L29" i="32"/>
  <c r="L33" i="32"/>
  <c r="L34" i="32"/>
  <c r="L13" i="34"/>
  <c r="N21" i="34"/>
  <c r="L25" i="34"/>
  <c r="L29" i="34"/>
  <c r="L33" i="34"/>
  <c r="L34" i="34"/>
  <c r="N16" i="35"/>
  <c r="N20" i="35"/>
  <c r="L22" i="35"/>
  <c r="L24" i="35"/>
  <c r="Z16" i="37"/>
  <c r="Z20" i="37"/>
  <c r="X22" i="37"/>
  <c r="X13" i="38"/>
  <c r="X16" i="41"/>
  <c r="N16" i="47"/>
  <c r="Z29" i="53"/>
  <c r="D18" i="28"/>
  <c r="F15" i="28"/>
  <c r="F36" i="28"/>
  <c r="F31" i="28"/>
  <c r="F25" i="28"/>
  <c r="F21" i="28"/>
  <c r="F16" i="28"/>
  <c r="F33" i="28"/>
  <c r="F27" i="28"/>
  <c r="F22" i="28"/>
  <c r="F18" i="28"/>
  <c r="F34" i="28"/>
  <c r="F29" i="28"/>
  <c r="F20" i="28"/>
  <c r="L12" i="28"/>
  <c r="F24" i="28"/>
  <c r="X16" i="28"/>
  <c r="X20" i="28"/>
  <c r="X15" i="29"/>
  <c r="N25" i="29"/>
  <c r="N29" i="29"/>
  <c r="N33" i="29"/>
  <c r="N34" i="29"/>
  <c r="X15" i="31"/>
  <c r="N25" i="31"/>
  <c r="N29" i="31"/>
  <c r="N33" i="31"/>
  <c r="N34" i="31"/>
  <c r="N13" i="32"/>
  <c r="N22" i="32"/>
  <c r="N24" i="32"/>
  <c r="N13" i="34"/>
  <c r="N22" i="34"/>
  <c r="N24" i="34"/>
  <c r="L13" i="35"/>
  <c r="N21" i="35"/>
  <c r="L25" i="35"/>
  <c r="L29" i="35"/>
  <c r="L33" i="35"/>
  <c r="L34" i="35"/>
  <c r="L15" i="37"/>
  <c r="Z22" i="37"/>
  <c r="X25" i="38"/>
  <c r="X29" i="38"/>
  <c r="X33" i="38"/>
  <c r="N20" i="47"/>
  <c r="J36" i="28"/>
  <c r="J34" i="28"/>
  <c r="J33" i="28"/>
  <c r="J31" i="28"/>
  <c r="J29" i="28"/>
  <c r="J27" i="28"/>
  <c r="J25" i="28"/>
  <c r="J24" i="28"/>
  <c r="J22" i="28"/>
  <c r="J21" i="28"/>
  <c r="J16" i="28"/>
  <c r="J18" i="28"/>
  <c r="H18" i="28"/>
  <c r="J15" i="28"/>
  <c r="N12" i="28"/>
  <c r="J20" i="28"/>
  <c r="X13" i="28"/>
  <c r="Z15" i="28"/>
  <c r="X21" i="28"/>
  <c r="F36" i="29"/>
  <c r="F34" i="29"/>
  <c r="F33" i="29"/>
  <c r="F31" i="29"/>
  <c r="F29" i="29"/>
  <c r="F27" i="29"/>
  <c r="F25" i="29"/>
  <c r="F24" i="29"/>
  <c r="F20" i="29"/>
  <c r="L12" i="29"/>
  <c r="F15" i="29"/>
  <c r="F21" i="29"/>
  <c r="F16" i="29"/>
  <c r="F22" i="29"/>
  <c r="F18" i="29"/>
  <c r="D18" i="29"/>
  <c r="X16" i="29"/>
  <c r="X20" i="29"/>
  <c r="L12" i="31"/>
  <c r="F36" i="31"/>
  <c r="F34" i="31"/>
  <c r="F33" i="31"/>
  <c r="F31" i="31"/>
  <c r="F29" i="31"/>
  <c r="F27" i="31"/>
  <c r="F25" i="31"/>
  <c r="F15" i="31"/>
  <c r="F18" i="31"/>
  <c r="F21" i="31"/>
  <c r="D18" i="31"/>
  <c r="F24" i="31"/>
  <c r="F16" i="31"/>
  <c r="F22" i="31"/>
  <c r="F20" i="31"/>
  <c r="X16" i="31"/>
  <c r="X20" i="31"/>
  <c r="X15" i="32"/>
  <c r="N25" i="32"/>
  <c r="N29" i="32"/>
  <c r="N33" i="32"/>
  <c r="N34" i="32"/>
  <c r="X15" i="34"/>
  <c r="N25" i="34"/>
  <c r="N29" i="34"/>
  <c r="N33" i="34"/>
  <c r="N34" i="34"/>
  <c r="N13" i="35"/>
  <c r="N22" i="35"/>
  <c r="N24" i="35"/>
  <c r="N15" i="37"/>
  <c r="L21" i="37"/>
  <c r="L24" i="40"/>
  <c r="J36" i="31"/>
  <c r="J34" i="31"/>
  <c r="J33" i="31"/>
  <c r="J31" i="31"/>
  <c r="J29" i="31"/>
  <c r="J27" i="31"/>
  <c r="J25" i="31"/>
  <c r="J24" i="31"/>
  <c r="J22" i="31"/>
  <c r="J21" i="31"/>
  <c r="H18" i="31"/>
  <c r="J16" i="31"/>
  <c r="J20" i="31"/>
  <c r="N12" i="31"/>
  <c r="J15" i="31"/>
  <c r="J18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15" i="32"/>
  <c r="F18" i="32"/>
  <c r="F21" i="32"/>
  <c r="D18" i="32"/>
  <c r="L12" i="32"/>
  <c r="F20" i="32"/>
  <c r="F16" i="32"/>
  <c r="X16" i="32"/>
  <c r="X20" i="32"/>
  <c r="F36" i="34"/>
  <c r="F34" i="34"/>
  <c r="F33" i="34"/>
  <c r="F31" i="34"/>
  <c r="F29" i="34"/>
  <c r="F27" i="34"/>
  <c r="F25" i="34"/>
  <c r="F24" i="34"/>
  <c r="F22" i="34"/>
  <c r="F20" i="34"/>
  <c r="F18" i="34"/>
  <c r="F16" i="34"/>
  <c r="L12" i="34"/>
  <c r="F21" i="34"/>
  <c r="F15" i="34"/>
  <c r="D18" i="34"/>
  <c r="X16" i="34"/>
  <c r="X20" i="34"/>
  <c r="X15" i="35"/>
  <c r="N25" i="35"/>
  <c r="N29" i="35"/>
  <c r="N33" i="35"/>
  <c r="N34" i="35"/>
  <c r="J21" i="37"/>
  <c r="J20" i="37"/>
  <c r="J18" i="37"/>
  <c r="J16" i="37"/>
  <c r="N12" i="37"/>
  <c r="J36" i="37"/>
  <c r="J34" i="37"/>
  <c r="J33" i="37"/>
  <c r="J31" i="37"/>
  <c r="J29" i="37"/>
  <c r="J27" i="37"/>
  <c r="J25" i="37"/>
  <c r="J24" i="37"/>
  <c r="H18" i="37"/>
  <c r="J15" i="37"/>
  <c r="J22" i="37"/>
  <c r="L24" i="37"/>
  <c r="N15" i="38"/>
  <c r="L21" i="38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J15" i="32"/>
  <c r="H18" i="32"/>
  <c r="X13" i="32"/>
  <c r="Z15" i="32"/>
  <c r="X21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J15" i="34"/>
  <c r="H18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D18" i="35"/>
  <c r="F15" i="35"/>
  <c r="F20" i="35"/>
  <c r="F18" i="35"/>
  <c r="F16" i="35"/>
  <c r="X16" i="35"/>
  <c r="X20" i="35"/>
  <c r="X15" i="37"/>
  <c r="N34" i="37"/>
  <c r="N24" i="38"/>
  <c r="L20" i="40"/>
  <c r="V21" i="41"/>
  <c r="V20" i="41"/>
  <c r="V18" i="41"/>
  <c r="V16" i="41"/>
  <c r="V36" i="41"/>
  <c r="V34" i="41"/>
  <c r="V33" i="41"/>
  <c r="V31" i="41"/>
  <c r="V29" i="41"/>
  <c r="V27" i="41"/>
  <c r="V25" i="41"/>
  <c r="Z12" i="41"/>
  <c r="T18" i="41"/>
  <c r="V22" i="41"/>
  <c r="V24" i="41"/>
  <c r="V15" i="41"/>
  <c r="N21" i="43"/>
  <c r="Z22" i="49"/>
  <c r="Z21" i="43"/>
  <c r="N22" i="44"/>
  <c r="L34" i="47"/>
  <c r="X34" i="49"/>
  <c r="R36" i="31"/>
  <c r="R34" i="31"/>
  <c r="R33" i="31"/>
  <c r="R31" i="31"/>
  <c r="R29" i="31"/>
  <c r="R27" i="31"/>
  <c r="R25" i="31"/>
  <c r="R21" i="31"/>
  <c r="R20" i="31"/>
  <c r="R18" i="31"/>
  <c r="R16" i="31"/>
  <c r="P18" i="31"/>
  <c r="R15" i="31"/>
  <c r="R24" i="31"/>
  <c r="X12" i="31"/>
  <c r="R22" i="31"/>
  <c r="Z22" i="31"/>
  <c r="Z24" i="31"/>
  <c r="Z21" i="32"/>
  <c r="X25" i="32"/>
  <c r="X29" i="32"/>
  <c r="X33" i="32"/>
  <c r="X34" i="32"/>
  <c r="Z21" i="34"/>
  <c r="X25" i="34"/>
  <c r="X29" i="34"/>
  <c r="X33" i="34"/>
  <c r="X34" i="34"/>
  <c r="Z13" i="35"/>
  <c r="Z16" i="35"/>
  <c r="Z20" i="35"/>
  <c r="X22" i="35"/>
  <c r="X24" i="35"/>
  <c r="V36" i="37"/>
  <c r="V34" i="37"/>
  <c r="V33" i="37"/>
  <c r="V31" i="37"/>
  <c r="V29" i="37"/>
  <c r="V27" i="37"/>
  <c r="V25" i="37"/>
  <c r="V24" i="37"/>
  <c r="V22" i="37"/>
  <c r="V20" i="37"/>
  <c r="V18" i="37"/>
  <c r="V16" i="37"/>
  <c r="V21" i="37"/>
  <c r="Z12" i="37"/>
  <c r="T18" i="37"/>
  <c r="V15" i="37"/>
  <c r="X24" i="37"/>
  <c r="J20" i="38"/>
  <c r="J18" i="38"/>
  <c r="J16" i="38"/>
  <c r="H18" i="38"/>
  <c r="J15" i="38"/>
  <c r="J24" i="38"/>
  <c r="J22" i="38"/>
  <c r="N12" i="38"/>
  <c r="J21" i="38"/>
  <c r="J31" i="38"/>
  <c r="J29" i="38"/>
  <c r="J27" i="38"/>
  <c r="J36" i="38"/>
  <c r="J25" i="38"/>
  <c r="J34" i="38"/>
  <c r="J33" i="38"/>
  <c r="Z15" i="38"/>
  <c r="X21" i="38"/>
  <c r="X20" i="40"/>
  <c r="X20" i="41"/>
  <c r="L13" i="46"/>
  <c r="L16" i="28"/>
  <c r="L20" i="28"/>
  <c r="V24" i="29"/>
  <c r="V22" i="29"/>
  <c r="V21" i="29"/>
  <c r="V16" i="29"/>
  <c r="V33" i="29"/>
  <c r="V27" i="29"/>
  <c r="V18" i="29"/>
  <c r="T18" i="29"/>
  <c r="V34" i="29"/>
  <c r="V29" i="29"/>
  <c r="V15" i="29"/>
  <c r="Z12" i="29"/>
  <c r="V25" i="29"/>
  <c r="V36" i="29"/>
  <c r="V20" i="29"/>
  <c r="V31" i="29"/>
  <c r="L15" i="29"/>
  <c r="Z25" i="29"/>
  <c r="Z29" i="29"/>
  <c r="Z33" i="29"/>
  <c r="Z34" i="29"/>
  <c r="V24" i="31"/>
  <c r="V22" i="31"/>
  <c r="V21" i="31"/>
  <c r="T18" i="31"/>
  <c r="V15" i="31"/>
  <c r="V33" i="31"/>
  <c r="V36" i="31"/>
  <c r="V27" i="31"/>
  <c r="V16" i="31"/>
  <c r="Z12" i="31"/>
  <c r="V31" i="31"/>
  <c r="V20" i="31"/>
  <c r="V34" i="31"/>
  <c r="V25" i="31"/>
  <c r="V29" i="31"/>
  <c r="V18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0" i="32"/>
  <c r="R18" i="32"/>
  <c r="R16" i="32"/>
  <c r="P18" i="32"/>
  <c r="R15" i="32"/>
  <c r="R21" i="32"/>
  <c r="X12" i="32"/>
  <c r="Z22" i="32"/>
  <c r="Z24" i="32"/>
  <c r="R36" i="34"/>
  <c r="R34" i="34"/>
  <c r="R33" i="34"/>
  <c r="R31" i="34"/>
  <c r="R29" i="34"/>
  <c r="R27" i="34"/>
  <c r="R25" i="34"/>
  <c r="R24" i="34"/>
  <c r="R22" i="34"/>
  <c r="R20" i="34"/>
  <c r="R18" i="34"/>
  <c r="R16" i="34"/>
  <c r="P18" i="34"/>
  <c r="R15" i="34"/>
  <c r="R21" i="34"/>
  <c r="X12" i="34"/>
  <c r="Z22" i="34"/>
  <c r="Z24" i="34"/>
  <c r="Z21" i="35"/>
  <c r="X25" i="35"/>
  <c r="X29" i="35"/>
  <c r="X33" i="35"/>
  <c r="X34" i="35"/>
  <c r="Z24" i="37"/>
  <c r="Z21" i="38"/>
  <c r="X34" i="38"/>
  <c r="X13" i="40"/>
  <c r="F36" i="37"/>
  <c r="F34" i="37"/>
  <c r="F33" i="37"/>
  <c r="F31" i="37"/>
  <c r="F29" i="37"/>
  <c r="F27" i="37"/>
  <c r="F25" i="37"/>
  <c r="F24" i="37"/>
  <c r="F22" i="37"/>
  <c r="D18" i="37"/>
  <c r="F15" i="37"/>
  <c r="L12" i="37"/>
  <c r="F21" i="37"/>
  <c r="F18" i="37"/>
  <c r="F16" i="37"/>
  <c r="F20" i="37"/>
  <c r="X16" i="37"/>
  <c r="X20" i="37"/>
  <c r="X15" i="38"/>
  <c r="N25" i="38"/>
  <c r="N29" i="38"/>
  <c r="N33" i="38"/>
  <c r="N34" i="38"/>
  <c r="N25" i="40"/>
  <c r="N33" i="40"/>
  <c r="N13" i="41"/>
  <c r="Z15" i="41"/>
  <c r="X24" i="41"/>
  <c r="Z33" i="41"/>
  <c r="Z15" i="43"/>
  <c r="X34" i="43"/>
  <c r="L20" i="47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Z21" i="37"/>
  <c r="X25" i="37"/>
  <c r="X29" i="37"/>
  <c r="X33" i="37"/>
  <c r="X34" i="37"/>
  <c r="Z13" i="38"/>
  <c r="Z16" i="38"/>
  <c r="Z20" i="38"/>
  <c r="X22" i="38"/>
  <c r="X24" i="38"/>
  <c r="Z13" i="40"/>
  <c r="Z20" i="40"/>
  <c r="X13" i="41"/>
  <c r="L16" i="41"/>
  <c r="Z20" i="41"/>
  <c r="X22" i="43"/>
  <c r="L33" i="46"/>
  <c r="Z13" i="50"/>
  <c r="Z33" i="53"/>
  <c r="F36" i="40"/>
  <c r="F34" i="40"/>
  <c r="F33" i="40"/>
  <c r="F31" i="40"/>
  <c r="F29" i="40"/>
  <c r="F27" i="40"/>
  <c r="F25" i="40"/>
  <c r="F20" i="40"/>
  <c r="F21" i="40"/>
  <c r="L12" i="40"/>
  <c r="F22" i="40"/>
  <c r="F15" i="40"/>
  <c r="F16" i="40"/>
  <c r="F18" i="40"/>
  <c r="F24" i="40"/>
  <c r="D18" i="40"/>
  <c r="N16" i="40"/>
  <c r="L22" i="40"/>
  <c r="X25" i="40"/>
  <c r="X33" i="40"/>
  <c r="Z13" i="41"/>
  <c r="N34" i="41"/>
  <c r="Z16" i="43"/>
  <c r="Z22" i="43"/>
  <c r="L24" i="44"/>
  <c r="L21" i="46"/>
  <c r="X13" i="49"/>
  <c r="X16" i="50"/>
  <c r="Z25" i="37"/>
  <c r="Z29" i="37"/>
  <c r="Z33" i="37"/>
  <c r="Z34" i="37"/>
  <c r="R36" i="38"/>
  <c r="R34" i="38"/>
  <c r="R33" i="38"/>
  <c r="R31" i="38"/>
  <c r="R29" i="38"/>
  <c r="R27" i="38"/>
  <c r="R25" i="38"/>
  <c r="R21" i="38"/>
  <c r="R24" i="38"/>
  <c r="R18" i="38"/>
  <c r="R22" i="38"/>
  <c r="R20" i="38"/>
  <c r="R16" i="38"/>
  <c r="P18" i="38"/>
  <c r="R15" i="38"/>
  <c r="X12" i="38"/>
  <c r="Z22" i="38"/>
  <c r="Z24" i="38"/>
  <c r="J21" i="40"/>
  <c r="J34" i="40"/>
  <c r="J27" i="40"/>
  <c r="J36" i="40"/>
  <c r="J29" i="40"/>
  <c r="J15" i="40"/>
  <c r="N12" i="40"/>
  <c r="J22" i="40"/>
  <c r="J16" i="40"/>
  <c r="J31" i="40"/>
  <c r="J24" i="40"/>
  <c r="J33" i="40"/>
  <c r="J25" i="40"/>
  <c r="J18" i="40"/>
  <c r="H18" i="40"/>
  <c r="J20" i="40"/>
  <c r="L29" i="40"/>
  <c r="F24" i="41"/>
  <c r="F22" i="41"/>
  <c r="F36" i="41"/>
  <c r="F20" i="41"/>
  <c r="F33" i="41"/>
  <c r="L12" i="41"/>
  <c r="F29" i="41"/>
  <c r="F21" i="41"/>
  <c r="F15" i="41"/>
  <c r="F25" i="41"/>
  <c r="F16" i="41"/>
  <c r="F34" i="41"/>
  <c r="D18" i="41"/>
  <c r="F31" i="41"/>
  <c r="F27" i="41"/>
  <c r="F18" i="41"/>
  <c r="L15" i="41"/>
  <c r="N16" i="41"/>
  <c r="L21" i="41"/>
  <c r="X22" i="41"/>
  <c r="N25" i="41"/>
  <c r="F36" i="44"/>
  <c r="F24" i="44"/>
  <c r="F22" i="44"/>
  <c r="F20" i="44"/>
  <c r="F18" i="44"/>
  <c r="F16" i="44"/>
  <c r="D18" i="44"/>
  <c r="F15" i="44"/>
  <c r="F27" i="44"/>
  <c r="F25" i="44"/>
  <c r="L12" i="44"/>
  <c r="F31" i="44"/>
  <c r="F34" i="44"/>
  <c r="F21" i="44"/>
  <c r="F33" i="44"/>
  <c r="F29" i="44"/>
  <c r="X24" i="44"/>
  <c r="N21" i="46"/>
  <c r="L24" i="47"/>
  <c r="Z16" i="50"/>
  <c r="V36" i="53"/>
  <c r="V34" i="53"/>
  <c r="V33" i="53"/>
  <c r="V31" i="53"/>
  <c r="V29" i="53"/>
  <c r="V27" i="53"/>
  <c r="V25" i="53"/>
  <c r="V21" i="53"/>
  <c r="V20" i="53"/>
  <c r="V18" i="53"/>
  <c r="V16" i="53"/>
  <c r="V24" i="53"/>
  <c r="T18" i="53"/>
  <c r="V15" i="53"/>
  <c r="Z12" i="53"/>
  <c r="V22" i="53"/>
  <c r="L16" i="37"/>
  <c r="L20" i="37"/>
  <c r="V24" i="38"/>
  <c r="V22" i="38"/>
  <c r="V21" i="38"/>
  <c r="T18" i="38"/>
  <c r="V15" i="38"/>
  <c r="V18" i="38"/>
  <c r="V36" i="38"/>
  <c r="V33" i="38"/>
  <c r="V29" i="38"/>
  <c r="V25" i="38"/>
  <c r="V20" i="38"/>
  <c r="V16" i="38"/>
  <c r="V27" i="38"/>
  <c r="V34" i="38"/>
  <c r="Z12" i="38"/>
  <c r="V31" i="38"/>
  <c r="L15" i="38"/>
  <c r="Z25" i="38"/>
  <c r="Z29" i="38"/>
  <c r="Z33" i="38"/>
  <c r="Z34" i="38"/>
  <c r="N15" i="40"/>
  <c r="L21" i="40"/>
  <c r="X24" i="40"/>
  <c r="N29" i="40"/>
  <c r="N12" i="41"/>
  <c r="J36" i="41"/>
  <c r="J34" i="41"/>
  <c r="J33" i="41"/>
  <c r="J31" i="41"/>
  <c r="J29" i="41"/>
  <c r="J27" i="41"/>
  <c r="J25" i="41"/>
  <c r="J20" i="41"/>
  <c r="J18" i="41"/>
  <c r="J16" i="41"/>
  <c r="J24" i="41"/>
  <c r="J21" i="41"/>
  <c r="J22" i="41"/>
  <c r="H18" i="41"/>
  <c r="J15" i="41"/>
  <c r="J24" i="44"/>
  <c r="J22" i="44"/>
  <c r="J20" i="44"/>
  <c r="J18" i="44"/>
  <c r="J16" i="44"/>
  <c r="J36" i="44"/>
  <c r="J33" i="44"/>
  <c r="J29" i="44"/>
  <c r="J21" i="44"/>
  <c r="J25" i="44"/>
  <c r="N12" i="44"/>
  <c r="J34" i="44"/>
  <c r="H18" i="44"/>
  <c r="J27" i="44"/>
  <c r="J15" i="44"/>
  <c r="J31" i="44"/>
  <c r="Z24" i="44"/>
  <c r="X16" i="52"/>
  <c r="X16" i="40"/>
  <c r="N15" i="41"/>
  <c r="N29" i="41"/>
  <c r="Z34" i="41"/>
  <c r="X12" i="44"/>
  <c r="R29" i="44"/>
  <c r="R21" i="44"/>
  <c r="R25" i="44"/>
  <c r="R18" i="44"/>
  <c r="R27" i="44"/>
  <c r="R15" i="44"/>
  <c r="R33" i="44"/>
  <c r="R24" i="44"/>
  <c r="R20" i="44"/>
  <c r="R31" i="44"/>
  <c r="P18" i="44"/>
  <c r="R22" i="44"/>
  <c r="R34" i="44"/>
  <c r="R16" i="44"/>
  <c r="R36" i="44"/>
  <c r="X29" i="49"/>
  <c r="L20" i="52"/>
  <c r="L24" i="41"/>
  <c r="Z25" i="41"/>
  <c r="Z12" i="43"/>
  <c r="V36" i="43"/>
  <c r="V34" i="43"/>
  <c r="V33" i="43"/>
  <c r="V31" i="43"/>
  <c r="V29" i="43"/>
  <c r="V27" i="43"/>
  <c r="V25" i="43"/>
  <c r="V20" i="43"/>
  <c r="V24" i="43"/>
  <c r="V16" i="43"/>
  <c r="V21" i="43"/>
  <c r="V18" i="43"/>
  <c r="V15" i="43"/>
  <c r="T18" i="43"/>
  <c r="V22" i="43"/>
  <c r="N25" i="43"/>
  <c r="L33" i="43"/>
  <c r="N13" i="44"/>
  <c r="X33" i="44"/>
  <c r="L13" i="37"/>
  <c r="N21" i="37"/>
  <c r="L25" i="37"/>
  <c r="L29" i="37"/>
  <c r="L33" i="37"/>
  <c r="L34" i="37"/>
  <c r="N16" i="38"/>
  <c r="N20" i="38"/>
  <c r="L22" i="38"/>
  <c r="L24" i="38"/>
  <c r="X15" i="40"/>
  <c r="Z16" i="40"/>
  <c r="X22" i="40"/>
  <c r="N34" i="40"/>
  <c r="X21" i="41"/>
  <c r="N24" i="41"/>
  <c r="N33" i="41"/>
  <c r="L13" i="43"/>
  <c r="Z20" i="44"/>
  <c r="X25" i="44"/>
  <c r="L25" i="46"/>
  <c r="X33" i="49"/>
  <c r="N13" i="37"/>
  <c r="N22" i="37"/>
  <c r="N24" i="37"/>
  <c r="L13" i="38"/>
  <c r="N21" i="38"/>
  <c r="L25" i="38"/>
  <c r="L29" i="38"/>
  <c r="L33" i="38"/>
  <c r="L34" i="38"/>
  <c r="N20" i="40"/>
  <c r="X29" i="40"/>
  <c r="X15" i="41"/>
  <c r="Z16" i="41"/>
  <c r="N20" i="41"/>
  <c r="Z29" i="41"/>
  <c r="Z13" i="43"/>
  <c r="X25" i="43"/>
  <c r="L29" i="47"/>
  <c r="Z21" i="50"/>
  <c r="L21" i="53"/>
  <c r="L20" i="41"/>
  <c r="P18" i="43"/>
  <c r="R15" i="43"/>
  <c r="X12" i="43"/>
  <c r="R27" i="43"/>
  <c r="R36" i="43"/>
  <c r="R20" i="43"/>
  <c r="R16" i="43"/>
  <c r="R21" i="43"/>
  <c r="R25" i="43"/>
  <c r="R31" i="43"/>
  <c r="R22" i="43"/>
  <c r="R33" i="43"/>
  <c r="R24" i="43"/>
  <c r="R18" i="43"/>
  <c r="R29" i="43"/>
  <c r="R34" i="43"/>
  <c r="L29" i="43"/>
  <c r="Z16" i="44"/>
  <c r="X20" i="44"/>
  <c r="L22" i="44"/>
  <c r="N16" i="46"/>
  <c r="N15" i="47"/>
  <c r="Z13" i="49"/>
  <c r="X22" i="49"/>
  <c r="J24" i="50"/>
  <c r="J22" i="50"/>
  <c r="J21" i="50"/>
  <c r="J20" i="50"/>
  <c r="J18" i="50"/>
  <c r="J16" i="50"/>
  <c r="H18" i="50"/>
  <c r="J15" i="50"/>
  <c r="J34" i="50"/>
  <c r="J29" i="50"/>
  <c r="J33" i="50"/>
  <c r="J27" i="50"/>
  <c r="J36" i="50"/>
  <c r="J31" i="50"/>
  <c r="J25" i="50"/>
  <c r="N12" i="50"/>
  <c r="X21" i="50"/>
  <c r="Z20" i="53"/>
  <c r="N13" i="40"/>
  <c r="N22" i="40"/>
  <c r="N24" i="40"/>
  <c r="L13" i="41"/>
  <c r="N21" i="41"/>
  <c r="L25" i="41"/>
  <c r="L29" i="41"/>
  <c r="L33" i="41"/>
  <c r="L34" i="41"/>
  <c r="X21" i="43"/>
  <c r="N33" i="43"/>
  <c r="Z34" i="43"/>
  <c r="L16" i="47"/>
  <c r="Z15" i="49"/>
  <c r="Z16" i="52"/>
  <c r="L24" i="52"/>
  <c r="X13" i="43"/>
  <c r="Z25" i="43"/>
  <c r="X29" i="43"/>
  <c r="Z15" i="44"/>
  <c r="X22" i="44"/>
  <c r="L22" i="46"/>
  <c r="L21" i="47"/>
  <c r="Z20" i="49"/>
  <c r="X24" i="49"/>
  <c r="X13" i="50"/>
  <c r="L25" i="52"/>
  <c r="X33" i="52"/>
  <c r="X22" i="53"/>
  <c r="X24" i="43"/>
  <c r="Z29" i="43"/>
  <c r="X33" i="43"/>
  <c r="Z22" i="44"/>
  <c r="X34" i="44"/>
  <c r="N13" i="46"/>
  <c r="N22" i="46"/>
  <c r="N21" i="47"/>
  <c r="L25" i="47"/>
  <c r="Z24" i="49"/>
  <c r="X33" i="50"/>
  <c r="F21" i="52"/>
  <c r="F16" i="52"/>
  <c r="F33" i="52"/>
  <c r="F27" i="52"/>
  <c r="F22" i="52"/>
  <c r="F18" i="52"/>
  <c r="F34" i="52"/>
  <c r="F29" i="52"/>
  <c r="D18" i="52"/>
  <c r="F24" i="52"/>
  <c r="F36" i="52"/>
  <c r="F15" i="52"/>
  <c r="L12" i="52"/>
  <c r="F20" i="52"/>
  <c r="F31" i="52"/>
  <c r="F25" i="52"/>
  <c r="X15" i="53"/>
  <c r="N15" i="46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21" i="49"/>
  <c r="X20" i="50"/>
  <c r="N20" i="52"/>
  <c r="Z15" i="53"/>
  <c r="L24" i="53"/>
  <c r="L15" i="43"/>
  <c r="Z24" i="43"/>
  <c r="Z33" i="43"/>
  <c r="N16" i="44"/>
  <c r="X21" i="44"/>
  <c r="N24" i="44"/>
  <c r="N20" i="46"/>
  <c r="L24" i="46"/>
  <c r="Z16" i="49"/>
  <c r="Z15" i="50"/>
  <c r="N21" i="52"/>
  <c r="R36" i="40"/>
  <c r="R34" i="40"/>
  <c r="R33" i="40"/>
  <c r="R31" i="40"/>
  <c r="R29" i="40"/>
  <c r="R27" i="40"/>
  <c r="R25" i="40"/>
  <c r="R22" i="40"/>
  <c r="R15" i="40"/>
  <c r="R24" i="40"/>
  <c r="R18" i="40"/>
  <c r="P18" i="40"/>
  <c r="R21" i="40"/>
  <c r="R20" i="40"/>
  <c r="X12" i="40"/>
  <c r="R16" i="40"/>
  <c r="Z22" i="40"/>
  <c r="Z24" i="40"/>
  <c r="Z21" i="41"/>
  <c r="X25" i="41"/>
  <c r="X29" i="41"/>
  <c r="X33" i="41"/>
  <c r="X34" i="41"/>
  <c r="J36" i="43"/>
  <c r="J34" i="43"/>
  <c r="J33" i="43"/>
  <c r="J31" i="43"/>
  <c r="J29" i="43"/>
  <c r="J27" i="43"/>
  <c r="J25" i="43"/>
  <c r="J21" i="43"/>
  <c r="H18" i="43"/>
  <c r="J15" i="43"/>
  <c r="J22" i="43"/>
  <c r="J20" i="43"/>
  <c r="J24" i="43"/>
  <c r="J16" i="43"/>
  <c r="N12" i="43"/>
  <c r="J18" i="43"/>
  <c r="Z20" i="43"/>
  <c r="L34" i="43"/>
  <c r="X13" i="44"/>
  <c r="X29" i="44"/>
  <c r="L29" i="46"/>
  <c r="L34" i="46"/>
  <c r="L22" i="47"/>
  <c r="Z21" i="49"/>
  <c r="X25" i="49"/>
  <c r="Z20" i="50"/>
  <c r="X24" i="50"/>
  <c r="Z25" i="53"/>
  <c r="V24" i="40"/>
  <c r="V22" i="40"/>
  <c r="V21" i="40"/>
  <c r="V16" i="40"/>
  <c r="Z12" i="40"/>
  <c r="V18" i="40"/>
  <c r="T18" i="40"/>
  <c r="V33" i="40"/>
  <c r="V25" i="40"/>
  <c r="V20" i="40"/>
  <c r="V15" i="40"/>
  <c r="V31" i="40"/>
  <c r="V36" i="40"/>
  <c r="V29" i="40"/>
  <c r="V34" i="40"/>
  <c r="V27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1" i="41"/>
  <c r="R16" i="41"/>
  <c r="X12" i="41"/>
  <c r="R18" i="41"/>
  <c r="P18" i="41"/>
  <c r="R20" i="41"/>
  <c r="R15" i="41"/>
  <c r="Z22" i="41"/>
  <c r="Z24" i="41"/>
  <c r="X15" i="43"/>
  <c r="L25" i="43"/>
  <c r="N34" i="43"/>
  <c r="Z13" i="44"/>
  <c r="X16" i="44"/>
  <c r="N20" i="44"/>
  <c r="Z21" i="44"/>
  <c r="N24" i="46"/>
  <c r="L13" i="47"/>
  <c r="L33" i="47"/>
  <c r="P18" i="49"/>
  <c r="R15" i="49"/>
  <c r="X12" i="49"/>
  <c r="R36" i="49"/>
  <c r="R31" i="49"/>
  <c r="R25" i="49"/>
  <c r="R21" i="49"/>
  <c r="R16" i="49"/>
  <c r="R34" i="49"/>
  <c r="R29" i="49"/>
  <c r="R20" i="49"/>
  <c r="R33" i="49"/>
  <c r="R18" i="49"/>
  <c r="R27" i="49"/>
  <c r="R24" i="49"/>
  <c r="R22" i="49"/>
  <c r="X29" i="50"/>
  <c r="X34" i="50"/>
  <c r="N15" i="52"/>
  <c r="L16" i="43"/>
  <c r="L20" i="43"/>
  <c r="Z12" i="44"/>
  <c r="V36" i="44"/>
  <c r="V34" i="44"/>
  <c r="V33" i="44"/>
  <c r="V31" i="44"/>
  <c r="V29" i="44"/>
  <c r="V27" i="44"/>
  <c r="V25" i="44"/>
  <c r="V24" i="44"/>
  <c r="V22" i="44"/>
  <c r="V18" i="44"/>
  <c r="V20" i="44"/>
  <c r="T18" i="44"/>
  <c r="V16" i="44"/>
  <c r="V21" i="44"/>
  <c r="V15" i="44"/>
  <c r="L15" i="44"/>
  <c r="Z25" i="44"/>
  <c r="Z29" i="44"/>
  <c r="Z33" i="44"/>
  <c r="Z34" i="44"/>
  <c r="X15" i="46"/>
  <c r="N25" i="46"/>
  <c r="N29" i="46"/>
  <c r="N33" i="46"/>
  <c r="N34" i="46"/>
  <c r="N13" i="47"/>
  <c r="N22" i="47"/>
  <c r="N24" i="47"/>
  <c r="Z12" i="49"/>
  <c r="V36" i="49"/>
  <c r="V34" i="49"/>
  <c r="V33" i="49"/>
  <c r="V31" i="49"/>
  <c r="V29" i="49"/>
  <c r="V27" i="49"/>
  <c r="V25" i="49"/>
  <c r="V24" i="49"/>
  <c r="V22" i="49"/>
  <c r="V21" i="49"/>
  <c r="V16" i="49"/>
  <c r="V15" i="49"/>
  <c r="T18" i="49"/>
  <c r="V18" i="49"/>
  <c r="V20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0" i="50"/>
  <c r="R15" i="50"/>
  <c r="R22" i="50"/>
  <c r="R18" i="50"/>
  <c r="P18" i="50"/>
  <c r="R16" i="50"/>
  <c r="R21" i="50"/>
  <c r="Z22" i="50"/>
  <c r="Z24" i="50"/>
  <c r="Z21" i="52"/>
  <c r="X25" i="52"/>
  <c r="L29" i="52"/>
  <c r="L34" i="52"/>
  <c r="N21" i="53"/>
  <c r="L34" i="53"/>
  <c r="N15" i="43"/>
  <c r="L21" i="43"/>
  <c r="L16" i="44"/>
  <c r="L20" i="44"/>
  <c r="D18" i="46"/>
  <c r="F15" i="46"/>
  <c r="L12" i="46"/>
  <c r="F34" i="46"/>
  <c r="F29" i="46"/>
  <c r="F24" i="46"/>
  <c r="F20" i="46"/>
  <c r="F33" i="46"/>
  <c r="F27" i="46"/>
  <c r="F18" i="46"/>
  <c r="F21" i="46"/>
  <c r="F25" i="46"/>
  <c r="F22" i="46"/>
  <c r="F36" i="46"/>
  <c r="F16" i="46"/>
  <c r="F31" i="46"/>
  <c r="X16" i="46"/>
  <c r="X20" i="46"/>
  <c r="X15" i="47"/>
  <c r="N25" i="47"/>
  <c r="N29" i="47"/>
  <c r="N33" i="47"/>
  <c r="N34" i="47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5" i="50"/>
  <c r="V18" i="50"/>
  <c r="T18" i="50"/>
  <c r="V16" i="50"/>
  <c r="L15" i="50"/>
  <c r="Z25" i="50"/>
  <c r="Z29" i="50"/>
  <c r="Z33" i="50"/>
  <c r="Z34" i="50"/>
  <c r="N24" i="52"/>
  <c r="L13" i="53"/>
  <c r="N34" i="53"/>
  <c r="N16" i="43"/>
  <c r="N20" i="43"/>
  <c r="L22" i="43"/>
  <c r="L24" i="43"/>
  <c r="N15" i="44"/>
  <c r="L21" i="44"/>
  <c r="N12" i="46"/>
  <c r="J36" i="46"/>
  <c r="J34" i="46"/>
  <c r="J33" i="46"/>
  <c r="J31" i="46"/>
  <c r="J29" i="46"/>
  <c r="J27" i="46"/>
  <c r="J25" i="46"/>
  <c r="J24" i="46"/>
  <c r="J22" i="46"/>
  <c r="J20" i="46"/>
  <c r="J15" i="46"/>
  <c r="H18" i="46"/>
  <c r="J21" i="46"/>
  <c r="J18" i="46"/>
  <c r="J16" i="46"/>
  <c r="X13" i="46"/>
  <c r="Z15" i="46"/>
  <c r="X21" i="46"/>
  <c r="L12" i="47"/>
  <c r="F36" i="47"/>
  <c r="F34" i="47"/>
  <c r="F33" i="47"/>
  <c r="F31" i="47"/>
  <c r="F29" i="47"/>
  <c r="F27" i="47"/>
  <c r="F25" i="47"/>
  <c r="F22" i="47"/>
  <c r="F18" i="47"/>
  <c r="D18" i="47"/>
  <c r="F16" i="47"/>
  <c r="F20" i="47"/>
  <c r="F15" i="47"/>
  <c r="F24" i="47"/>
  <c r="F21" i="47"/>
  <c r="X16" i="47"/>
  <c r="X20" i="47"/>
  <c r="N15" i="49"/>
  <c r="L21" i="49"/>
  <c r="L16" i="50"/>
  <c r="L20" i="50"/>
  <c r="X20" i="52"/>
  <c r="L16" i="53"/>
  <c r="X24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18" i="47"/>
  <c r="H18" i="47"/>
  <c r="J16" i="47"/>
  <c r="J15" i="47"/>
  <c r="J20" i="47"/>
  <c r="X13" i="47"/>
  <c r="Z15" i="47"/>
  <c r="X21" i="47"/>
  <c r="N16" i="49"/>
  <c r="N20" i="49"/>
  <c r="L22" i="49"/>
  <c r="L24" i="49"/>
  <c r="N15" i="50"/>
  <c r="L21" i="50"/>
  <c r="Z20" i="52"/>
  <c r="L22" i="52"/>
  <c r="X24" i="52"/>
  <c r="X13" i="53"/>
  <c r="Z34" i="53"/>
  <c r="N13" i="43"/>
  <c r="N22" i="43"/>
  <c r="N24" i="43"/>
  <c r="L13" i="44"/>
  <c r="N21" i="44"/>
  <c r="L25" i="44"/>
  <c r="L29" i="44"/>
  <c r="L33" i="44"/>
  <c r="L34" i="44"/>
  <c r="Z21" i="46"/>
  <c r="X25" i="46"/>
  <c r="X29" i="46"/>
  <c r="X33" i="46"/>
  <c r="X34" i="46"/>
  <c r="Z13" i="47"/>
  <c r="Z16" i="47"/>
  <c r="Z20" i="47"/>
  <c r="X22" i="47"/>
  <c r="X24" i="47"/>
  <c r="L13" i="49"/>
  <c r="N21" i="49"/>
  <c r="L25" i="49"/>
  <c r="L29" i="49"/>
  <c r="L33" i="49"/>
  <c r="L34" i="49"/>
  <c r="N16" i="50"/>
  <c r="N20" i="50"/>
  <c r="L22" i="50"/>
  <c r="L24" i="50"/>
  <c r="L13" i="52"/>
  <c r="X29" i="52"/>
  <c r="L33" i="52"/>
  <c r="X34" i="52"/>
  <c r="Z13" i="53"/>
  <c r="N16" i="53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N13" i="49"/>
  <c r="N22" i="49"/>
  <c r="N24" i="49"/>
  <c r="L13" i="50"/>
  <c r="N21" i="50"/>
  <c r="L25" i="50"/>
  <c r="L29" i="50"/>
  <c r="L33" i="50"/>
  <c r="L34" i="50"/>
  <c r="N13" i="52"/>
  <c r="L16" i="52"/>
  <c r="N22" i="52"/>
  <c r="L15" i="53"/>
  <c r="N20" i="53"/>
  <c r="L22" i="53"/>
  <c r="F36" i="43"/>
  <c r="F34" i="43"/>
  <c r="F33" i="43"/>
  <c r="F31" i="43"/>
  <c r="F29" i="43"/>
  <c r="F27" i="43"/>
  <c r="F25" i="43"/>
  <c r="F21" i="43"/>
  <c r="F20" i="43"/>
  <c r="F18" i="43"/>
  <c r="F16" i="43"/>
  <c r="D18" i="43"/>
  <c r="F15" i="43"/>
  <c r="L12" i="43"/>
  <c r="F22" i="43"/>
  <c r="F24" i="43"/>
  <c r="X16" i="43"/>
  <c r="X20" i="43"/>
  <c r="X15" i="44"/>
  <c r="N25" i="44"/>
  <c r="N29" i="44"/>
  <c r="N33" i="44"/>
  <c r="N34" i="44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Z12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X15" i="49"/>
  <c r="N25" i="49"/>
  <c r="N29" i="49"/>
  <c r="N33" i="49"/>
  <c r="N34" i="49"/>
  <c r="N13" i="50"/>
  <c r="N22" i="50"/>
  <c r="N24" i="50"/>
  <c r="L21" i="52"/>
  <c r="L25" i="53"/>
  <c r="L29" i="53"/>
  <c r="L33" i="53"/>
  <c r="L16" i="46"/>
  <c r="L20" i="46"/>
  <c r="V24" i="47"/>
  <c r="V22" i="47"/>
  <c r="V21" i="47"/>
  <c r="V20" i="47"/>
  <c r="V18" i="47"/>
  <c r="V16" i="47"/>
  <c r="T18" i="47"/>
  <c r="V15" i="47"/>
  <c r="Z12" i="47"/>
  <c r="V36" i="47"/>
  <c r="V31" i="47"/>
  <c r="V25" i="47"/>
  <c r="V34" i="47"/>
  <c r="V29" i="47"/>
  <c r="V27" i="47"/>
  <c r="V33" i="47"/>
  <c r="L15" i="47"/>
  <c r="Z25" i="47"/>
  <c r="Z29" i="47"/>
  <c r="Z33" i="47"/>
  <c r="Z34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X16" i="49"/>
  <c r="X20" i="49"/>
  <c r="X15" i="50"/>
  <c r="N25" i="50"/>
  <c r="N29" i="50"/>
  <c r="N33" i="50"/>
  <c r="N34" i="50"/>
  <c r="Z13" i="52"/>
  <c r="N16" i="52"/>
  <c r="X22" i="52"/>
  <c r="N12" i="53"/>
  <c r="J36" i="53"/>
  <c r="J34" i="53"/>
  <c r="J33" i="53"/>
  <c r="J31" i="53"/>
  <c r="J29" i="53"/>
  <c r="J27" i="53"/>
  <c r="J25" i="53"/>
  <c r="J21" i="53"/>
  <c r="J22" i="53"/>
  <c r="J20" i="53"/>
  <c r="J16" i="53"/>
  <c r="J24" i="53"/>
  <c r="J18" i="53"/>
  <c r="J15" i="53"/>
  <c r="H18" i="53"/>
  <c r="N15" i="53"/>
  <c r="Z16" i="53"/>
  <c r="N25" i="53"/>
  <c r="N29" i="53"/>
  <c r="N33" i="53"/>
  <c r="X15" i="52"/>
  <c r="N25" i="52"/>
  <c r="N29" i="52"/>
  <c r="N33" i="52"/>
  <c r="N34" i="52"/>
  <c r="N13" i="53"/>
  <c r="N22" i="53"/>
  <c r="N24" i="53"/>
  <c r="J24" i="52"/>
  <c r="J22" i="52"/>
  <c r="J33" i="52"/>
  <c r="J27" i="52"/>
  <c r="J18" i="52"/>
  <c r="H18" i="52"/>
  <c r="J34" i="52"/>
  <c r="J29" i="52"/>
  <c r="J20" i="52"/>
  <c r="N12" i="52"/>
  <c r="J36" i="52"/>
  <c r="J21" i="52"/>
  <c r="J25" i="52"/>
  <c r="J16" i="52"/>
  <c r="J15" i="52"/>
  <c r="J31" i="52"/>
  <c r="X13" i="52"/>
  <c r="Z15" i="52"/>
  <c r="X21" i="52"/>
  <c r="F36" i="53"/>
  <c r="F34" i="53"/>
  <c r="F33" i="53"/>
  <c r="F31" i="53"/>
  <c r="F29" i="53"/>
  <c r="F27" i="53"/>
  <c r="F25" i="53"/>
  <c r="F22" i="53"/>
  <c r="F15" i="53"/>
  <c r="F20" i="53"/>
  <c r="F16" i="53"/>
  <c r="F24" i="53"/>
  <c r="F18" i="53"/>
  <c r="D18" i="53"/>
  <c r="F21" i="53"/>
  <c r="L12" i="53"/>
  <c r="X16" i="53"/>
  <c r="X20" i="53"/>
  <c r="X21" i="53"/>
  <c r="R36" i="52"/>
  <c r="R34" i="52"/>
  <c r="R33" i="52"/>
  <c r="R31" i="52"/>
  <c r="R29" i="52"/>
  <c r="R27" i="52"/>
  <c r="R25" i="52"/>
  <c r="R20" i="52"/>
  <c r="R18" i="52"/>
  <c r="R16" i="52"/>
  <c r="P18" i="52"/>
  <c r="R24" i="52"/>
  <c r="R15" i="52"/>
  <c r="X12" i="52"/>
  <c r="R22" i="52"/>
  <c r="R21" i="52"/>
  <c r="Z22" i="52"/>
  <c r="Z24" i="52"/>
  <c r="Z21" i="53"/>
  <c r="X25" i="53"/>
  <c r="X29" i="53"/>
  <c r="X33" i="53"/>
  <c r="X34" i="53"/>
  <c r="V24" i="52"/>
  <c r="V22" i="52"/>
  <c r="V21" i="52"/>
  <c r="T18" i="52"/>
  <c r="V34" i="52"/>
  <c r="V29" i="52"/>
  <c r="V20" i="52"/>
  <c r="V15" i="52"/>
  <c r="Z12" i="52"/>
  <c r="V36" i="52"/>
  <c r="V31" i="52"/>
  <c r="V25" i="52"/>
  <c r="V16" i="52"/>
  <c r="V27" i="52"/>
  <c r="V18" i="52"/>
  <c r="V33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0" i="53"/>
  <c r="R18" i="53"/>
  <c r="R16" i="53"/>
  <c r="P18" i="53"/>
  <c r="R15" i="53"/>
  <c r="R21" i="53"/>
  <c r="X12" i="53"/>
  <c r="Z22" i="53"/>
  <c r="Z24" i="53"/>
  <c r="L20" i="53"/>
  <c r="Z22" i="112"/>
  <c r="Z16" i="113"/>
  <c r="L16" i="111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21" i="111"/>
  <c r="X15" i="112"/>
  <c r="N29" i="112"/>
  <c r="N34" i="112"/>
  <c r="L13" i="113"/>
  <c r="L33" i="113"/>
  <c r="Z21" i="111"/>
  <c r="X25" i="111"/>
  <c r="Z15" i="112"/>
  <c r="N33" i="113"/>
  <c r="R21" i="111"/>
  <c r="P18" i="111"/>
  <c r="R15" i="111"/>
  <c r="R34" i="111"/>
  <c r="R29" i="111"/>
  <c r="R24" i="111"/>
  <c r="R20" i="111"/>
  <c r="R33" i="111"/>
  <c r="R27" i="111"/>
  <c r="R22" i="111"/>
  <c r="R18" i="111"/>
  <c r="X12" i="111"/>
  <c r="R36" i="111"/>
  <c r="R31" i="111"/>
  <c r="R25" i="111"/>
  <c r="R16" i="111"/>
  <c r="Z20" i="112"/>
  <c r="X24" i="112"/>
  <c r="Z24" i="112"/>
  <c r="Z13" i="113"/>
  <c r="X22" i="113"/>
  <c r="X13" i="111"/>
  <c r="N25" i="112"/>
  <c r="L29" i="113"/>
  <c r="L34" i="113"/>
  <c r="X33" i="111"/>
  <c r="J36" i="112"/>
  <c r="J34" i="112"/>
  <c r="J33" i="112"/>
  <c r="J31" i="112"/>
  <c r="J29" i="112"/>
  <c r="J27" i="112"/>
  <c r="J25" i="112"/>
  <c r="J21" i="112"/>
  <c r="J20" i="112"/>
  <c r="J18" i="112"/>
  <c r="J16" i="112"/>
  <c r="H18" i="112"/>
  <c r="J15" i="112"/>
  <c r="N12" i="112"/>
  <c r="J22" i="112"/>
  <c r="J24" i="112"/>
  <c r="X21" i="112"/>
  <c r="X15" i="113"/>
  <c r="N29" i="113"/>
  <c r="N34" i="113"/>
  <c r="Z22" i="111"/>
  <c r="Z16" i="112"/>
  <c r="X20" i="113"/>
  <c r="L20" i="111"/>
  <c r="P18" i="112"/>
  <c r="R15" i="112"/>
  <c r="X12" i="112"/>
  <c r="R24" i="112"/>
  <c r="R22" i="112"/>
  <c r="R18" i="112"/>
  <c r="R36" i="112"/>
  <c r="R31" i="112"/>
  <c r="R25" i="112"/>
  <c r="R21" i="112"/>
  <c r="R16" i="112"/>
  <c r="R34" i="112"/>
  <c r="R29" i="112"/>
  <c r="R20" i="112"/>
  <c r="R33" i="112"/>
  <c r="R27" i="112"/>
  <c r="Z20" i="113"/>
  <c r="X24" i="113"/>
  <c r="Z15" i="111"/>
  <c r="N33" i="112"/>
  <c r="N21" i="113"/>
  <c r="L25" i="113"/>
  <c r="X29" i="111"/>
  <c r="X34" i="111"/>
  <c r="X13" i="112"/>
  <c r="N25" i="113"/>
  <c r="Z24" i="111"/>
  <c r="Z13" i="112"/>
  <c r="X22" i="112"/>
  <c r="F36" i="113"/>
  <c r="F34" i="113"/>
  <c r="F33" i="113"/>
  <c r="F31" i="113"/>
  <c r="F29" i="113"/>
  <c r="F27" i="113"/>
  <c r="F25" i="113"/>
  <c r="F21" i="113"/>
  <c r="F20" i="113"/>
  <c r="F18" i="113"/>
  <c r="F16" i="113"/>
  <c r="D18" i="113"/>
  <c r="F15" i="113"/>
  <c r="F24" i="113"/>
  <c r="F22" i="113"/>
  <c r="L12" i="113"/>
  <c r="X16" i="113"/>
  <c r="T18" i="111"/>
  <c r="V15" i="111"/>
  <c r="Z12" i="111"/>
  <c r="V24" i="111"/>
  <c r="V22" i="111"/>
  <c r="V20" i="111"/>
  <c r="V33" i="111"/>
  <c r="V27" i="111"/>
  <c r="V18" i="111"/>
  <c r="V36" i="111"/>
  <c r="V31" i="111"/>
  <c r="V25" i="111"/>
  <c r="V21" i="111"/>
  <c r="V16" i="111"/>
  <c r="V34" i="111"/>
  <c r="V29" i="111"/>
  <c r="L15" i="111"/>
  <c r="Z25" i="111"/>
  <c r="Z29" i="111"/>
  <c r="Z33" i="111"/>
  <c r="Z34" i="111"/>
  <c r="Z21" i="112"/>
  <c r="X25" i="112"/>
  <c r="X29" i="112"/>
  <c r="X33" i="112"/>
  <c r="X34" i="112"/>
  <c r="J21" i="113"/>
  <c r="H18" i="113"/>
  <c r="J15" i="113"/>
  <c r="N12" i="113"/>
  <c r="J36" i="113"/>
  <c r="J31" i="113"/>
  <c r="J25" i="113"/>
  <c r="J16" i="113"/>
  <c r="J34" i="113"/>
  <c r="J29" i="113"/>
  <c r="J24" i="113"/>
  <c r="J20" i="113"/>
  <c r="J33" i="113"/>
  <c r="J27" i="113"/>
  <c r="J22" i="113"/>
  <c r="J18" i="113"/>
  <c r="X13" i="113"/>
  <c r="Z15" i="113"/>
  <c r="X21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0" i="112"/>
  <c r="V18" i="112"/>
  <c r="V16" i="112"/>
  <c r="T18" i="112"/>
  <c r="V21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0" i="113"/>
  <c r="R18" i="113"/>
  <c r="R16" i="113"/>
  <c r="R15" i="113"/>
  <c r="P18" i="113"/>
  <c r="R21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V15" i="113"/>
  <c r="T18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F15" i="111"/>
  <c r="D18" i="111"/>
  <c r="X16" i="111"/>
  <c r="X20" i="111"/>
  <c r="N13" i="112"/>
  <c r="N22" i="112"/>
  <c r="N24" i="112"/>
  <c r="N16" i="113"/>
  <c r="N20" i="113"/>
  <c r="L22" i="113"/>
  <c r="L2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R306" i="3"/>
  <c r="R305" i="3"/>
  <c r="R290" i="3"/>
  <c r="R286" i="3"/>
  <c r="R270" i="3"/>
  <c r="R247" i="3"/>
  <c r="R246" i="3"/>
  <c r="R238" i="3"/>
  <c r="R218" i="3"/>
  <c r="R214" i="3"/>
  <c r="R317" i="3"/>
  <c r="R265" i="3"/>
  <c r="R258" i="3"/>
  <c r="R257" i="3"/>
  <c r="R226" i="3"/>
  <c r="R210" i="3"/>
  <c r="R201" i="3"/>
  <c r="R256" i="3"/>
  <c r="R231" i="3"/>
  <c r="R175" i="3"/>
  <c r="R307" i="3"/>
  <c r="R298" i="3"/>
  <c r="R297" i="3"/>
  <c r="R282" i="3"/>
  <c r="R281" i="3"/>
  <c r="R225" i="3"/>
  <c r="R209" i="3"/>
  <c r="R205" i="3"/>
  <c r="R308" i="3"/>
  <c r="R276" i="3"/>
  <c r="R248" i="3"/>
  <c r="R233" i="3"/>
  <c r="R232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80" i="3"/>
  <c r="R264" i="3"/>
  <c r="R183" i="3"/>
  <c r="R155" i="3"/>
  <c r="R326" i="3"/>
  <c r="R318" i="3"/>
  <c r="R309" i="3"/>
  <c r="R299" i="3"/>
  <c r="R291" i="3"/>
  <c r="R287" i="3"/>
  <c r="R283" i="3"/>
  <c r="R272" i="3"/>
  <c r="R271" i="3"/>
  <c r="R260" i="3"/>
  <c r="R259" i="3"/>
  <c r="R240" i="3"/>
  <c r="R239" i="3"/>
  <c r="R228" i="3"/>
  <c r="R227" i="3"/>
  <c r="R219" i="3"/>
  <c r="R215" i="3"/>
  <c r="R211" i="3"/>
  <c r="P196" i="3"/>
  <c r="R159" i="3"/>
  <c r="R147" i="3"/>
  <c r="R310" i="3"/>
  <c r="R267" i="3"/>
  <c r="R266" i="3"/>
  <c r="R234" i="3"/>
  <c r="R206" i="3"/>
  <c r="R202" i="3"/>
  <c r="R151" i="3"/>
  <c r="R327" i="3"/>
  <c r="R311" i="3"/>
  <c r="R277" i="3"/>
  <c r="R273" i="3"/>
  <c r="R262" i="3"/>
  <c r="R261" i="3"/>
  <c r="R250" i="3"/>
  <c r="R249" i="3"/>
  <c r="R242" i="3"/>
  <c r="R241" i="3"/>
  <c r="R229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X12" i="3"/>
  <c r="R224" i="3"/>
  <c r="R167" i="3"/>
  <c r="R312" i="3"/>
  <c r="R300" i="3"/>
  <c r="R293" i="3"/>
  <c r="R292" i="3"/>
  <c r="R288" i="3"/>
  <c r="R284" i="3"/>
  <c r="R268" i="3"/>
  <c r="R221" i="3"/>
  <c r="R220" i="3"/>
  <c r="R216" i="3"/>
  <c r="R212" i="3"/>
  <c r="R171" i="3"/>
  <c r="R313" i="3"/>
  <c r="R263" i="3"/>
  <c r="R252" i="3"/>
  <c r="R251" i="3"/>
  <c r="R244" i="3"/>
  <c r="R243" i="3"/>
  <c r="R236" i="3"/>
  <c r="R235" i="3"/>
  <c r="R207" i="3"/>
  <c r="R203" i="3"/>
  <c r="R154" i="3"/>
  <c r="R138" i="3"/>
  <c r="R200" i="3"/>
  <c r="R316" i="3"/>
  <c r="R303" i="3"/>
  <c r="R296" i="3"/>
  <c r="R275" i="3"/>
  <c r="R255" i="3"/>
  <c r="R314" i="3"/>
  <c r="R294" i="3"/>
  <c r="R279" i="3"/>
  <c r="R278" i="3"/>
  <c r="R274" i="3"/>
  <c r="R230" i="3"/>
  <c r="R223" i="3"/>
  <c r="R222" i="3"/>
  <c r="R199" i="3"/>
  <c r="R194" i="3"/>
  <c r="R190" i="3"/>
  <c r="R186" i="3"/>
  <c r="R182" i="3"/>
  <c r="R178" i="3"/>
  <c r="R174" i="3"/>
  <c r="R170" i="3"/>
  <c r="R166" i="3"/>
  <c r="R162" i="3"/>
  <c r="R158" i="3"/>
  <c r="R150" i="3"/>
  <c r="R146" i="3"/>
  <c r="R142" i="3"/>
  <c r="R143" i="3"/>
  <c r="R135" i="3"/>
  <c r="R315" i="3"/>
  <c r="R302" i="3"/>
  <c r="R301" i="3"/>
  <c r="R289" i="3"/>
  <c r="R285" i="3"/>
  <c r="R269" i="3"/>
  <c r="R254" i="3"/>
  <c r="R253" i="3"/>
  <c r="R245" i="3"/>
  <c r="R237" i="3"/>
  <c r="R217" i="3"/>
  <c r="R213" i="3"/>
  <c r="R198" i="3"/>
  <c r="R196" i="3"/>
  <c r="R134" i="3"/>
  <c r="R204" i="3"/>
  <c r="R163" i="3"/>
  <c r="R322" i="3"/>
  <c r="R208" i="3"/>
  <c r="R295" i="3"/>
  <c r="R191" i="3"/>
  <c r="R187" i="3"/>
  <c r="R179" i="3"/>
  <c r="R139" i="3"/>
  <c r="Z236" i="3"/>
  <c r="N298" i="3"/>
  <c r="Z16" i="6"/>
  <c r="T22" i="6"/>
  <c r="N210" i="3"/>
  <c r="D26" i="6"/>
  <c r="Z305" i="3"/>
  <c r="F322" i="3"/>
  <c r="F316" i="3"/>
  <c r="F313" i="3"/>
  <c r="F294" i="3"/>
  <c r="F293" i="3"/>
  <c r="F278" i="3"/>
  <c r="F274" i="3"/>
  <c r="F230" i="3"/>
  <c r="F222" i="3"/>
  <c r="F221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314" i="3"/>
  <c r="F289" i="3"/>
  <c r="F269" i="3"/>
  <c r="F253" i="3"/>
  <c r="F245" i="3"/>
  <c r="F244" i="3"/>
  <c r="F236" i="3"/>
  <c r="F217" i="3"/>
  <c r="F213" i="3"/>
  <c r="F311" i="3"/>
  <c r="F262" i="3"/>
  <c r="F251" i="3"/>
  <c r="F301" i="3"/>
  <c r="F285" i="3"/>
  <c r="F252" i="3"/>
  <c r="F237" i="3"/>
  <c r="F315" i="3"/>
  <c r="F280" i="3"/>
  <c r="F279" i="3"/>
  <c r="F264" i="3"/>
  <c r="F224" i="3"/>
  <c r="F223" i="3"/>
  <c r="F208" i="3"/>
  <c r="F204" i="3"/>
  <c r="F200" i="3"/>
  <c r="F199" i="3"/>
  <c r="F300" i="3"/>
  <c r="F267" i="3"/>
  <c r="F263" i="3"/>
  <c r="F207" i="3"/>
  <c r="F303" i="3"/>
  <c r="F302" i="3"/>
  <c r="F295" i="3"/>
  <c r="F275" i="3"/>
  <c r="F255" i="3"/>
  <c r="F254" i="3"/>
  <c r="F231" i="3"/>
  <c r="F198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4" i="3"/>
  <c r="F292" i="3"/>
  <c r="F212" i="3"/>
  <c r="F242" i="3"/>
  <c r="F290" i="3"/>
  <c r="F286" i="3"/>
  <c r="F270" i="3"/>
  <c r="F246" i="3"/>
  <c r="F238" i="3"/>
  <c r="F218" i="3"/>
  <c r="F214" i="3"/>
  <c r="D196" i="3"/>
  <c r="F317" i="3"/>
  <c r="F306" i="3"/>
  <c r="F297" i="3"/>
  <c r="F296" i="3"/>
  <c r="F281" i="3"/>
  <c r="F265" i="3"/>
  <c r="F257" i="3"/>
  <c r="F256" i="3"/>
  <c r="F225" i="3"/>
  <c r="F209" i="3"/>
  <c r="F205" i="3"/>
  <c r="F201" i="3"/>
  <c r="F184" i="3"/>
  <c r="F176" i="3"/>
  <c r="F172" i="3"/>
  <c r="F164" i="3"/>
  <c r="F160" i="3"/>
  <c r="F156" i="3"/>
  <c r="F152" i="3"/>
  <c r="F148" i="3"/>
  <c r="F144" i="3"/>
  <c r="F140" i="3"/>
  <c r="F327" i="3"/>
  <c r="F288" i="3"/>
  <c r="F284" i="3"/>
  <c r="F312" i="3"/>
  <c r="F235" i="3"/>
  <c r="F307" i="3"/>
  <c r="F276" i="3"/>
  <c r="F248" i="3"/>
  <c r="F247" i="3"/>
  <c r="F232" i="3"/>
  <c r="F192" i="3"/>
  <c r="F188" i="3"/>
  <c r="F180" i="3"/>
  <c r="F168" i="3"/>
  <c r="F136" i="3"/>
  <c r="L12" i="3"/>
  <c r="N12" i="3" s="1"/>
  <c r="F318" i="3"/>
  <c r="F308" i="3"/>
  <c r="F299" i="3"/>
  <c r="F298" i="3"/>
  <c r="F291" i="3"/>
  <c r="F287" i="3"/>
  <c r="F283" i="3"/>
  <c r="F282" i="3"/>
  <c r="F271" i="3"/>
  <c r="F259" i="3"/>
  <c r="F258" i="3"/>
  <c r="F239" i="3"/>
  <c r="F227" i="3"/>
  <c r="F226" i="3"/>
  <c r="F219" i="3"/>
  <c r="F215" i="3"/>
  <c r="F211" i="3"/>
  <c r="F210" i="3"/>
  <c r="F220" i="3"/>
  <c r="F250" i="3"/>
  <c r="F326" i="3"/>
  <c r="F309" i="3"/>
  <c r="F266" i="3"/>
  <c r="F234" i="3"/>
  <c r="F233" i="3"/>
  <c r="F206" i="3"/>
  <c r="F202" i="3"/>
  <c r="F243" i="3"/>
  <c r="F310" i="3"/>
  <c r="F277" i="3"/>
  <c r="F273" i="3"/>
  <c r="F272" i="3"/>
  <c r="F261" i="3"/>
  <c r="F260" i="3"/>
  <c r="F249" i="3"/>
  <c r="F241" i="3"/>
  <c r="F240" i="3"/>
  <c r="F229" i="3"/>
  <c r="F228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203" i="3"/>
  <c r="F268" i="3"/>
  <c r="F216" i="3"/>
  <c r="N221" i="3"/>
  <c r="N226" i="3"/>
  <c r="Z254" i="3"/>
  <c r="R82" i="9"/>
  <c r="R81" i="9"/>
  <c r="R53" i="9"/>
  <c r="R29" i="9"/>
  <c r="R25" i="9"/>
  <c r="R21" i="9"/>
  <c r="P17" i="9"/>
  <c r="R96" i="9"/>
  <c r="R88" i="9"/>
  <c r="R76" i="9"/>
  <c r="R65" i="9"/>
  <c r="R64" i="9"/>
  <c r="R45" i="9"/>
  <c r="R44" i="9"/>
  <c r="R83" i="9"/>
  <c r="R71" i="9"/>
  <c r="R39" i="9"/>
  <c r="R35" i="9"/>
  <c r="R66" i="9"/>
  <c r="R55" i="9"/>
  <c r="R54" i="9"/>
  <c r="R47" i="9"/>
  <c r="R46" i="9"/>
  <c r="R30" i="9"/>
  <c r="R26" i="9"/>
  <c r="R22" i="9"/>
  <c r="X12" i="9"/>
  <c r="R97" i="9"/>
  <c r="R90" i="9"/>
  <c r="R89" i="9"/>
  <c r="R77" i="9"/>
  <c r="R91" i="9"/>
  <c r="R67" i="9"/>
  <c r="R32" i="9"/>
  <c r="R31" i="9"/>
  <c r="R27" i="9"/>
  <c r="R23" i="9"/>
  <c r="R86" i="9"/>
  <c r="R79" i="9"/>
  <c r="R78" i="9"/>
  <c r="R59" i="9"/>
  <c r="R58" i="9"/>
  <c r="R50" i="9"/>
  <c r="R87" i="9"/>
  <c r="R75" i="9"/>
  <c r="R52" i="9"/>
  <c r="R51" i="9"/>
  <c r="R20" i="9"/>
  <c r="R99" i="9"/>
  <c r="R72" i="9"/>
  <c r="R61" i="9"/>
  <c r="R56" i="9"/>
  <c r="R34" i="9"/>
  <c r="R15" i="9"/>
  <c r="R70" i="9"/>
  <c r="R41" i="9"/>
  <c r="R103" i="9"/>
  <c r="R57" i="9"/>
  <c r="R48" i="9"/>
  <c r="R105" i="9"/>
  <c r="R95" i="9"/>
  <c r="R80" i="9"/>
  <c r="R36" i="9"/>
  <c r="R93" i="9"/>
  <c r="R68" i="9"/>
  <c r="R37" i="9"/>
  <c r="R49" i="9"/>
  <c r="R73" i="9"/>
  <c r="R33" i="9"/>
  <c r="R17" i="9"/>
  <c r="R28" i="9"/>
  <c r="R108" i="9"/>
  <c r="R101" i="9"/>
  <c r="R94" i="9"/>
  <c r="R84" i="9"/>
  <c r="R69" i="9"/>
  <c r="R62" i="9"/>
  <c r="R42" i="9"/>
  <c r="R92" i="9"/>
  <c r="R85" i="9"/>
  <c r="R40" i="9"/>
  <c r="R24" i="9"/>
  <c r="R74" i="9"/>
  <c r="R60" i="9"/>
  <c r="R38" i="9"/>
  <c r="R19" i="9"/>
  <c r="R63" i="9"/>
  <c r="R43" i="9"/>
  <c r="N258" i="3"/>
  <c r="J146" i="3"/>
  <c r="J154" i="3"/>
  <c r="J236" i="3"/>
  <c r="J244" i="3"/>
  <c r="V258" i="15"/>
  <c r="V248" i="15"/>
  <c r="V220" i="15"/>
  <c r="V212" i="15"/>
  <c r="V200" i="15"/>
  <c r="V188" i="15"/>
  <c r="V180" i="15"/>
  <c r="V176" i="15"/>
  <c r="V172" i="15"/>
  <c r="V259" i="15"/>
  <c r="V231" i="15"/>
  <c r="V211" i="15"/>
  <c r="V203" i="15"/>
  <c r="V195" i="15"/>
  <c r="V187" i="15"/>
  <c r="V171" i="15"/>
  <c r="V167" i="15"/>
  <c r="V163" i="15"/>
  <c r="V261" i="15"/>
  <c r="V233" i="15"/>
  <c r="V221" i="15"/>
  <c r="V213" i="15"/>
  <c r="V205" i="15"/>
  <c r="V189" i="15"/>
  <c r="V181" i="15"/>
  <c r="V177" i="15"/>
  <c r="V173" i="15"/>
  <c r="V263" i="15"/>
  <c r="V251" i="15"/>
  <c r="V243" i="15"/>
  <c r="V239" i="15"/>
  <c r="V227" i="15"/>
  <c r="V223" i="15"/>
  <c r="V215" i="15"/>
  <c r="V191" i="15"/>
  <c r="V183" i="15"/>
  <c r="V265" i="15"/>
  <c r="V253" i="15"/>
  <c r="V245" i="15"/>
  <c r="V229" i="15"/>
  <c r="V217" i="15"/>
  <c r="V197" i="15"/>
  <c r="V185" i="15"/>
  <c r="V169" i="15"/>
  <c r="V165" i="15"/>
  <c r="V161" i="15"/>
  <c r="V247" i="15"/>
  <c r="V235" i="15"/>
  <c r="V219" i="15"/>
  <c r="V207" i="15"/>
  <c r="V199" i="15"/>
  <c r="V179" i="15"/>
  <c r="V175" i="15"/>
  <c r="T158" i="15"/>
  <c r="V262" i="15"/>
  <c r="V249" i="15"/>
  <c r="V226" i="15"/>
  <c r="V224" i="15"/>
  <c r="V168" i="15"/>
  <c r="V153" i="15"/>
  <c r="V141" i="15"/>
  <c r="V129" i="15"/>
  <c r="V117" i="15"/>
  <c r="V242" i="15"/>
  <c r="V240" i="15"/>
  <c r="V193" i="15"/>
  <c r="V151" i="15"/>
  <c r="V146" i="15"/>
  <c r="V139" i="15"/>
  <c r="V134" i="15"/>
  <c r="V127" i="15"/>
  <c r="V122" i="15"/>
  <c r="V115" i="15"/>
  <c r="V110" i="15"/>
  <c r="V269" i="15"/>
  <c r="V260" i="15"/>
  <c r="V257" i="15"/>
  <c r="V222" i="15"/>
  <c r="V201" i="15"/>
  <c r="V174" i="15"/>
  <c r="V234" i="15"/>
  <c r="V218" i="15"/>
  <c r="V206" i="15"/>
  <c r="V186" i="15"/>
  <c r="V156" i="15"/>
  <c r="V144" i="15"/>
  <c r="V132" i="15"/>
  <c r="V120" i="15"/>
  <c r="V108" i="15"/>
  <c r="V190" i="15"/>
  <c r="V166" i="15"/>
  <c r="V149" i="15"/>
  <c r="V137" i="15"/>
  <c r="V125" i="15"/>
  <c r="V113" i="15"/>
  <c r="V106" i="15"/>
  <c r="V254" i="15"/>
  <c r="V237" i="15"/>
  <c r="V209" i="15"/>
  <c r="V184" i="15"/>
  <c r="V164" i="15"/>
  <c r="V154" i="15"/>
  <c r="V147" i="15"/>
  <c r="V142" i="15"/>
  <c r="V135" i="15"/>
  <c r="V130" i="15"/>
  <c r="V123" i="15"/>
  <c r="V118" i="15"/>
  <c r="V111" i="15"/>
  <c r="V250" i="15"/>
  <c r="V225" i="15"/>
  <c r="V196" i="15"/>
  <c r="V252" i="15"/>
  <c r="V241" i="15"/>
  <c r="V232" i="15"/>
  <c r="V228" i="15"/>
  <c r="V216" i="15"/>
  <c r="V210" i="15"/>
  <c r="V204" i="15"/>
  <c r="V194" i="15"/>
  <c r="V192" i="15"/>
  <c r="V182" i="15"/>
  <c r="V158" i="15"/>
  <c r="V152" i="15"/>
  <c r="V140" i="15"/>
  <c r="V128" i="15"/>
  <c r="V116" i="15"/>
  <c r="V264" i="15"/>
  <c r="V230" i="15"/>
  <c r="V202" i="15"/>
  <c r="V162" i="15"/>
  <c r="V145" i="15"/>
  <c r="V133" i="15"/>
  <c r="V121" i="15"/>
  <c r="V109" i="15"/>
  <c r="V244" i="15"/>
  <c r="V236" i="15"/>
  <c r="V208" i="15"/>
  <c r="V178" i="15"/>
  <c r="V160" i="15"/>
  <c r="V105" i="15"/>
  <c r="J221" i="3"/>
  <c r="V305" i="3"/>
  <c r="V155" i="15"/>
  <c r="V238" i="15"/>
  <c r="J138" i="3"/>
  <c r="J178" i="3"/>
  <c r="J190" i="3"/>
  <c r="V247" i="3"/>
  <c r="J251" i="3"/>
  <c r="J263" i="3"/>
  <c r="V119" i="15"/>
  <c r="X15" i="3"/>
  <c r="V200" i="3"/>
  <c r="V204" i="3"/>
  <c r="V208" i="3"/>
  <c r="J212" i="3"/>
  <c r="J216" i="3"/>
  <c r="J220" i="3"/>
  <c r="V224" i="3"/>
  <c r="J242" i="3"/>
  <c r="J250" i="3"/>
  <c r="V256" i="3"/>
  <c r="J262" i="3"/>
  <c r="V264" i="3"/>
  <c r="J268" i="3"/>
  <c r="V280" i="3"/>
  <c r="J284" i="3"/>
  <c r="J288" i="3"/>
  <c r="J292" i="3"/>
  <c r="V296" i="3"/>
  <c r="J300" i="3"/>
  <c r="J311" i="3"/>
  <c r="Z14" i="6"/>
  <c r="R20" i="6"/>
  <c r="F49" i="9"/>
  <c r="N55" i="9"/>
  <c r="J71" i="9"/>
  <c r="J84" i="9"/>
  <c r="Z93" i="9"/>
  <c r="F101" i="9"/>
  <c r="Z216" i="12"/>
  <c r="X218" i="12"/>
  <c r="Z218" i="12" s="1"/>
  <c r="V136" i="15"/>
  <c r="V138" i="15"/>
  <c r="Z253" i="15"/>
  <c r="J150" i="3"/>
  <c r="J158" i="3"/>
  <c r="J182" i="3"/>
  <c r="J222" i="3"/>
  <c r="J278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T196" i="3"/>
  <c r="V196" i="3" s="1"/>
  <c r="V213" i="3"/>
  <c r="V217" i="3"/>
  <c r="J229" i="3"/>
  <c r="V237" i="3"/>
  <c r="J241" i="3"/>
  <c r="L242" i="3"/>
  <c r="N242" i="3" s="1"/>
  <c r="V245" i="3"/>
  <c r="J249" i="3"/>
  <c r="L250" i="3"/>
  <c r="N250" i="3" s="1"/>
  <c r="V253" i="3"/>
  <c r="X256" i="3"/>
  <c r="Z256" i="3" s="1"/>
  <c r="J261" i="3"/>
  <c r="L262" i="3"/>
  <c r="N262" i="3" s="1"/>
  <c r="J267" i="3"/>
  <c r="V269" i="3"/>
  <c r="J273" i="3"/>
  <c r="J277" i="3"/>
  <c r="V285" i="3"/>
  <c r="V289" i="3"/>
  <c r="X296" i="3"/>
  <c r="Z296" i="3" s="1"/>
  <c r="V301" i="3"/>
  <c r="J310" i="3"/>
  <c r="J327" i="3"/>
  <c r="R26" i="6"/>
  <c r="J162" i="3"/>
  <c r="J235" i="3"/>
  <c r="V327" i="3"/>
  <c r="V326" i="3"/>
  <c r="V322" i="3"/>
  <c r="L14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4" i="3"/>
  <c r="V198" i="3"/>
  <c r="J202" i="3"/>
  <c r="J206" i="3"/>
  <c r="V222" i="3"/>
  <c r="J228" i="3"/>
  <c r="V230" i="3"/>
  <c r="J234" i="3"/>
  <c r="J240" i="3"/>
  <c r="V254" i="3"/>
  <c r="J260" i="3"/>
  <c r="J266" i="3"/>
  <c r="J272" i="3"/>
  <c r="V274" i="3"/>
  <c r="V278" i="3"/>
  <c r="V294" i="3"/>
  <c r="V302" i="3"/>
  <c r="D305" i="3"/>
  <c r="L305" i="3" s="1"/>
  <c r="N305" i="3" s="1"/>
  <c r="J309" i="3"/>
  <c r="V314" i="3"/>
  <c r="X315" i="3"/>
  <c r="V31" i="6"/>
  <c r="V29" i="6"/>
  <c r="V28" i="6"/>
  <c r="V26" i="6"/>
  <c r="V24" i="6"/>
  <c r="H16" i="6"/>
  <c r="X18" i="6"/>
  <c r="V20" i="6"/>
  <c r="D17" i="9"/>
  <c r="J49" i="9"/>
  <c r="F57" i="9"/>
  <c r="F77" i="9"/>
  <c r="F88" i="9"/>
  <c r="N90" i="9"/>
  <c r="Z204" i="12"/>
  <c r="Z260" i="12"/>
  <c r="X262" i="12"/>
  <c r="Z262" i="12" s="1"/>
  <c r="N123" i="18"/>
  <c r="R105" i="24"/>
  <c r="R97" i="24"/>
  <c r="R93" i="24"/>
  <c r="R78" i="24"/>
  <c r="R76" i="24"/>
  <c r="R50" i="24"/>
  <c r="R124" i="24"/>
  <c r="R116" i="24"/>
  <c r="R89" i="24"/>
  <c r="R88" i="24"/>
  <c r="R84" i="24"/>
  <c r="R80" i="24"/>
  <c r="P76" i="24"/>
  <c r="R71" i="24"/>
  <c r="R67" i="24"/>
  <c r="R63" i="24"/>
  <c r="R59" i="24"/>
  <c r="R55" i="24"/>
  <c r="R51" i="24"/>
  <c r="R138" i="24"/>
  <c r="R107" i="24"/>
  <c r="R106" i="24"/>
  <c r="R98" i="24"/>
  <c r="R94" i="24"/>
  <c r="R90" i="24"/>
  <c r="R126" i="24"/>
  <c r="R125" i="24"/>
  <c r="R118" i="24"/>
  <c r="R117" i="24"/>
  <c r="R85" i="24"/>
  <c r="R81" i="24"/>
  <c r="R109" i="24"/>
  <c r="R108" i="24"/>
  <c r="R128" i="24"/>
  <c r="R127" i="24"/>
  <c r="R119" i="24"/>
  <c r="R100" i="24"/>
  <c r="R99" i="24"/>
  <c r="R95" i="24"/>
  <c r="R91" i="24"/>
  <c r="R111" i="24"/>
  <c r="R110" i="24"/>
  <c r="R86" i="24"/>
  <c r="R82" i="24"/>
  <c r="R131" i="24"/>
  <c r="R104" i="24"/>
  <c r="R103" i="24"/>
  <c r="R87" i="24"/>
  <c r="R83" i="24"/>
  <c r="R120" i="24"/>
  <c r="R112" i="24"/>
  <c r="R72" i="24"/>
  <c r="R60" i="24"/>
  <c r="R101" i="24"/>
  <c r="R65" i="24"/>
  <c r="R53" i="24"/>
  <c r="R129" i="24"/>
  <c r="R123" i="24"/>
  <c r="R115" i="24"/>
  <c r="R79" i="24"/>
  <c r="R121" i="24"/>
  <c r="R113" i="24"/>
  <c r="R102" i="24"/>
  <c r="R68" i="24"/>
  <c r="R56" i="24"/>
  <c r="R73" i="24"/>
  <c r="R61" i="24"/>
  <c r="R130" i="24"/>
  <c r="R66" i="24"/>
  <c r="R54" i="24"/>
  <c r="R133" i="24"/>
  <c r="R64" i="24"/>
  <c r="R52" i="24"/>
  <c r="R96" i="24"/>
  <c r="R69" i="24"/>
  <c r="R57" i="24"/>
  <c r="R114" i="24"/>
  <c r="R74" i="24"/>
  <c r="X12" i="24"/>
  <c r="Z12" i="24" s="1"/>
  <c r="R70" i="24"/>
  <c r="R62" i="24"/>
  <c r="R58" i="24"/>
  <c r="R122" i="24"/>
  <c r="V203" i="3"/>
  <c r="V207" i="3"/>
  <c r="J211" i="3"/>
  <c r="J215" i="3"/>
  <c r="J219" i="3"/>
  <c r="V223" i="3"/>
  <c r="J227" i="3"/>
  <c r="J233" i="3"/>
  <c r="V235" i="3"/>
  <c r="J239" i="3"/>
  <c r="V243" i="3"/>
  <c r="V251" i="3"/>
  <c r="J259" i="3"/>
  <c r="V263" i="3"/>
  <c r="J271" i="3"/>
  <c r="V279" i="3"/>
  <c r="J283" i="3"/>
  <c r="J287" i="3"/>
  <c r="J291" i="3"/>
  <c r="J299" i="3"/>
  <c r="J308" i="3"/>
  <c r="V313" i="3"/>
  <c r="J318" i="3"/>
  <c r="J326" i="3"/>
  <c r="D12" i="12"/>
  <c r="L14" i="12"/>
  <c r="V107" i="15"/>
  <c r="V143" i="15"/>
  <c r="J274" i="3"/>
  <c r="J203" i="3"/>
  <c r="J207" i="3"/>
  <c r="J243" i="3"/>
  <c r="N82" i="9"/>
  <c r="N204" i="12"/>
  <c r="V199" i="3"/>
  <c r="Z1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J210" i="3"/>
  <c r="V212" i="3"/>
  <c r="V216" i="3"/>
  <c r="V220" i="3"/>
  <c r="J226" i="3"/>
  <c r="J232" i="3"/>
  <c r="V236" i="3"/>
  <c r="V244" i="3"/>
  <c r="J248" i="3"/>
  <c r="V252" i="3"/>
  <c r="J258" i="3"/>
  <c r="V268" i="3"/>
  <c r="J276" i="3"/>
  <c r="J282" i="3"/>
  <c r="V284" i="3"/>
  <c r="V288" i="3"/>
  <c r="V292" i="3"/>
  <c r="J298" i="3"/>
  <c r="V300" i="3"/>
  <c r="J307" i="3"/>
  <c r="V312" i="3"/>
  <c r="L16" i="6"/>
  <c r="X13" i="9"/>
  <c r="Z13" i="9" s="1"/>
  <c r="J39" i="9"/>
  <c r="J48" i="9"/>
  <c r="J57" i="9"/>
  <c r="J79" i="9"/>
  <c r="F86" i="9"/>
  <c r="J103" i="9"/>
  <c r="X178" i="12"/>
  <c r="Z178" i="12" s="1"/>
  <c r="N226" i="12"/>
  <c r="X228" i="12"/>
  <c r="Z228" i="12" s="1"/>
  <c r="N245" i="12"/>
  <c r="P12" i="15"/>
  <c r="V124" i="15"/>
  <c r="V126" i="15"/>
  <c r="V214" i="15"/>
  <c r="V149" i="3"/>
  <c r="V153" i="3"/>
  <c r="V161" i="3"/>
  <c r="V165" i="3"/>
  <c r="V169" i="3"/>
  <c r="V177" i="3"/>
  <c r="V181" i="3"/>
  <c r="V185" i="3"/>
  <c r="V189" i="3"/>
  <c r="V193" i="3"/>
  <c r="J201" i="3"/>
  <c r="J205" i="3"/>
  <c r="J209" i="3"/>
  <c r="V221" i="3"/>
  <c r="J225" i="3"/>
  <c r="V229" i="3"/>
  <c r="V241" i="3"/>
  <c r="J247" i="3"/>
  <c r="V249" i="3"/>
  <c r="J257" i="3"/>
  <c r="V261" i="3"/>
  <c r="J265" i="3"/>
  <c r="V273" i="3"/>
  <c r="V277" i="3"/>
  <c r="J281" i="3"/>
  <c r="V293" i="3"/>
  <c r="J297" i="3"/>
  <c r="J305" i="3"/>
  <c r="J306" i="3"/>
  <c r="V311" i="3"/>
  <c r="P16" i="6"/>
  <c r="R24" i="6"/>
  <c r="J59" i="9"/>
  <c r="J83" i="9"/>
  <c r="J99" i="9"/>
  <c r="J170" i="3"/>
  <c r="J294" i="3"/>
  <c r="V246" i="15"/>
  <c r="V157" i="3"/>
  <c r="V173" i="3"/>
  <c r="V202" i="3"/>
  <c r="V206" i="3"/>
  <c r="J214" i="3"/>
  <c r="J218" i="3"/>
  <c r="V234" i="3"/>
  <c r="J238" i="3"/>
  <c r="V242" i="3"/>
  <c r="J246" i="3"/>
  <c r="V250" i="3"/>
  <c r="J256" i="3"/>
  <c r="V262" i="3"/>
  <c r="V266" i="3"/>
  <c r="J270" i="3"/>
  <c r="J286" i="3"/>
  <c r="J290" i="3"/>
  <c r="J296" i="3"/>
  <c r="V310" i="3"/>
  <c r="J316" i="3"/>
  <c r="R16" i="6"/>
  <c r="X29" i="6"/>
  <c r="Z29" i="6" s="1"/>
  <c r="F103" i="9"/>
  <c r="F73" i="9"/>
  <c r="F41" i="9"/>
  <c r="F37" i="9"/>
  <c r="F33" i="9"/>
  <c r="F32" i="9"/>
  <c r="F92" i="9"/>
  <c r="F80" i="9"/>
  <c r="F79" i="9"/>
  <c r="F68" i="9"/>
  <c r="F60" i="9"/>
  <c r="F59" i="9"/>
  <c r="F28" i="9"/>
  <c r="F24" i="9"/>
  <c r="F87" i="9"/>
  <c r="F75" i="9"/>
  <c r="F74" i="9"/>
  <c r="F51" i="9"/>
  <c r="F108" i="9"/>
  <c r="F105" i="9"/>
  <c r="F94" i="9"/>
  <c r="F93" i="9"/>
  <c r="F70" i="9"/>
  <c r="F69" i="9"/>
  <c r="F62" i="9"/>
  <c r="F61" i="9"/>
  <c r="F42" i="9"/>
  <c r="F38" i="9"/>
  <c r="F34" i="9"/>
  <c r="F81" i="9"/>
  <c r="F53" i="9"/>
  <c r="F52" i="9"/>
  <c r="F29" i="9"/>
  <c r="F25" i="9"/>
  <c r="F21" i="9"/>
  <c r="F20" i="9"/>
  <c r="F83" i="9"/>
  <c r="F82" i="9"/>
  <c r="F71" i="9"/>
  <c r="F39" i="9"/>
  <c r="F35" i="9"/>
  <c r="F66" i="9"/>
  <c r="F65" i="9"/>
  <c r="F54" i="9"/>
  <c r="F46" i="9"/>
  <c r="F45" i="9"/>
  <c r="F30" i="9"/>
  <c r="F26" i="9"/>
  <c r="F22" i="9"/>
  <c r="L12" i="9"/>
  <c r="F91" i="9"/>
  <c r="F90" i="9"/>
  <c r="F67" i="9"/>
  <c r="F31" i="9"/>
  <c r="F27" i="9"/>
  <c r="F23" i="9"/>
  <c r="F15" i="9"/>
  <c r="J56" i="9"/>
  <c r="N201" i="12"/>
  <c r="L222" i="12"/>
  <c r="N238" i="12"/>
  <c r="D281" i="18"/>
  <c r="L281" i="18" s="1"/>
  <c r="J166" i="3"/>
  <c r="J174" i="3"/>
  <c r="J230" i="3"/>
  <c r="J252" i="3"/>
  <c r="J313" i="3"/>
  <c r="J293" i="3"/>
  <c r="J312" i="3"/>
  <c r="Z32" i="9"/>
  <c r="Z61" i="9"/>
  <c r="N262" i="12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H196" i="3"/>
  <c r="V211" i="3"/>
  <c r="V215" i="3"/>
  <c r="V219" i="3"/>
  <c r="V227" i="3"/>
  <c r="J231" i="3"/>
  <c r="V239" i="3"/>
  <c r="J255" i="3"/>
  <c r="V259" i="3"/>
  <c r="V267" i="3"/>
  <c r="V271" i="3"/>
  <c r="J275" i="3"/>
  <c r="V283" i="3"/>
  <c r="V287" i="3"/>
  <c r="V291" i="3"/>
  <c r="J295" i="3"/>
  <c r="V299" i="3"/>
  <c r="J303" i="3"/>
  <c r="V309" i="3"/>
  <c r="V318" i="3"/>
  <c r="L14" i="6"/>
  <c r="R29" i="6"/>
  <c r="J92" i="9"/>
  <c r="J80" i="9"/>
  <c r="J74" i="9"/>
  <c r="J68" i="9"/>
  <c r="J60" i="9"/>
  <c r="J28" i="9"/>
  <c r="J24" i="9"/>
  <c r="J108" i="9"/>
  <c r="J105" i="9"/>
  <c r="J93" i="9"/>
  <c r="J87" i="9"/>
  <c r="J75" i="9"/>
  <c r="J69" i="9"/>
  <c r="J61" i="9"/>
  <c r="J51" i="9"/>
  <c r="J94" i="9"/>
  <c r="J70" i="9"/>
  <c r="J62" i="9"/>
  <c r="J52" i="9"/>
  <c r="J42" i="9"/>
  <c r="J38" i="9"/>
  <c r="J34" i="9"/>
  <c r="J20" i="9"/>
  <c r="J95" i="9"/>
  <c r="J81" i="9"/>
  <c r="J63" i="9"/>
  <c r="J53" i="9"/>
  <c r="J43" i="9"/>
  <c r="J29" i="9"/>
  <c r="J25" i="9"/>
  <c r="J21" i="9"/>
  <c r="J19" i="9"/>
  <c r="J17" i="9"/>
  <c r="J15" i="9"/>
  <c r="J96" i="9"/>
  <c r="J88" i="9"/>
  <c r="J82" i="9"/>
  <c r="J76" i="9"/>
  <c r="J64" i="9"/>
  <c r="J44" i="9"/>
  <c r="H17" i="9"/>
  <c r="J66" i="9"/>
  <c r="J54" i="9"/>
  <c r="J46" i="9"/>
  <c r="J30" i="9"/>
  <c r="J26" i="9"/>
  <c r="J22" i="9"/>
  <c r="J97" i="9"/>
  <c r="J89" i="9"/>
  <c r="J77" i="9"/>
  <c r="J55" i="9"/>
  <c r="J47" i="9"/>
  <c r="J86" i="9"/>
  <c r="J78" i="9"/>
  <c r="J58" i="9"/>
  <c r="J50" i="9"/>
  <c r="J32" i="9"/>
  <c r="Z20" i="9"/>
  <c r="J23" i="9"/>
  <c r="F36" i="9"/>
  <c r="F43" i="9"/>
  <c r="F63" i="9"/>
  <c r="F89" i="9"/>
  <c r="J91" i="9"/>
  <c r="N222" i="12"/>
  <c r="N248" i="12"/>
  <c r="V131" i="15"/>
  <c r="V170" i="15"/>
  <c r="J134" i="3"/>
  <c r="J254" i="3"/>
  <c r="J315" i="3"/>
  <c r="V112" i="15"/>
  <c r="V114" i="15"/>
  <c r="V148" i="15"/>
  <c r="V150" i="15"/>
  <c r="X185" i="15"/>
  <c r="Z185" i="15" s="1"/>
  <c r="V198" i="15"/>
  <c r="J142" i="3"/>
  <c r="J186" i="3"/>
  <c r="J194" i="3"/>
  <c r="J198" i="3"/>
  <c r="J200" i="3"/>
  <c r="J204" i="3"/>
  <c r="J208" i="3"/>
  <c r="J224" i="3"/>
  <c r="J264" i="3"/>
  <c r="J280" i="3"/>
  <c r="J302" i="3"/>
  <c r="J322" i="3"/>
  <c r="X14" i="6"/>
  <c r="P12" i="12"/>
  <c r="J199" i="3"/>
  <c r="V201" i="3"/>
  <c r="V205" i="3"/>
  <c r="V209" i="3"/>
  <c r="J213" i="3"/>
  <c r="J217" i="3"/>
  <c r="J223" i="3"/>
  <c r="V225" i="3"/>
  <c r="V233" i="3"/>
  <c r="J237" i="3"/>
  <c r="J245" i="3"/>
  <c r="J253" i="3"/>
  <c r="V257" i="3"/>
  <c r="V265" i="3"/>
  <c r="J269" i="3"/>
  <c r="J279" i="3"/>
  <c r="V281" i="3"/>
  <c r="J285" i="3"/>
  <c r="J289" i="3"/>
  <c r="V297" i="3"/>
  <c r="J301" i="3"/>
  <c r="V307" i="3"/>
  <c r="J314" i="3"/>
  <c r="V317" i="3"/>
  <c r="F22" i="6"/>
  <c r="F20" i="6"/>
  <c r="F18" i="6"/>
  <c r="F16" i="6"/>
  <c r="F14" i="6"/>
  <c r="R14" i="6"/>
  <c r="R22" i="6"/>
  <c r="F26" i="6"/>
  <c r="X28" i="6"/>
  <c r="Z28" i="6" s="1"/>
  <c r="N19" i="9"/>
  <c r="F40" i="9"/>
  <c r="N45" i="9"/>
  <c r="Z52" i="9"/>
  <c r="J67" i="9"/>
  <c r="N74" i="9"/>
  <c r="F76" i="9"/>
  <c r="F97" i="9"/>
  <c r="Z194" i="12"/>
  <c r="N218" i="12"/>
  <c r="V256" i="15"/>
  <c r="T17" i="9"/>
  <c r="V34" i="9"/>
  <c r="V38" i="9"/>
  <c r="V42" i="9"/>
  <c r="V62" i="9"/>
  <c r="V70" i="9"/>
  <c r="V82" i="9"/>
  <c r="V94" i="9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V178" i="12"/>
  <c r="V182" i="12"/>
  <c r="V186" i="12"/>
  <c r="J190" i="12"/>
  <c r="V194" i="12"/>
  <c r="J198" i="12"/>
  <c r="J204" i="12"/>
  <c r="V206" i="12"/>
  <c r="V218" i="12"/>
  <c r="J224" i="12"/>
  <c r="V234" i="12"/>
  <c r="J242" i="12"/>
  <c r="J248" i="12"/>
  <c r="V250" i="12"/>
  <c r="V254" i="12"/>
  <c r="J258" i="12"/>
  <c r="V262" i="12"/>
  <c r="V270" i="12"/>
  <c r="X271" i="12"/>
  <c r="J277" i="12"/>
  <c r="V282" i="12"/>
  <c r="J182" i="15"/>
  <c r="Z183" i="15"/>
  <c r="J194" i="15"/>
  <c r="J204" i="15"/>
  <c r="Z205" i="15"/>
  <c r="J232" i="15"/>
  <c r="Z233" i="15"/>
  <c r="J287" i="18"/>
  <c r="J276" i="18"/>
  <c r="J268" i="18"/>
  <c r="J264" i="18"/>
  <c r="J258" i="18"/>
  <c r="J252" i="18"/>
  <c r="J240" i="18"/>
  <c r="J230" i="18"/>
  <c r="J216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124" i="18"/>
  <c r="J288" i="18"/>
  <c r="J269" i="18"/>
  <c r="J259" i="18"/>
  <c r="J253" i="18"/>
  <c r="J247" i="18"/>
  <c r="J241" i="18"/>
  <c r="J231" i="18"/>
  <c r="J207" i="18"/>
  <c r="J203" i="18"/>
  <c r="J199" i="18"/>
  <c r="J290" i="18"/>
  <c r="J277" i="18"/>
  <c r="J265" i="18"/>
  <c r="J249" i="18"/>
  <c r="J243" i="18"/>
  <c r="J223" i="18"/>
  <c r="J217" i="18"/>
  <c r="J209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125" i="18"/>
  <c r="J291" i="18"/>
  <c r="J278" i="18"/>
  <c r="J260" i="18"/>
  <c r="J244" i="18"/>
  <c r="J232" i="18"/>
  <c r="J224" i="18"/>
  <c r="J210" i="18"/>
  <c r="J204" i="18"/>
  <c r="J200" i="18"/>
  <c r="J186" i="18"/>
  <c r="J292" i="18"/>
  <c r="J279" i="18"/>
  <c r="J271" i="18"/>
  <c r="J261" i="18"/>
  <c r="J255" i="18"/>
  <c r="J233" i="18"/>
  <c r="J211" i="18"/>
  <c r="J195" i="18"/>
  <c r="J191" i="18"/>
  <c r="J187" i="18"/>
  <c r="J185" i="18"/>
  <c r="J293" i="18"/>
  <c r="J272" i="18"/>
  <c r="J266" i="18"/>
  <c r="J262" i="18"/>
  <c r="J250" i="18"/>
  <c r="J234" i="18"/>
  <c r="J218" i="18"/>
  <c r="H183" i="18"/>
  <c r="J183" i="18" s="1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126" i="18"/>
  <c r="J282" i="18"/>
  <c r="J281" i="18"/>
  <c r="J273" i="18"/>
  <c r="J245" i="18"/>
  <c r="J235" i="18"/>
  <c r="J225" i="18"/>
  <c r="J205" i="18"/>
  <c r="J201" i="18"/>
  <c r="J283" i="18"/>
  <c r="J274" i="18"/>
  <c r="J256" i="18"/>
  <c r="J236" i="18"/>
  <c r="J226" i="18"/>
  <c r="J212" i="18"/>
  <c r="J196" i="18"/>
  <c r="J192" i="18"/>
  <c r="J188" i="18"/>
  <c r="J297" i="18"/>
  <c r="J284" i="18"/>
  <c r="J275" i="18"/>
  <c r="J267" i="18"/>
  <c r="J263" i="18"/>
  <c r="J251" i="18"/>
  <c r="J237" i="18"/>
  <c r="J227" i="18"/>
  <c r="J219" i="18"/>
  <c r="J213" i="18"/>
  <c r="J197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123" i="18"/>
  <c r="Z186" i="18"/>
  <c r="J193" i="18"/>
  <c r="Z210" i="18"/>
  <c r="Z269" i="18"/>
  <c r="J66" i="21"/>
  <c r="T140" i="24"/>
  <c r="L13" i="27"/>
  <c r="D12" i="27"/>
  <c r="V168" i="12"/>
  <c r="V172" i="12"/>
  <c r="V176" i="12"/>
  <c r="J180" i="12"/>
  <c r="J184" i="12"/>
  <c r="J188" i="12"/>
  <c r="V192" i="12"/>
  <c r="J212" i="12"/>
  <c r="V216" i="12"/>
  <c r="J222" i="12"/>
  <c r="V228" i="12"/>
  <c r="V232" i="12"/>
  <c r="J236" i="12"/>
  <c r="J252" i="12"/>
  <c r="J256" i="12"/>
  <c r="V260" i="12"/>
  <c r="J264" i="12"/>
  <c r="J275" i="12"/>
  <c r="N197" i="18"/>
  <c r="L197" i="18"/>
  <c r="N281" i="18"/>
  <c r="Z116" i="27"/>
  <c r="L79" i="30"/>
  <c r="N79" i="30" s="1"/>
  <c r="V33" i="9"/>
  <c r="V37" i="9"/>
  <c r="V41" i="9"/>
  <c r="V61" i="9"/>
  <c r="V69" i="9"/>
  <c r="V73" i="9"/>
  <c r="V93" i="9"/>
  <c r="V103" i="9"/>
  <c r="J113" i="12"/>
  <c r="J117" i="12"/>
  <c r="J121" i="12"/>
  <c r="J125" i="12"/>
  <c r="J129" i="12"/>
  <c r="J133" i="12"/>
  <c r="J137" i="12"/>
  <c r="J141" i="12"/>
  <c r="J145" i="12"/>
  <c r="J149" i="12"/>
  <c r="J153" i="12"/>
  <c r="J157" i="12"/>
  <c r="J161" i="12"/>
  <c r="T164" i="12"/>
  <c r="V181" i="12"/>
  <c r="V185" i="12"/>
  <c r="J197" i="12"/>
  <c r="V205" i="12"/>
  <c r="J211" i="12"/>
  <c r="V213" i="12"/>
  <c r="J221" i="12"/>
  <c r="V225" i="12"/>
  <c r="V233" i="12"/>
  <c r="V237" i="12"/>
  <c r="J241" i="12"/>
  <c r="V249" i="12"/>
  <c r="V253" i="12"/>
  <c r="V265" i="12"/>
  <c r="J274" i="12"/>
  <c r="L161" i="15"/>
  <c r="N161" i="15" s="1"/>
  <c r="Z123" i="18"/>
  <c r="J221" i="18"/>
  <c r="J242" i="18"/>
  <c r="X243" i="18"/>
  <c r="Z243" i="18" s="1"/>
  <c r="L253" i="18"/>
  <c r="N253" i="18" s="1"/>
  <c r="J257" i="18"/>
  <c r="J285" i="18"/>
  <c r="P281" i="18"/>
  <c r="X281" i="18" s="1"/>
  <c r="Z281" i="18" s="1"/>
  <c r="X288" i="18"/>
  <c r="Z288" i="18" s="1"/>
  <c r="L79" i="21"/>
  <c r="J114" i="21"/>
  <c r="J126" i="24"/>
  <c r="V50" i="9"/>
  <c r="V58" i="9"/>
  <c r="V74" i="9"/>
  <c r="V78" i="9"/>
  <c r="V86" i="9"/>
  <c r="V110" i="12"/>
  <c r="V114" i="12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4" i="12"/>
  <c r="V166" i="12"/>
  <c r="J170" i="12"/>
  <c r="J174" i="12"/>
  <c r="V190" i="12"/>
  <c r="J196" i="12"/>
  <c r="V198" i="12"/>
  <c r="J202" i="12"/>
  <c r="J210" i="12"/>
  <c r="V214" i="12"/>
  <c r="J220" i="12"/>
  <c r="V226" i="12"/>
  <c r="J230" i="12"/>
  <c r="V238" i="12"/>
  <c r="V242" i="12"/>
  <c r="J246" i="12"/>
  <c r="V258" i="12"/>
  <c r="V266" i="12"/>
  <c r="D269" i="12"/>
  <c r="L269" i="12" s="1"/>
  <c r="N269" i="12" s="1"/>
  <c r="J273" i="12"/>
  <c r="V278" i="12"/>
  <c r="N201" i="15"/>
  <c r="N247" i="15"/>
  <c r="L257" i="15"/>
  <c r="D256" i="15"/>
  <c r="L256" i="15" s="1"/>
  <c r="N256" i="15" s="1"/>
  <c r="P256" i="15"/>
  <c r="X256" i="15" s="1"/>
  <c r="Z256" i="15" s="1"/>
  <c r="Z185" i="18"/>
  <c r="Z197" i="18"/>
  <c r="L213" i="18"/>
  <c r="N213" i="18" s="1"/>
  <c r="N223" i="18"/>
  <c r="N79" i="21"/>
  <c r="V171" i="12"/>
  <c r="V175" i="12"/>
  <c r="V191" i="12"/>
  <c r="V203" i="12"/>
  <c r="V223" i="12"/>
  <c r="V231" i="12"/>
  <c r="V247" i="12"/>
  <c r="J263" i="12"/>
  <c r="J272" i="12"/>
  <c r="V277" i="12"/>
  <c r="X53" i="21"/>
  <c r="Z53" i="21" s="1"/>
  <c r="V53" i="21"/>
  <c r="L63" i="21"/>
  <c r="N50" i="24"/>
  <c r="H76" i="24"/>
  <c r="J30" i="33"/>
  <c r="H38" i="33"/>
  <c r="V32" i="9"/>
  <c r="V36" i="9"/>
  <c r="V40" i="9"/>
  <c r="V48" i="9"/>
  <c r="V56" i="9"/>
  <c r="V72" i="9"/>
  <c r="V84" i="9"/>
  <c r="J112" i="12"/>
  <c r="J116" i="12"/>
  <c r="J120" i="12"/>
  <c r="J124" i="12"/>
  <c r="J128" i="12"/>
  <c r="J132" i="12"/>
  <c r="J136" i="12"/>
  <c r="J140" i="12"/>
  <c r="J144" i="12"/>
  <c r="J148" i="12"/>
  <c r="J152" i="12"/>
  <c r="J156" i="12"/>
  <c r="J160" i="12"/>
  <c r="J178" i="12"/>
  <c r="V180" i="12"/>
  <c r="V184" i="12"/>
  <c r="V188" i="12"/>
  <c r="J194" i="12"/>
  <c r="J200" i="12"/>
  <c r="V204" i="12"/>
  <c r="J208" i="12"/>
  <c r="V212" i="12"/>
  <c r="J218" i="12"/>
  <c r="V224" i="12"/>
  <c r="V236" i="12"/>
  <c r="J240" i="12"/>
  <c r="J244" i="12"/>
  <c r="V248" i="12"/>
  <c r="V252" i="12"/>
  <c r="V256" i="12"/>
  <c r="J262" i="12"/>
  <c r="V264" i="12"/>
  <c r="J271" i="12"/>
  <c r="V276" i="12"/>
  <c r="D12" i="15"/>
  <c r="N203" i="15"/>
  <c r="X223" i="15"/>
  <c r="Z223" i="15" s="1"/>
  <c r="N249" i="15"/>
  <c r="D12" i="18"/>
  <c r="L13" i="18"/>
  <c r="N13" i="18" s="1"/>
  <c r="N215" i="18"/>
  <c r="Z278" i="18"/>
  <c r="J32" i="21"/>
  <c r="J82" i="21"/>
  <c r="V49" i="9"/>
  <c r="V57" i="9"/>
  <c r="V77" i="9"/>
  <c r="V85" i="9"/>
  <c r="V89" i="9"/>
  <c r="V97" i="9"/>
  <c r="V99" i="9"/>
  <c r="V109" i="12"/>
  <c r="V113" i="12"/>
  <c r="V117" i="12"/>
  <c r="V121" i="12"/>
  <c r="V125" i="12"/>
  <c r="V129" i="12"/>
  <c r="V133" i="12"/>
  <c r="V137" i="12"/>
  <c r="V141" i="12"/>
  <c r="V145" i="12"/>
  <c r="V149" i="12"/>
  <c r="V153" i="12"/>
  <c r="V157" i="12"/>
  <c r="V161" i="12"/>
  <c r="J169" i="12"/>
  <c r="J173" i="12"/>
  <c r="J177" i="12"/>
  <c r="V189" i="12"/>
  <c r="J193" i="12"/>
  <c r="V197" i="12"/>
  <c r="J207" i="12"/>
  <c r="J217" i="12"/>
  <c r="V221" i="12"/>
  <c r="J229" i="12"/>
  <c r="V241" i="12"/>
  <c r="V257" i="12"/>
  <c r="J261" i="12"/>
  <c r="J269" i="12"/>
  <c r="J270" i="12"/>
  <c r="V275" i="12"/>
  <c r="J265" i="15"/>
  <c r="J252" i="15"/>
  <c r="J240" i="15"/>
  <c r="J224" i="15"/>
  <c r="J218" i="15"/>
  <c r="J198" i="15"/>
  <c r="J192" i="15"/>
  <c r="J184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53" i="15"/>
  <c r="J235" i="15"/>
  <c r="J219" i="15"/>
  <c r="J207" i="15"/>
  <c r="J199" i="15"/>
  <c r="J185" i="15"/>
  <c r="J179" i="15"/>
  <c r="J175" i="15"/>
  <c r="J161" i="15"/>
  <c r="J269" i="15"/>
  <c r="J247" i="15"/>
  <c r="J241" i="15"/>
  <c r="J237" i="15"/>
  <c r="J225" i="15"/>
  <c r="J209" i="15"/>
  <c r="J193" i="15"/>
  <c r="H158" i="15"/>
  <c r="J158" i="15" s="1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258" i="15"/>
  <c r="J249" i="15"/>
  <c r="J231" i="15"/>
  <c r="J211" i="15"/>
  <c r="J201" i="15"/>
  <c r="J187" i="15"/>
  <c r="J260" i="15"/>
  <c r="J221" i="15"/>
  <c r="J213" i="15"/>
  <c r="J203" i="15"/>
  <c r="J195" i="15"/>
  <c r="J189" i="15"/>
  <c r="J181" i="15"/>
  <c r="J177" i="15"/>
  <c r="J173" i="15"/>
  <c r="J262" i="15"/>
  <c r="J251" i="15"/>
  <c r="J243" i="15"/>
  <c r="J239" i="15"/>
  <c r="J233" i="15"/>
  <c r="J227" i="15"/>
  <c r="J215" i="15"/>
  <c r="J205" i="15"/>
  <c r="J191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107" i="15"/>
  <c r="X13" i="15"/>
  <c r="Z13" i="15" s="1"/>
  <c r="N105" i="15"/>
  <c r="N160" i="15"/>
  <c r="J163" i="15"/>
  <c r="N195" i="15"/>
  <c r="Z201" i="15"/>
  <c r="J226" i="15"/>
  <c r="J244" i="15"/>
  <c r="L253" i="15"/>
  <c r="N253" i="15" s="1"/>
  <c r="J215" i="18"/>
  <c r="L220" i="18"/>
  <c r="J222" i="18"/>
  <c r="N235" i="18"/>
  <c r="Z253" i="18"/>
  <c r="V278" i="18"/>
  <c r="J118" i="24"/>
  <c r="N87" i="27"/>
  <c r="Z12" i="9"/>
  <c r="V22" i="9"/>
  <c r="V26" i="9"/>
  <c r="V30" i="9"/>
  <c r="V46" i="9"/>
  <c r="V54" i="9"/>
  <c r="V66" i="9"/>
  <c r="V90" i="9"/>
  <c r="V170" i="12"/>
  <c r="V174" i="12"/>
  <c r="J182" i="12"/>
  <c r="J186" i="12"/>
  <c r="V202" i="12"/>
  <c r="J206" i="12"/>
  <c r="V210" i="12"/>
  <c r="J216" i="12"/>
  <c r="V222" i="12"/>
  <c r="J228" i="12"/>
  <c r="V230" i="12"/>
  <c r="J234" i="12"/>
  <c r="V246" i="12"/>
  <c r="J250" i="12"/>
  <c r="J254" i="12"/>
  <c r="J260" i="12"/>
  <c r="V274" i="12"/>
  <c r="J282" i="12"/>
  <c r="P12" i="18"/>
  <c r="N220" i="18"/>
  <c r="Z223" i="18"/>
  <c r="X223" i="18"/>
  <c r="L237" i="18"/>
  <c r="N237" i="18" s="1"/>
  <c r="J93" i="21"/>
  <c r="J89" i="21"/>
  <c r="J71" i="21"/>
  <c r="J61" i="21"/>
  <c r="J118" i="21"/>
  <c r="J104" i="21"/>
  <c r="J100" i="21"/>
  <c r="J94" i="21"/>
  <c r="J72" i="21"/>
  <c r="J52" i="21"/>
  <c r="J48" i="21"/>
  <c r="J44" i="21"/>
  <c r="J105" i="21"/>
  <c r="J95" i="21"/>
  <c r="J83" i="21"/>
  <c r="J106" i="21"/>
  <c r="J96" i="21"/>
  <c r="J90" i="21"/>
  <c r="J74" i="21"/>
  <c r="J62" i="21"/>
  <c r="J54" i="21"/>
  <c r="J26" i="21"/>
  <c r="J107" i="21"/>
  <c r="J101" i="21"/>
  <c r="J97" i="21"/>
  <c r="J75" i="21"/>
  <c r="J63" i="21"/>
  <c r="J55" i="21"/>
  <c r="J49" i="21"/>
  <c r="J45" i="21"/>
  <c r="J109" i="21"/>
  <c r="J91" i="21"/>
  <c r="J85" i="21"/>
  <c r="J77" i="21"/>
  <c r="J65" i="21"/>
  <c r="J57" i="21"/>
  <c r="J103" i="21"/>
  <c r="J99" i="21"/>
  <c r="J87" i="21"/>
  <c r="J81" i="21"/>
  <c r="J69" i="21"/>
  <c r="J51" i="21"/>
  <c r="J47" i="21"/>
  <c r="J43" i="21"/>
  <c r="J108" i="21"/>
  <c r="J98" i="21"/>
  <c r="J84" i="21"/>
  <c r="J40" i="21"/>
  <c r="J102" i="21"/>
  <c r="J50" i="21"/>
  <c r="J46" i="21"/>
  <c r="J35" i="21"/>
  <c r="J31" i="21"/>
  <c r="J80" i="21"/>
  <c r="J67" i="21"/>
  <c r="J64" i="21"/>
  <c r="J60" i="21"/>
  <c r="J38" i="21"/>
  <c r="J24" i="21"/>
  <c r="J73" i="21"/>
  <c r="J58" i="21"/>
  <c r="J53" i="21"/>
  <c r="J41" i="21"/>
  <c r="J78" i="21"/>
  <c r="J36" i="21"/>
  <c r="J33" i="21"/>
  <c r="J27" i="21"/>
  <c r="J70" i="21"/>
  <c r="J42" i="21"/>
  <c r="J92" i="21"/>
  <c r="J88" i="21"/>
  <c r="J39" i="21"/>
  <c r="J25" i="21"/>
  <c r="J112" i="21"/>
  <c r="J110" i="21"/>
  <c r="J86" i="21"/>
  <c r="J79" i="21"/>
  <c r="J76" i="21"/>
  <c r="J68" i="21"/>
  <c r="J59" i="21"/>
  <c r="J56" i="21"/>
  <c r="J37" i="21"/>
  <c r="J34" i="21"/>
  <c r="J29" i="21"/>
  <c r="H29" i="21"/>
  <c r="X63" i="27"/>
  <c r="Z63" i="27" s="1"/>
  <c r="D120" i="27"/>
  <c r="L120" i="27" s="1"/>
  <c r="L123" i="27"/>
  <c r="V35" i="9"/>
  <c r="V39" i="9"/>
  <c r="V47" i="9"/>
  <c r="V55" i="9"/>
  <c r="V71" i="9"/>
  <c r="V83" i="9"/>
  <c r="J111" i="12"/>
  <c r="J115" i="12"/>
  <c r="J119" i="12"/>
  <c r="J123" i="12"/>
  <c r="J127" i="12"/>
  <c r="J131" i="12"/>
  <c r="J135" i="12"/>
  <c r="J139" i="12"/>
  <c r="J143" i="12"/>
  <c r="J147" i="12"/>
  <c r="J151" i="12"/>
  <c r="J155" i="12"/>
  <c r="J159" i="12"/>
  <c r="H164" i="12"/>
  <c r="V179" i="12"/>
  <c r="V183" i="12"/>
  <c r="V187" i="12"/>
  <c r="V195" i="12"/>
  <c r="J199" i="12"/>
  <c r="V211" i="12"/>
  <c r="J215" i="12"/>
  <c r="V219" i="12"/>
  <c r="J227" i="12"/>
  <c r="J233" i="12"/>
  <c r="V235" i="12"/>
  <c r="J239" i="12"/>
  <c r="J243" i="12"/>
  <c r="V251" i="12"/>
  <c r="V255" i="12"/>
  <c r="J259" i="12"/>
  <c r="V263" i="12"/>
  <c r="J267" i="12"/>
  <c r="V273" i="12"/>
  <c r="X247" i="15"/>
  <c r="Z247" i="15" s="1"/>
  <c r="Z249" i="15"/>
  <c r="J220" i="18"/>
  <c r="N228" i="18"/>
  <c r="Z233" i="18"/>
  <c r="N239" i="18"/>
  <c r="X32" i="21"/>
  <c r="Z32" i="21" s="1"/>
  <c r="X73" i="21"/>
  <c r="Z73" i="21" s="1"/>
  <c r="V73" i="21"/>
  <c r="X26" i="36"/>
  <c r="Z26" i="36"/>
  <c r="T31" i="36"/>
  <c r="V44" i="9"/>
  <c r="V64" i="9"/>
  <c r="V76" i="9"/>
  <c r="V88" i="9"/>
  <c r="V112" i="12"/>
  <c r="V116" i="12"/>
  <c r="V120" i="12"/>
  <c r="V124" i="12"/>
  <c r="V128" i="12"/>
  <c r="V132" i="12"/>
  <c r="V136" i="12"/>
  <c r="V140" i="12"/>
  <c r="V144" i="12"/>
  <c r="V148" i="12"/>
  <c r="V152" i="12"/>
  <c r="V156" i="12"/>
  <c r="V160" i="12"/>
  <c r="J164" i="12"/>
  <c r="J166" i="12"/>
  <c r="J168" i="12"/>
  <c r="J172" i="12"/>
  <c r="J176" i="12"/>
  <c r="J192" i="12"/>
  <c r="V196" i="12"/>
  <c r="V200" i="12"/>
  <c r="V208" i="12"/>
  <c r="J214" i="12"/>
  <c r="V220" i="12"/>
  <c r="J226" i="12"/>
  <c r="J232" i="12"/>
  <c r="J238" i="12"/>
  <c r="V240" i="12"/>
  <c r="V244" i="12"/>
  <c r="J266" i="12"/>
  <c r="L205" i="15"/>
  <c r="N205" i="15" s="1"/>
  <c r="J228" i="15"/>
  <c r="L233" i="15"/>
  <c r="N233" i="15" s="1"/>
  <c r="J256" i="15"/>
  <c r="J214" i="18"/>
  <c r="J228" i="18"/>
  <c r="Z237" i="18"/>
  <c r="J239" i="18"/>
  <c r="J286" i="18"/>
  <c r="L59" i="21"/>
  <c r="N59" i="21" s="1"/>
  <c r="L100" i="24"/>
  <c r="N100" i="24" s="1"/>
  <c r="V199" i="18"/>
  <c r="V203" i="18"/>
  <c r="V207" i="18"/>
  <c r="V223" i="18"/>
  <c r="V231" i="18"/>
  <c r="V243" i="18"/>
  <c r="V247" i="18"/>
  <c r="V259" i="18"/>
  <c r="V289" i="18"/>
  <c r="T130" i="27"/>
  <c r="Z92" i="27"/>
  <c r="Z114" i="27"/>
  <c r="P12" i="30"/>
  <c r="L69" i="30"/>
  <c r="V216" i="18"/>
  <c r="V240" i="18"/>
  <c r="V248" i="18"/>
  <c r="V252" i="18"/>
  <c r="V264" i="18"/>
  <c r="V268" i="18"/>
  <c r="V276" i="18"/>
  <c r="V288" i="18"/>
  <c r="D12" i="24"/>
  <c r="N69" i="30"/>
  <c r="V100" i="30"/>
  <c r="V189" i="18"/>
  <c r="V193" i="18"/>
  <c r="V221" i="18"/>
  <c r="V229" i="18"/>
  <c r="V241" i="18"/>
  <c r="V253" i="18"/>
  <c r="V257" i="18"/>
  <c r="V269" i="18"/>
  <c r="V287" i="18"/>
  <c r="L81" i="21"/>
  <c r="N81" i="21" s="1"/>
  <c r="L107" i="21"/>
  <c r="X19" i="24"/>
  <c r="N89" i="24"/>
  <c r="N62" i="27"/>
  <c r="Z85" i="27"/>
  <c r="X87" i="27"/>
  <c r="Z87" i="27" s="1"/>
  <c r="X94" i="27"/>
  <c r="Z94" i="27" s="1"/>
  <c r="V94" i="27"/>
  <c r="N111" i="27"/>
  <c r="N120" i="27"/>
  <c r="X100" i="30"/>
  <c r="Z100" i="30" s="1"/>
  <c r="V230" i="18"/>
  <c r="V238" i="18"/>
  <c r="V246" i="18"/>
  <c r="V258" i="18"/>
  <c r="V286" i="18"/>
  <c r="P12" i="21"/>
  <c r="N65" i="21"/>
  <c r="L99" i="27"/>
  <c r="N99" i="27" s="1"/>
  <c r="N42" i="30"/>
  <c r="L42" i="30"/>
  <c r="J42" i="30"/>
  <c r="V123" i="18"/>
  <c r="V147" i="18"/>
  <c r="V151" i="18"/>
  <c r="V155" i="18"/>
  <c r="V159" i="18"/>
  <c r="V163" i="18"/>
  <c r="V167" i="18"/>
  <c r="V171" i="18"/>
  <c r="V175" i="18"/>
  <c r="V179" i="18"/>
  <c r="V215" i="18"/>
  <c r="V219" i="18"/>
  <c r="V227" i="18"/>
  <c r="V239" i="18"/>
  <c r="V251" i="18"/>
  <c r="V263" i="18"/>
  <c r="V267" i="18"/>
  <c r="V275" i="18"/>
  <c r="V285" i="18"/>
  <c r="V297" i="18"/>
  <c r="X13" i="21"/>
  <c r="Z13" i="21" s="1"/>
  <c r="L24" i="21"/>
  <c r="N24" i="21" s="1"/>
  <c r="L55" i="21"/>
  <c r="N55" i="21" s="1"/>
  <c r="L75" i="21"/>
  <c r="N75" i="21" s="1"/>
  <c r="X81" i="21"/>
  <c r="X104" i="24"/>
  <c r="L107" i="27"/>
  <c r="N107" i="27" s="1"/>
  <c r="V284" i="18"/>
  <c r="N67" i="21"/>
  <c r="Z71" i="21"/>
  <c r="Z81" i="21"/>
  <c r="N85" i="21"/>
  <c r="Z105" i="21"/>
  <c r="Z104" i="24"/>
  <c r="V197" i="18"/>
  <c r="V201" i="18"/>
  <c r="V205" i="18"/>
  <c r="V213" i="18"/>
  <c r="V225" i="18"/>
  <c r="V237" i="18"/>
  <c r="V245" i="18"/>
  <c r="V273" i="18"/>
  <c r="V283" i="18"/>
  <c r="D12" i="21"/>
  <c r="Z88" i="21"/>
  <c r="V105" i="21"/>
  <c r="N111" i="21"/>
  <c r="L78" i="24"/>
  <c r="N78" i="24" s="1"/>
  <c r="V104" i="24"/>
  <c r="Z113" i="24"/>
  <c r="X113" i="24"/>
  <c r="V113" i="24"/>
  <c r="Z121" i="24"/>
  <c r="X121" i="24"/>
  <c r="V121" i="24"/>
  <c r="N105" i="27"/>
  <c r="J107" i="27"/>
  <c r="Z120" i="30"/>
  <c r="V120" i="30"/>
  <c r="N51" i="33"/>
  <c r="N56" i="36"/>
  <c r="V187" i="18"/>
  <c r="V191" i="18"/>
  <c r="V195" i="18"/>
  <c r="V211" i="18"/>
  <c r="V235" i="18"/>
  <c r="V255" i="18"/>
  <c r="V271" i="18"/>
  <c r="V279" i="18"/>
  <c r="V281" i="18"/>
  <c r="V293" i="18"/>
  <c r="X24" i="21"/>
  <c r="Z24" i="21" s="1"/>
  <c r="T106" i="33"/>
  <c r="V106" i="33" s="1"/>
  <c r="P12" i="36"/>
  <c r="X17" i="36"/>
  <c r="L80" i="39"/>
  <c r="F80" i="39"/>
  <c r="T183" i="18"/>
  <c r="V200" i="18"/>
  <c r="V204" i="18"/>
  <c r="V224" i="18"/>
  <c r="V232" i="18"/>
  <c r="V244" i="18"/>
  <c r="V260" i="18"/>
  <c r="V272" i="18"/>
  <c r="N57" i="21"/>
  <c r="L77" i="21"/>
  <c r="L50" i="24"/>
  <c r="N107" i="24"/>
  <c r="L107" i="24"/>
  <c r="L118" i="24"/>
  <c r="N118" i="24" s="1"/>
  <c r="L126" i="24"/>
  <c r="N126" i="24" s="1"/>
  <c r="P12" i="27"/>
  <c r="X13" i="27"/>
  <c r="N42" i="27"/>
  <c r="N63" i="27"/>
  <c r="V35" i="21"/>
  <c r="V39" i="21"/>
  <c r="V55" i="21"/>
  <c r="V63" i="21"/>
  <c r="V75" i="21"/>
  <c r="V83" i="21"/>
  <c r="V95" i="21"/>
  <c r="V107" i="21"/>
  <c r="V50" i="24"/>
  <c r="V54" i="24"/>
  <c r="V58" i="24"/>
  <c r="V62" i="24"/>
  <c r="V66" i="24"/>
  <c r="V70" i="24"/>
  <c r="V74" i="24"/>
  <c r="V76" i="24"/>
  <c r="V78" i="24"/>
  <c r="J82" i="24"/>
  <c r="J86" i="24"/>
  <c r="J100" i="24"/>
  <c r="J110" i="24"/>
  <c r="V114" i="24"/>
  <c r="V122" i="24"/>
  <c r="J128" i="24"/>
  <c r="V134" i="24"/>
  <c r="V136" i="24"/>
  <c r="V63" i="27"/>
  <c r="V67" i="27"/>
  <c r="V71" i="27"/>
  <c r="J75" i="27"/>
  <c r="J79" i="27"/>
  <c r="J83" i="27"/>
  <c r="V87" i="27"/>
  <c r="J91" i="27"/>
  <c r="V95" i="27"/>
  <c r="J101" i="27"/>
  <c r="V103" i="27"/>
  <c r="V111" i="27"/>
  <c r="J115" i="27"/>
  <c r="J123" i="27"/>
  <c r="D12" i="30"/>
  <c r="L13" i="30"/>
  <c r="N13" i="30" s="1"/>
  <c r="J45" i="30"/>
  <c r="J57" i="30"/>
  <c r="J76" i="30"/>
  <c r="J79" i="30"/>
  <c r="J84" i="30"/>
  <c r="J90" i="30"/>
  <c r="J105" i="30"/>
  <c r="J114" i="30"/>
  <c r="J129" i="30"/>
  <c r="Z143" i="30"/>
  <c r="J150" i="30"/>
  <c r="J156" i="30"/>
  <c r="L30" i="33"/>
  <c r="N30" i="33" s="1"/>
  <c r="V35" i="33"/>
  <c r="V66" i="33"/>
  <c r="V74" i="33"/>
  <c r="X94" i="33"/>
  <c r="V26" i="36"/>
  <c r="L33" i="36"/>
  <c r="N33" i="36" s="1"/>
  <c r="F41" i="36"/>
  <c r="F47" i="36"/>
  <c r="V54" i="36"/>
  <c r="J56" i="36"/>
  <c r="L73" i="36"/>
  <c r="N73" i="36" s="1"/>
  <c r="J103" i="36"/>
  <c r="J109" i="36"/>
  <c r="V125" i="36"/>
  <c r="F109" i="39"/>
  <c r="F145" i="39"/>
  <c r="V99" i="33"/>
  <c r="V89" i="33"/>
  <c r="V85" i="33"/>
  <c r="V77" i="33"/>
  <c r="V65" i="33"/>
  <c r="V49" i="33"/>
  <c r="V45" i="33"/>
  <c r="V41" i="33"/>
  <c r="V100" i="33"/>
  <c r="V84" i="33"/>
  <c r="V76" i="33"/>
  <c r="V68" i="33"/>
  <c r="V40" i="33"/>
  <c r="V38" i="33"/>
  <c r="V36" i="33"/>
  <c r="V32" i="33"/>
  <c r="V102" i="33"/>
  <c r="V90" i="33"/>
  <c r="V86" i="33"/>
  <c r="V78" i="33"/>
  <c r="V70" i="33"/>
  <c r="V50" i="33"/>
  <c r="V46" i="33"/>
  <c r="V42" i="33"/>
  <c r="V103" i="33"/>
  <c r="V69" i="33"/>
  <c r="V33" i="33"/>
  <c r="V104" i="33"/>
  <c r="V92" i="33"/>
  <c r="V80" i="33"/>
  <c r="V72" i="33"/>
  <c r="V60" i="33"/>
  <c r="V56" i="33"/>
  <c r="V52" i="33"/>
  <c r="V87" i="33"/>
  <c r="V71" i="33"/>
  <c r="V47" i="33"/>
  <c r="V43" i="33"/>
  <c r="V94" i="33"/>
  <c r="V82" i="33"/>
  <c r="V62" i="33"/>
  <c r="V34" i="33"/>
  <c r="V30" i="33"/>
  <c r="V108" i="33"/>
  <c r="V88" i="33"/>
  <c r="V64" i="33"/>
  <c r="V48" i="33"/>
  <c r="V44" i="33"/>
  <c r="N40" i="33"/>
  <c r="V55" i="33"/>
  <c r="V57" i="33"/>
  <c r="V63" i="33"/>
  <c r="V79" i="33"/>
  <c r="N91" i="39"/>
  <c r="L91" i="39"/>
  <c r="J81" i="24"/>
  <c r="J85" i="24"/>
  <c r="J107" i="24"/>
  <c r="J117" i="24"/>
  <c r="J125" i="24"/>
  <c r="J124" i="27"/>
  <c r="J78" i="27"/>
  <c r="J82" i="27"/>
  <c r="J98" i="27"/>
  <c r="J106" i="27"/>
  <c r="J122" i="27"/>
  <c r="P120" i="27"/>
  <c r="X120" i="27" s="1"/>
  <c r="Z120" i="27" s="1"/>
  <c r="X15" i="30"/>
  <c r="N68" i="30"/>
  <c r="N104" i="30"/>
  <c r="V53" i="33"/>
  <c r="N91" i="33"/>
  <c r="L128" i="39"/>
  <c r="N128" i="39" s="1"/>
  <c r="L15" i="42"/>
  <c r="D12" i="42"/>
  <c r="V47" i="21"/>
  <c r="V51" i="21"/>
  <c r="V71" i="21"/>
  <c r="V87" i="21"/>
  <c r="V99" i="21"/>
  <c r="V103" i="21"/>
  <c r="J90" i="24"/>
  <c r="J94" i="24"/>
  <c r="J98" i="24"/>
  <c r="V102" i="24"/>
  <c r="J106" i="24"/>
  <c r="V110" i="24"/>
  <c r="V130" i="24"/>
  <c r="D133" i="24"/>
  <c r="L133" i="24" s="1"/>
  <c r="J138" i="24"/>
  <c r="J43" i="27"/>
  <c r="J47" i="27"/>
  <c r="J51" i="27"/>
  <c r="J55" i="27"/>
  <c r="H60" i="27"/>
  <c r="J97" i="27"/>
  <c r="J105" i="27"/>
  <c r="V115" i="27"/>
  <c r="J121" i="27"/>
  <c r="X123" i="27"/>
  <c r="J142" i="30"/>
  <c r="J130" i="30"/>
  <c r="J124" i="30"/>
  <c r="J118" i="30"/>
  <c r="J106" i="30"/>
  <c r="J98" i="30"/>
  <c r="J62" i="30"/>
  <c r="J58" i="30"/>
  <c r="J54" i="30"/>
  <c r="J50" i="30"/>
  <c r="J46" i="30"/>
  <c r="J143" i="30"/>
  <c r="J131" i="30"/>
  <c r="J125" i="30"/>
  <c r="J107" i="30"/>
  <c r="J119" i="30"/>
  <c r="J109" i="30"/>
  <c r="J99" i="30"/>
  <c r="J91" i="30"/>
  <c r="J63" i="30"/>
  <c r="J59" i="30"/>
  <c r="J55" i="30"/>
  <c r="J51" i="30"/>
  <c r="J47" i="30"/>
  <c r="J126" i="30"/>
  <c r="J120" i="30"/>
  <c r="J110" i="30"/>
  <c r="J145" i="30"/>
  <c r="J137" i="30"/>
  <c r="J133" i="30"/>
  <c r="J121" i="30"/>
  <c r="J111" i="30"/>
  <c r="J101" i="30"/>
  <c r="J93" i="30"/>
  <c r="J77" i="30"/>
  <c r="J73" i="30"/>
  <c r="J146" i="30"/>
  <c r="J138" i="30"/>
  <c r="J112" i="30"/>
  <c r="J102" i="30"/>
  <c r="J64" i="30"/>
  <c r="J60" i="30"/>
  <c r="J56" i="30"/>
  <c r="J52" i="30"/>
  <c r="J48" i="30"/>
  <c r="J44" i="30"/>
  <c r="J147" i="30"/>
  <c r="J139" i="30"/>
  <c r="J127" i="30"/>
  <c r="J113" i="30"/>
  <c r="J103" i="30"/>
  <c r="J87" i="30"/>
  <c r="J83" i="30"/>
  <c r="J69" i="30"/>
  <c r="J49" i="30"/>
  <c r="J61" i="30"/>
  <c r="J68" i="30"/>
  <c r="V69" i="30"/>
  <c r="X79" i="30"/>
  <c r="Z79" i="30" s="1"/>
  <c r="Z90" i="30"/>
  <c r="J92" i="30"/>
  <c r="J104" i="30"/>
  <c r="Z107" i="30"/>
  <c r="N128" i="30"/>
  <c r="Z131" i="30"/>
  <c r="N149" i="30"/>
  <c r="Z30" i="33"/>
  <c r="L82" i="33"/>
  <c r="N82" i="33" s="1"/>
  <c r="X99" i="33"/>
  <c r="F129" i="36"/>
  <c r="F128" i="36"/>
  <c r="F121" i="36"/>
  <c r="F116" i="36"/>
  <c r="F112" i="36"/>
  <c r="F96" i="36"/>
  <c r="F95" i="36"/>
  <c r="F134" i="36"/>
  <c r="F125" i="36"/>
  <c r="F124" i="36"/>
  <c r="F117" i="36"/>
  <c r="F113" i="36"/>
  <c r="F109" i="36"/>
  <c r="F108" i="36"/>
  <c r="F126" i="36"/>
  <c r="F118" i="36"/>
  <c r="F114" i="36"/>
  <c r="F110" i="36"/>
  <c r="F127" i="36"/>
  <c r="F115" i="36"/>
  <c r="F111" i="36"/>
  <c r="F139" i="36"/>
  <c r="F122" i="36"/>
  <c r="F81" i="36"/>
  <c r="F80" i="36"/>
  <c r="F65" i="36"/>
  <c r="F57" i="36"/>
  <c r="F56" i="36"/>
  <c r="F29" i="36"/>
  <c r="F135" i="36"/>
  <c r="F119" i="36"/>
  <c r="F104" i="36"/>
  <c r="F92" i="36"/>
  <c r="F72" i="36"/>
  <c r="F71" i="36"/>
  <c r="F52" i="36"/>
  <c r="F48" i="36"/>
  <c r="L12" i="36"/>
  <c r="F132" i="36"/>
  <c r="F123" i="36"/>
  <c r="F105" i="36"/>
  <c r="F74" i="36"/>
  <c r="F73" i="36"/>
  <c r="F66" i="36"/>
  <c r="F33" i="36"/>
  <c r="F120" i="36"/>
  <c r="F93" i="36"/>
  <c r="F85" i="36"/>
  <c r="F84" i="36"/>
  <c r="F53" i="36"/>
  <c r="F49" i="36"/>
  <c r="D31" i="36"/>
  <c r="F31" i="36" s="1"/>
  <c r="F106" i="36"/>
  <c r="F102" i="36"/>
  <c r="F97" i="36"/>
  <c r="F76" i="36"/>
  <c r="F75" i="36"/>
  <c r="F60" i="36"/>
  <c r="F44" i="36"/>
  <c r="F40" i="36"/>
  <c r="F36" i="36"/>
  <c r="F133" i="36"/>
  <c r="F87" i="36"/>
  <c r="F86" i="36"/>
  <c r="F67" i="36"/>
  <c r="F27" i="36"/>
  <c r="F26" i="36"/>
  <c r="F78" i="36"/>
  <c r="F77" i="36"/>
  <c r="F62" i="36"/>
  <c r="F61" i="36"/>
  <c r="F54" i="36"/>
  <c r="F50" i="36"/>
  <c r="F46" i="36"/>
  <c r="F45" i="36"/>
  <c r="F103" i="36"/>
  <c r="F64" i="36"/>
  <c r="F63" i="36"/>
  <c r="F28" i="36"/>
  <c r="F55" i="36"/>
  <c r="F70" i="36"/>
  <c r="Z73" i="36"/>
  <c r="F91" i="36"/>
  <c r="F98" i="36"/>
  <c r="Z131" i="36"/>
  <c r="V133" i="36"/>
  <c r="F141" i="39"/>
  <c r="F135" i="39"/>
  <c r="F134" i="39"/>
  <c r="F127" i="39"/>
  <c r="F121" i="39"/>
  <c r="F117" i="39"/>
  <c r="F101" i="39"/>
  <c r="F100" i="39"/>
  <c r="F73" i="39"/>
  <c r="F72" i="39"/>
  <c r="F49" i="39"/>
  <c r="F45" i="39"/>
  <c r="F41" i="39"/>
  <c r="F130" i="39"/>
  <c r="F112" i="39"/>
  <c r="F111" i="39"/>
  <c r="F96" i="39"/>
  <c r="F95" i="39"/>
  <c r="F84" i="39"/>
  <c r="F68" i="39"/>
  <c r="F67" i="39"/>
  <c r="F32" i="39"/>
  <c r="F31" i="39"/>
  <c r="F126" i="39"/>
  <c r="F122" i="39"/>
  <c r="F118" i="39"/>
  <c r="F102" i="39"/>
  <c r="F86" i="39"/>
  <c r="F85" i="39"/>
  <c r="F46" i="39"/>
  <c r="F42" i="39"/>
  <c r="F113" i="39"/>
  <c r="F97" i="39"/>
  <c r="F77" i="39"/>
  <c r="F76" i="39"/>
  <c r="F69" i="39"/>
  <c r="F33" i="39"/>
  <c r="F108" i="39"/>
  <c r="F88" i="39"/>
  <c r="F87" i="39"/>
  <c r="F60" i="39"/>
  <c r="F56" i="39"/>
  <c r="F52" i="39"/>
  <c r="F132" i="39"/>
  <c r="F138" i="39"/>
  <c r="F123" i="39"/>
  <c r="F98" i="39"/>
  <c r="F90" i="39"/>
  <c r="F89" i="39"/>
  <c r="F70" i="39"/>
  <c r="F62" i="39"/>
  <c r="F61" i="39"/>
  <c r="F34" i="39"/>
  <c r="L12" i="39"/>
  <c r="N12" i="39" s="1"/>
  <c r="F139" i="39"/>
  <c r="F99" i="39"/>
  <c r="F83" i="39"/>
  <c r="F82" i="39"/>
  <c r="F71" i="39"/>
  <c r="F38" i="39"/>
  <c r="F116" i="39"/>
  <c r="F93" i="39"/>
  <c r="F65" i="39"/>
  <c r="F54" i="39"/>
  <c r="F81" i="39"/>
  <c r="F58" i="39"/>
  <c r="F50" i="39"/>
  <c r="F43" i="39"/>
  <c r="F128" i="39"/>
  <c r="F91" i="39"/>
  <c r="F78" i="39"/>
  <c r="F66" i="39"/>
  <c r="F63" i="39"/>
  <c r="F48" i="39"/>
  <c r="F119" i="39"/>
  <c r="F114" i="39"/>
  <c r="F106" i="39"/>
  <c r="F94" i="39"/>
  <c r="F133" i="39"/>
  <c r="F131" i="39"/>
  <c r="F55" i="39"/>
  <c r="F51" i="39"/>
  <c r="F39" i="39"/>
  <c r="F140" i="39"/>
  <c r="F104" i="39"/>
  <c r="F79" i="39"/>
  <c r="F59" i="39"/>
  <c r="F57" i="39"/>
  <c r="F44" i="39"/>
  <c r="F115" i="39"/>
  <c r="F110" i="39"/>
  <c r="F74" i="39"/>
  <c r="F53" i="39"/>
  <c r="F124" i="39"/>
  <c r="F120" i="39"/>
  <c r="F107" i="39"/>
  <c r="F40" i="39"/>
  <c r="D36" i="39"/>
  <c r="F36" i="39" s="1"/>
  <c r="J60" i="27"/>
  <c r="J62" i="27"/>
  <c r="J64" i="27"/>
  <c r="J68" i="27"/>
  <c r="J72" i="27"/>
  <c r="J88" i="27"/>
  <c r="J96" i="27"/>
  <c r="J104" i="27"/>
  <c r="J112" i="27"/>
  <c r="J120" i="27"/>
  <c r="J116" i="30"/>
  <c r="J123" i="30"/>
  <c r="J128" i="30"/>
  <c r="J149" i="30"/>
  <c r="V51" i="33"/>
  <c r="V67" i="33"/>
  <c r="V93" i="33"/>
  <c r="V101" i="33"/>
  <c r="L63" i="39"/>
  <c r="N63" i="39" s="1"/>
  <c r="V33" i="21"/>
  <c r="V37" i="21"/>
  <c r="V41" i="21"/>
  <c r="V69" i="21"/>
  <c r="V81" i="21"/>
  <c r="J50" i="24"/>
  <c r="V52" i="24"/>
  <c r="V56" i="24"/>
  <c r="V60" i="24"/>
  <c r="V64" i="24"/>
  <c r="V68" i="24"/>
  <c r="V72" i="24"/>
  <c r="J76" i="24"/>
  <c r="J78" i="24"/>
  <c r="J80" i="24"/>
  <c r="J84" i="24"/>
  <c r="J88" i="24"/>
  <c r="V100" i="24"/>
  <c r="V108" i="24"/>
  <c r="J116" i="24"/>
  <c r="J124" i="24"/>
  <c r="V128" i="24"/>
  <c r="J63" i="27"/>
  <c r="V65" i="27"/>
  <c r="V69" i="27"/>
  <c r="V73" i="27"/>
  <c r="J77" i="27"/>
  <c r="J81" i="27"/>
  <c r="J87" i="27"/>
  <c r="V89" i="27"/>
  <c r="V101" i="27"/>
  <c r="J111" i="27"/>
  <c r="T66" i="30"/>
  <c r="Z42" i="30"/>
  <c r="J88" i="30"/>
  <c r="J95" i="30"/>
  <c r="J108" i="30"/>
  <c r="Z109" i="30"/>
  <c r="J132" i="30"/>
  <c r="X152" i="30"/>
  <c r="Z152" i="30" s="1"/>
  <c r="P149" i="30"/>
  <c r="X149" i="30" s="1"/>
  <c r="P12" i="33"/>
  <c r="F38" i="36"/>
  <c r="F42" i="36"/>
  <c r="V48" i="36"/>
  <c r="V62" i="36"/>
  <c r="J74" i="36"/>
  <c r="V77" i="36"/>
  <c r="F83" i="36"/>
  <c r="F88" i="36"/>
  <c r="F94" i="36"/>
  <c r="F100" i="36"/>
  <c r="V104" i="36"/>
  <c r="F75" i="39"/>
  <c r="Z78" i="39"/>
  <c r="T29" i="21"/>
  <c r="V42" i="21"/>
  <c r="V46" i="21"/>
  <c r="V50" i="21"/>
  <c r="V58" i="21"/>
  <c r="V66" i="21"/>
  <c r="V78" i="21"/>
  <c r="V86" i="21"/>
  <c r="V98" i="21"/>
  <c r="V102" i="21"/>
  <c r="V110" i="21"/>
  <c r="J79" i="24"/>
  <c r="V81" i="24"/>
  <c r="V85" i="24"/>
  <c r="J93" i="24"/>
  <c r="J97" i="24"/>
  <c r="J105" i="24"/>
  <c r="V109" i="24"/>
  <c r="J115" i="24"/>
  <c r="V117" i="24"/>
  <c r="J123" i="24"/>
  <c r="V125" i="24"/>
  <c r="J133" i="24"/>
  <c r="J134" i="24"/>
  <c r="V123" i="27"/>
  <c r="V126" i="27"/>
  <c r="V124" i="27"/>
  <c r="J46" i="27"/>
  <c r="J50" i="27"/>
  <c r="J54" i="27"/>
  <c r="J58" i="27"/>
  <c r="V74" i="27"/>
  <c r="V78" i="27"/>
  <c r="V82" i="27"/>
  <c r="J86" i="27"/>
  <c r="V90" i="27"/>
  <c r="V98" i="27"/>
  <c r="V106" i="27"/>
  <c r="J110" i="27"/>
  <c r="V114" i="27"/>
  <c r="J118" i="27"/>
  <c r="V122" i="27"/>
  <c r="J85" i="30"/>
  <c r="L95" i="30"/>
  <c r="N95" i="30" s="1"/>
  <c r="J100" i="30"/>
  <c r="V109" i="30"/>
  <c r="X113" i="30"/>
  <c r="J134" i="30"/>
  <c r="J141" i="30"/>
  <c r="L143" i="30"/>
  <c r="N143" i="30" s="1"/>
  <c r="Z149" i="30"/>
  <c r="N62" i="33"/>
  <c r="V73" i="33"/>
  <c r="X82" i="33"/>
  <c r="V91" i="33"/>
  <c r="V95" i="33"/>
  <c r="L100" i="33"/>
  <c r="D97" i="33"/>
  <c r="L97" i="33" s="1"/>
  <c r="N97" i="33" s="1"/>
  <c r="J122" i="36"/>
  <c r="J116" i="36"/>
  <c r="J112" i="36"/>
  <c r="J132" i="36"/>
  <c r="J131" i="36"/>
  <c r="J123" i="36"/>
  <c r="J107" i="36"/>
  <c r="J135" i="36"/>
  <c r="J139" i="36"/>
  <c r="J119" i="36"/>
  <c r="J128" i="36"/>
  <c r="J106" i="36"/>
  <c r="J114" i="36"/>
  <c r="J104" i="36"/>
  <c r="J96" i="36"/>
  <c r="J92" i="36"/>
  <c r="J82" i="36"/>
  <c r="J72" i="36"/>
  <c r="J58" i="36"/>
  <c r="J52" i="36"/>
  <c r="J48" i="36"/>
  <c r="J34" i="36"/>
  <c r="N12" i="36"/>
  <c r="J125" i="36"/>
  <c r="J105" i="36"/>
  <c r="J101" i="36"/>
  <c r="J83" i="36"/>
  <c r="J73" i="36"/>
  <c r="J59" i="36"/>
  <c r="J43" i="36"/>
  <c r="J39" i="36"/>
  <c r="J35" i="36"/>
  <c r="J33" i="36"/>
  <c r="J31" i="36"/>
  <c r="J120" i="36"/>
  <c r="J117" i="36"/>
  <c r="J93" i="36"/>
  <c r="J85" i="36"/>
  <c r="J75" i="36"/>
  <c r="J53" i="36"/>
  <c r="J49" i="36"/>
  <c r="J102" i="36"/>
  <c r="J97" i="36"/>
  <c r="J86" i="36"/>
  <c r="J76" i="36"/>
  <c r="J60" i="36"/>
  <c r="J44" i="36"/>
  <c r="J40" i="36"/>
  <c r="J36" i="36"/>
  <c r="J26" i="36"/>
  <c r="J133" i="36"/>
  <c r="J115" i="36"/>
  <c r="J87" i="36"/>
  <c r="J77" i="36"/>
  <c r="J67" i="36"/>
  <c r="J61" i="36"/>
  <c r="J45" i="36"/>
  <c r="J27" i="36"/>
  <c r="J129" i="36"/>
  <c r="J113" i="36"/>
  <c r="J88" i="36"/>
  <c r="J78" i="36"/>
  <c r="J68" i="36"/>
  <c r="J62" i="36"/>
  <c r="J54" i="36"/>
  <c r="J50" i="36"/>
  <c r="J46" i="36"/>
  <c r="J126" i="36"/>
  <c r="J124" i="36"/>
  <c r="J111" i="36"/>
  <c r="J98" i="36"/>
  <c r="J94" i="36"/>
  <c r="J89" i="36"/>
  <c r="J69" i="36"/>
  <c r="J63" i="36"/>
  <c r="J41" i="36"/>
  <c r="J37" i="36"/>
  <c r="J118" i="36"/>
  <c r="J95" i="36"/>
  <c r="J91" i="36"/>
  <c r="J79" i="36"/>
  <c r="J55" i="36"/>
  <c r="J51" i="36"/>
  <c r="J47" i="36"/>
  <c r="F34" i="36"/>
  <c r="J38" i="36"/>
  <c r="J42" i="36"/>
  <c r="F51" i="36"/>
  <c r="V53" i="36"/>
  <c r="J57" i="36"/>
  <c r="X75" i="36"/>
  <c r="Z75" i="36" s="1"/>
  <c r="V84" i="36"/>
  <c r="J100" i="36"/>
  <c r="V106" i="36"/>
  <c r="V110" i="36"/>
  <c r="V115" i="36"/>
  <c r="F92" i="39"/>
  <c r="F125" i="39"/>
  <c r="V91" i="21"/>
  <c r="V111" i="21"/>
  <c r="J54" i="24"/>
  <c r="J58" i="24"/>
  <c r="J62" i="24"/>
  <c r="J66" i="24"/>
  <c r="J70" i="24"/>
  <c r="J74" i="24"/>
  <c r="J104" i="24"/>
  <c r="J114" i="24"/>
  <c r="V118" i="24"/>
  <c r="J122" i="24"/>
  <c r="V126" i="24"/>
  <c r="V138" i="24"/>
  <c r="V140" i="24"/>
  <c r="J67" i="27"/>
  <c r="J71" i="27"/>
  <c r="J85" i="27"/>
  <c r="J95" i="27"/>
  <c r="V99" i="27"/>
  <c r="J103" i="27"/>
  <c r="V107" i="27"/>
  <c r="J53" i="30"/>
  <c r="H66" i="30"/>
  <c r="J70" i="30"/>
  <c r="J72" i="30"/>
  <c r="J80" i="30"/>
  <c r="J136" i="30"/>
  <c r="J151" i="30"/>
  <c r="V54" i="33"/>
  <c r="V58" i="33"/>
  <c r="Z82" i="33"/>
  <c r="V98" i="33"/>
  <c r="H137" i="36"/>
  <c r="J65" i="36"/>
  <c r="J80" i="36"/>
  <c r="F90" i="36"/>
  <c r="J134" i="36"/>
  <c r="F129" i="39"/>
  <c r="V32" i="21"/>
  <c r="V36" i="21"/>
  <c r="V40" i="21"/>
  <c r="V56" i="21"/>
  <c r="V64" i="21"/>
  <c r="V76" i="21"/>
  <c r="V84" i="21"/>
  <c r="V108" i="21"/>
  <c r="V51" i="24"/>
  <c r="V55" i="24"/>
  <c r="V59" i="24"/>
  <c r="V63" i="24"/>
  <c r="V67" i="24"/>
  <c r="V71" i="24"/>
  <c r="J83" i="24"/>
  <c r="J87" i="24"/>
  <c r="J103" i="24"/>
  <c r="V107" i="24"/>
  <c r="J113" i="24"/>
  <c r="J121" i="24"/>
  <c r="J131" i="24"/>
  <c r="V64" i="27"/>
  <c r="V68" i="27"/>
  <c r="V72" i="27"/>
  <c r="J76" i="27"/>
  <c r="J80" i="27"/>
  <c r="J84" i="27"/>
  <c r="V88" i="27"/>
  <c r="J94" i="27"/>
  <c r="V96" i="27"/>
  <c r="V104" i="27"/>
  <c r="V112" i="27"/>
  <c r="V121" i="27"/>
  <c r="J66" i="30"/>
  <c r="J94" i="30"/>
  <c r="Z95" i="30"/>
  <c r="J97" i="30"/>
  <c r="Z113" i="30"/>
  <c r="N115" i="30"/>
  <c r="V31" i="33"/>
  <c r="Z62" i="33"/>
  <c r="N68" i="33"/>
  <c r="N70" i="33"/>
  <c r="J70" i="33"/>
  <c r="L94" i="33"/>
  <c r="V119" i="36"/>
  <c r="V103" i="36"/>
  <c r="V99" i="36"/>
  <c r="V128" i="36"/>
  <c r="V120" i="36"/>
  <c r="V131" i="36"/>
  <c r="V129" i="36"/>
  <c r="V121" i="36"/>
  <c r="V134" i="36"/>
  <c r="V102" i="36"/>
  <c r="V123" i="36"/>
  <c r="V97" i="36"/>
  <c r="V88" i="36"/>
  <c r="V76" i="36"/>
  <c r="V68" i="36"/>
  <c r="V60" i="36"/>
  <c r="V44" i="36"/>
  <c r="V40" i="36"/>
  <c r="V36" i="36"/>
  <c r="V117" i="36"/>
  <c r="V87" i="36"/>
  <c r="V67" i="36"/>
  <c r="V63" i="36"/>
  <c r="V27" i="36"/>
  <c r="V126" i="36"/>
  <c r="V98" i="36"/>
  <c r="V94" i="36"/>
  <c r="V89" i="36"/>
  <c r="V69" i="36"/>
  <c r="V41" i="36"/>
  <c r="V37" i="36"/>
  <c r="V124" i="36"/>
  <c r="V113" i="36"/>
  <c r="V111" i="36"/>
  <c r="V95" i="36"/>
  <c r="V80" i="36"/>
  <c r="V64" i="36"/>
  <c r="V56" i="36"/>
  <c r="V28" i="36"/>
  <c r="V91" i="36"/>
  <c r="V79" i="36"/>
  <c r="V71" i="36"/>
  <c r="V55" i="36"/>
  <c r="V51" i="36"/>
  <c r="V47" i="36"/>
  <c r="V122" i="36"/>
  <c r="V118" i="36"/>
  <c r="V109" i="36"/>
  <c r="V100" i="36"/>
  <c r="V82" i="36"/>
  <c r="V70" i="36"/>
  <c r="V58" i="36"/>
  <c r="V42" i="36"/>
  <c r="V38" i="36"/>
  <c r="V34" i="36"/>
  <c r="V116" i="36"/>
  <c r="V107" i="36"/>
  <c r="V81" i="36"/>
  <c r="V73" i="36"/>
  <c r="V65" i="36"/>
  <c r="V57" i="36"/>
  <c r="V33" i="36"/>
  <c r="V31" i="36"/>
  <c r="V29" i="36"/>
  <c r="V139" i="36"/>
  <c r="V135" i="36"/>
  <c r="V114" i="36"/>
  <c r="V101" i="36"/>
  <c r="V96" i="36"/>
  <c r="V83" i="36"/>
  <c r="V75" i="36"/>
  <c r="V59" i="36"/>
  <c r="V43" i="36"/>
  <c r="V39" i="36"/>
  <c r="V35" i="36"/>
  <c r="V46" i="36"/>
  <c r="L63" i="36"/>
  <c r="V74" i="36"/>
  <c r="N80" i="36"/>
  <c r="V86" i="36"/>
  <c r="N90" i="36"/>
  <c r="V108" i="36"/>
  <c r="J127" i="36"/>
  <c r="Z128" i="36"/>
  <c r="V132" i="36"/>
  <c r="Z114" i="39"/>
  <c r="V45" i="21"/>
  <c r="V49" i="21"/>
  <c r="V57" i="21"/>
  <c r="V65" i="21"/>
  <c r="V77" i="21"/>
  <c r="V85" i="21"/>
  <c r="V97" i="21"/>
  <c r="V101" i="21"/>
  <c r="V88" i="24"/>
  <c r="J92" i="24"/>
  <c r="J96" i="24"/>
  <c r="J102" i="24"/>
  <c r="J112" i="24"/>
  <c r="V116" i="24"/>
  <c r="J120" i="24"/>
  <c r="J45" i="27"/>
  <c r="J49" i="27"/>
  <c r="J53" i="27"/>
  <c r="J57" i="27"/>
  <c r="J93" i="27"/>
  <c r="V97" i="27"/>
  <c r="V105" i="27"/>
  <c r="J109" i="27"/>
  <c r="J117" i="27"/>
  <c r="V120" i="27"/>
  <c r="J43" i="30"/>
  <c r="J74" i="30"/>
  <c r="J82" i="30"/>
  <c r="J115" i="30"/>
  <c r="D12" i="33"/>
  <c r="L16" i="33"/>
  <c r="X68" i="33"/>
  <c r="Z68" i="33" s="1"/>
  <c r="V75" i="33"/>
  <c r="F59" i="36"/>
  <c r="N63" i="36"/>
  <c r="F82" i="36"/>
  <c r="Z105" i="36"/>
  <c r="L124" i="36"/>
  <c r="N124" i="36" s="1"/>
  <c r="Z38" i="39"/>
  <c r="Z125" i="39"/>
  <c r="X101" i="42"/>
  <c r="Z101" i="42" s="1"/>
  <c r="V71" i="30"/>
  <c r="V75" i="30"/>
  <c r="V107" i="30"/>
  <c r="V123" i="30"/>
  <c r="V131" i="30"/>
  <c r="V135" i="30"/>
  <c r="V143" i="30"/>
  <c r="J38" i="33"/>
  <c r="J40" i="33"/>
  <c r="J42" i="33"/>
  <c r="J46" i="33"/>
  <c r="J50" i="33"/>
  <c r="J68" i="33"/>
  <c r="J78" i="33"/>
  <c r="J86" i="33"/>
  <c r="J90" i="33"/>
  <c r="J101" i="33"/>
  <c r="L99" i="36"/>
  <c r="N99" i="36" s="1"/>
  <c r="Z122" i="36"/>
  <c r="H36" i="39"/>
  <c r="J64" i="39"/>
  <c r="Z65" i="39"/>
  <c r="J71" i="39"/>
  <c r="J92" i="39"/>
  <c r="Z93" i="39"/>
  <c r="J95" i="39"/>
  <c r="J99" i="39"/>
  <c r="Z111" i="39"/>
  <c r="V80" i="30"/>
  <c r="V84" i="30"/>
  <c r="V88" i="30"/>
  <c r="V96" i="30"/>
  <c r="V116" i="30"/>
  <c r="V124" i="30"/>
  <c r="V140" i="30"/>
  <c r="V152" i="30"/>
  <c r="J41" i="33"/>
  <c r="J55" i="33"/>
  <c r="J59" i="33"/>
  <c r="J67" i="33"/>
  <c r="J77" i="33"/>
  <c r="J85" i="33"/>
  <c r="J100" i="33"/>
  <c r="X124" i="36"/>
  <c r="Z124" i="36" s="1"/>
  <c r="Z31" i="39"/>
  <c r="J36" i="39"/>
  <c r="L61" i="39"/>
  <c r="J67" i="39"/>
  <c r="N74" i="39"/>
  <c r="L82" i="39"/>
  <c r="N82" i="39" s="1"/>
  <c r="N87" i="39"/>
  <c r="L89" i="39"/>
  <c r="J126" i="39"/>
  <c r="L138" i="39"/>
  <c r="N138" i="39" s="1"/>
  <c r="D137" i="39"/>
  <c r="L137" i="39" s="1"/>
  <c r="N137" i="39" s="1"/>
  <c r="V45" i="30"/>
  <c r="V49" i="30"/>
  <c r="V53" i="30"/>
  <c r="V57" i="30"/>
  <c r="V61" i="30"/>
  <c r="V97" i="30"/>
  <c r="V105" i="30"/>
  <c r="V117" i="30"/>
  <c r="V129" i="30"/>
  <c r="V141" i="30"/>
  <c r="V151" i="30"/>
  <c r="J32" i="33"/>
  <c r="J36" i="33"/>
  <c r="J66" i="33"/>
  <c r="J76" i="33"/>
  <c r="J84" i="33"/>
  <c r="J99" i="33"/>
  <c r="J44" i="39"/>
  <c r="J46" i="39"/>
  <c r="N61" i="39"/>
  <c r="Z85" i="39"/>
  <c r="X95" i="39"/>
  <c r="J117" i="39"/>
  <c r="N57" i="42"/>
  <c r="N115" i="42"/>
  <c r="L115" i="42"/>
  <c r="V150" i="30"/>
  <c r="J65" i="33"/>
  <c r="J75" i="33"/>
  <c r="J89" i="33"/>
  <c r="J97" i="33"/>
  <c r="J98" i="33"/>
  <c r="L132" i="36"/>
  <c r="N132" i="36" s="1"/>
  <c r="D131" i="36"/>
  <c r="L131" i="36" s="1"/>
  <c r="N131" i="36" s="1"/>
  <c r="P12" i="39"/>
  <c r="T143" i="39"/>
  <c r="Z95" i="39"/>
  <c r="J104" i="39"/>
  <c r="J133" i="39"/>
  <c r="V79" i="30"/>
  <c r="V83" i="30"/>
  <c r="V87" i="30"/>
  <c r="V95" i="30"/>
  <c r="V103" i="30"/>
  <c r="V115" i="30"/>
  <c r="V127" i="30"/>
  <c r="V139" i="30"/>
  <c r="V147" i="30"/>
  <c r="V149" i="30"/>
  <c r="X13" i="33"/>
  <c r="Z13" i="33" s="1"/>
  <c r="J54" i="33"/>
  <c r="J58" i="33"/>
  <c r="J64" i="33"/>
  <c r="J74" i="33"/>
  <c r="N108" i="36"/>
  <c r="X13" i="39"/>
  <c r="Z13" i="39" s="1"/>
  <c r="V36" i="39"/>
  <c r="L39" i="39"/>
  <c r="N39" i="39" s="1"/>
  <c r="Z67" i="39"/>
  <c r="J101" i="39"/>
  <c r="X75" i="42"/>
  <c r="Z75" i="42" s="1"/>
  <c r="X72" i="45"/>
  <c r="Z72" i="45" s="1"/>
  <c r="V72" i="45"/>
  <c r="V133" i="30"/>
  <c r="V137" i="30"/>
  <c r="V145" i="30"/>
  <c r="J82" i="33"/>
  <c r="J88" i="33"/>
  <c r="J94" i="33"/>
  <c r="J108" i="33"/>
  <c r="Z82" i="39"/>
  <c r="V82" i="30"/>
  <c r="V86" i="30"/>
  <c r="V102" i="30"/>
  <c r="V110" i="30"/>
  <c r="V126" i="30"/>
  <c r="V138" i="30"/>
  <c r="J53" i="33"/>
  <c r="J57" i="33"/>
  <c r="J61" i="33"/>
  <c r="J73" i="33"/>
  <c r="J81" i="33"/>
  <c r="J128" i="39"/>
  <c r="J122" i="39"/>
  <c r="J141" i="39"/>
  <c r="J125" i="39"/>
  <c r="J112" i="39"/>
  <c r="J96" i="39"/>
  <c r="J84" i="39"/>
  <c r="J74" i="39"/>
  <c r="J68" i="39"/>
  <c r="J50" i="39"/>
  <c r="J32" i="39"/>
  <c r="J135" i="39"/>
  <c r="J131" i="39"/>
  <c r="J107" i="39"/>
  <c r="J85" i="39"/>
  <c r="J75" i="39"/>
  <c r="J59" i="39"/>
  <c r="J55" i="39"/>
  <c r="J51" i="39"/>
  <c r="J113" i="39"/>
  <c r="J97" i="39"/>
  <c r="J87" i="39"/>
  <c r="J77" i="39"/>
  <c r="J69" i="39"/>
  <c r="J137" i="39"/>
  <c r="J114" i="39"/>
  <c r="J108" i="39"/>
  <c r="J88" i="39"/>
  <c r="J78" i="39"/>
  <c r="J60" i="39"/>
  <c r="J56" i="39"/>
  <c r="J52" i="39"/>
  <c r="J132" i="39"/>
  <c r="J119" i="39"/>
  <c r="J115" i="39"/>
  <c r="J103" i="39"/>
  <c r="J89" i="39"/>
  <c r="J79" i="39"/>
  <c r="J61" i="39"/>
  <c r="J47" i="39"/>
  <c r="J43" i="39"/>
  <c r="J138" i="39"/>
  <c r="J145" i="39"/>
  <c r="J109" i="39"/>
  <c r="J105" i="39"/>
  <c r="J91" i="39"/>
  <c r="J81" i="39"/>
  <c r="J63" i="39"/>
  <c r="J57" i="39"/>
  <c r="J53" i="39"/>
  <c r="J39" i="39"/>
  <c r="J140" i="39"/>
  <c r="J129" i="39"/>
  <c r="J124" i="39"/>
  <c r="J110" i="39"/>
  <c r="J106" i="39"/>
  <c r="J100" i="39"/>
  <c r="J94" i="39"/>
  <c r="J72" i="39"/>
  <c r="J66" i="39"/>
  <c r="J58" i="39"/>
  <c r="J54" i="39"/>
  <c r="J38" i="39"/>
  <c r="N50" i="39"/>
  <c r="X63" i="39"/>
  <c r="Z63" i="39" s="1"/>
  <c r="X91" i="39"/>
  <c r="N14" i="56"/>
  <c r="H16" i="56"/>
  <c r="V42" i="39"/>
  <c r="V46" i="39"/>
  <c r="V78" i="39"/>
  <c r="V86" i="39"/>
  <c r="V102" i="39"/>
  <c r="V114" i="39"/>
  <c r="V118" i="39"/>
  <c r="V126" i="39"/>
  <c r="L130" i="39"/>
  <c r="V131" i="39"/>
  <c r="J38" i="42"/>
  <c r="J40" i="42"/>
  <c r="J42" i="42"/>
  <c r="L44" i="42"/>
  <c r="N44" i="42" s="1"/>
  <c r="J47" i="42"/>
  <c r="J52" i="42"/>
  <c r="V67" i="42"/>
  <c r="V78" i="42"/>
  <c r="P12" i="45"/>
  <c r="X13" i="45"/>
  <c r="X51" i="48"/>
  <c r="Z51" i="48" s="1"/>
  <c r="V51" i="48"/>
  <c r="J90" i="51"/>
  <c r="J66" i="51"/>
  <c r="J62" i="51"/>
  <c r="J102" i="51"/>
  <c r="J94" i="51"/>
  <c r="J82" i="51"/>
  <c r="J104" i="51"/>
  <c r="J96" i="51"/>
  <c r="J84" i="51"/>
  <c r="J110" i="51"/>
  <c r="J99" i="51"/>
  <c r="J106" i="51"/>
  <c r="J91" i="51"/>
  <c r="J86" i="51"/>
  <c r="J80" i="51"/>
  <c r="J77" i="51"/>
  <c r="J69" i="51"/>
  <c r="J81" i="51"/>
  <c r="J74" i="51"/>
  <c r="J63" i="51"/>
  <c r="J54" i="51"/>
  <c r="J50" i="51"/>
  <c r="J46" i="51"/>
  <c r="J42" i="51"/>
  <c r="J100" i="51"/>
  <c r="J70" i="51"/>
  <c r="J59" i="51"/>
  <c r="J107" i="51"/>
  <c r="J101" i="51"/>
  <c r="J92" i="51"/>
  <c r="J87" i="51"/>
  <c r="J78" i="51"/>
  <c r="J60" i="51"/>
  <c r="J58" i="51"/>
  <c r="J56" i="51"/>
  <c r="J97" i="51"/>
  <c r="J93" i="51"/>
  <c r="J88" i="51"/>
  <c r="J71" i="51"/>
  <c r="J67" i="51"/>
  <c r="H56" i="51"/>
  <c r="J51" i="51"/>
  <c r="J47" i="51"/>
  <c r="J43" i="51"/>
  <c r="J108" i="51"/>
  <c r="J83" i="51"/>
  <c r="J64" i="51"/>
  <c r="J75" i="51"/>
  <c r="J61" i="51"/>
  <c r="J79" i="51"/>
  <c r="J73" i="51"/>
  <c r="J65" i="51"/>
  <c r="J114" i="51"/>
  <c r="J103" i="51"/>
  <c r="J89" i="51"/>
  <c r="J44" i="51"/>
  <c r="J53" i="51"/>
  <c r="J109" i="51"/>
  <c r="J85" i="51"/>
  <c r="J49" i="51"/>
  <c r="J95" i="51"/>
  <c r="J72" i="51"/>
  <c r="J68" i="51"/>
  <c r="J45" i="51"/>
  <c r="J48" i="51"/>
  <c r="V41" i="39"/>
  <c r="V45" i="39"/>
  <c r="V49" i="39"/>
  <c r="V73" i="39"/>
  <c r="V85" i="39"/>
  <c r="V101" i="39"/>
  <c r="V117" i="39"/>
  <c r="V121" i="39"/>
  <c r="P12" i="42"/>
  <c r="J49" i="42"/>
  <c r="J54" i="42"/>
  <c r="J57" i="42"/>
  <c r="J66" i="42"/>
  <c r="L79" i="42"/>
  <c r="V106" i="42"/>
  <c r="P124" i="42"/>
  <c r="X124" i="42" s="1"/>
  <c r="Z124" i="42" s="1"/>
  <c r="T106" i="45"/>
  <c r="L45" i="48"/>
  <c r="N45" i="48" s="1"/>
  <c r="J45" i="48"/>
  <c r="L71" i="48"/>
  <c r="N71" i="48" s="1"/>
  <c r="D70" i="48"/>
  <c r="L70" i="48" s="1"/>
  <c r="N70" i="48" s="1"/>
  <c r="P12" i="51"/>
  <c r="X13" i="51"/>
  <c r="Z13" i="51" s="1"/>
  <c r="V67" i="39"/>
  <c r="V71" i="39"/>
  <c r="V83" i="39"/>
  <c r="V95" i="39"/>
  <c r="V99" i="39"/>
  <c r="V111" i="39"/>
  <c r="X128" i="39"/>
  <c r="Z128" i="39" s="1"/>
  <c r="V134" i="39"/>
  <c r="V140" i="39"/>
  <c r="J51" i="42"/>
  <c r="Z57" i="42"/>
  <c r="V64" i="42"/>
  <c r="J76" i="42"/>
  <c r="J79" i="42"/>
  <c r="J90" i="42"/>
  <c r="J96" i="42"/>
  <c r="V124" i="42"/>
  <c r="J81" i="45"/>
  <c r="J69" i="45"/>
  <c r="J100" i="45"/>
  <c r="J82" i="45"/>
  <c r="J76" i="45"/>
  <c r="J70" i="45"/>
  <c r="J50" i="45"/>
  <c r="J36" i="45"/>
  <c r="J32" i="45"/>
  <c r="J91" i="45"/>
  <c r="J87" i="45"/>
  <c r="J83" i="45"/>
  <c r="J77" i="45"/>
  <c r="J71" i="45"/>
  <c r="J59" i="45"/>
  <c r="J51" i="45"/>
  <c r="J23" i="45"/>
  <c r="J104" i="45"/>
  <c r="J92" i="45"/>
  <c r="J78" i="45"/>
  <c r="J72" i="45"/>
  <c r="J60" i="45"/>
  <c r="J52" i="45"/>
  <c r="J46" i="45"/>
  <c r="J42" i="45"/>
  <c r="J28" i="45"/>
  <c r="J93" i="45"/>
  <c r="J73" i="45"/>
  <c r="J61" i="45"/>
  <c r="J53" i="45"/>
  <c r="J37" i="45"/>
  <c r="J33" i="45"/>
  <c r="J29" i="45"/>
  <c r="J27" i="45"/>
  <c r="J94" i="45"/>
  <c r="J88" i="45"/>
  <c r="J84" i="45"/>
  <c r="J62" i="45"/>
  <c r="H25" i="45"/>
  <c r="J95" i="45"/>
  <c r="J79" i="45"/>
  <c r="J63" i="45"/>
  <c r="J47" i="45"/>
  <c r="J43" i="45"/>
  <c r="J96" i="45"/>
  <c r="J74" i="45"/>
  <c r="J64" i="45"/>
  <c r="J54" i="45"/>
  <c r="J38" i="45"/>
  <c r="J34" i="45"/>
  <c r="J30" i="45"/>
  <c r="J20" i="45"/>
  <c r="J98" i="45"/>
  <c r="J45" i="45"/>
  <c r="J89" i="45"/>
  <c r="J85" i="45"/>
  <c r="J68" i="45"/>
  <c r="J65" i="45"/>
  <c r="J55" i="45"/>
  <c r="J21" i="45"/>
  <c r="J75" i="45"/>
  <c r="J58" i="45"/>
  <c r="J41" i="45"/>
  <c r="J66" i="45"/>
  <c r="J48" i="45"/>
  <c r="J39" i="45"/>
  <c r="J44" i="45"/>
  <c r="J35" i="45"/>
  <c r="J25" i="45"/>
  <c r="J97" i="45"/>
  <c r="J31" i="45"/>
  <c r="J90" i="45"/>
  <c r="J86" i="45"/>
  <c r="J57" i="45"/>
  <c r="X81" i="51"/>
  <c r="Z81" i="51" s="1"/>
  <c r="V81" i="51"/>
  <c r="V40" i="39"/>
  <c r="V44" i="39"/>
  <c r="V48" i="39"/>
  <c r="V64" i="39"/>
  <c r="V72" i="39"/>
  <c r="V92" i="39"/>
  <c r="V100" i="39"/>
  <c r="V116" i="39"/>
  <c r="V120" i="39"/>
  <c r="V139" i="39"/>
  <c r="V145" i="39"/>
  <c r="L33" i="42"/>
  <c r="V72" i="42"/>
  <c r="X79" i="42"/>
  <c r="V91" i="51"/>
  <c r="V93" i="39"/>
  <c r="V105" i="39"/>
  <c r="V109" i="39"/>
  <c r="V123" i="39"/>
  <c r="J121" i="42"/>
  <c r="J99" i="42"/>
  <c r="J115" i="42"/>
  <c r="J109" i="42"/>
  <c r="J105" i="42"/>
  <c r="J126" i="42"/>
  <c r="J117" i="42"/>
  <c r="J101" i="42"/>
  <c r="J95" i="42"/>
  <c r="J127" i="42"/>
  <c r="J118" i="42"/>
  <c r="J110" i="42"/>
  <c r="J106" i="42"/>
  <c r="J102" i="42"/>
  <c r="J128" i="42"/>
  <c r="J116" i="42"/>
  <c r="J98" i="42"/>
  <c r="J91" i="42"/>
  <c r="J77" i="42"/>
  <c r="J67" i="42"/>
  <c r="J61" i="42"/>
  <c r="J43" i="42"/>
  <c r="J39" i="42"/>
  <c r="J35" i="42"/>
  <c r="J25" i="42"/>
  <c r="J119" i="42"/>
  <c r="J92" i="42"/>
  <c r="J86" i="42"/>
  <c r="J78" i="42"/>
  <c r="J68" i="42"/>
  <c r="J62" i="42"/>
  <c r="J44" i="42"/>
  <c r="J26" i="42"/>
  <c r="J108" i="42"/>
  <c r="J104" i="42"/>
  <c r="J87" i="42"/>
  <c r="J81" i="42"/>
  <c r="J71" i="42"/>
  <c r="J63" i="42"/>
  <c r="J27" i="42"/>
  <c r="J107" i="42"/>
  <c r="J89" i="42"/>
  <c r="J83" i="42"/>
  <c r="J73" i="42"/>
  <c r="J55" i="42"/>
  <c r="J41" i="42"/>
  <c r="J37" i="42"/>
  <c r="J124" i="42"/>
  <c r="J120" i="42"/>
  <c r="J100" i="42"/>
  <c r="J84" i="42"/>
  <c r="J64" i="42"/>
  <c r="J56" i="42"/>
  <c r="J28" i="42"/>
  <c r="J125" i="42"/>
  <c r="J85" i="42"/>
  <c r="J75" i="42"/>
  <c r="J65" i="42"/>
  <c r="J59" i="42"/>
  <c r="H30" i="42"/>
  <c r="N33" i="42"/>
  <c r="J48" i="42"/>
  <c r="J94" i="42"/>
  <c r="N112" i="42"/>
  <c r="L112" i="42"/>
  <c r="J114" i="42"/>
  <c r="X60" i="45"/>
  <c r="Z60" i="45" s="1"/>
  <c r="X15" i="48"/>
  <c r="P17" i="48"/>
  <c r="L20" i="48"/>
  <c r="N20" i="48" s="1"/>
  <c r="J20" i="48"/>
  <c r="D106" i="51"/>
  <c r="L106" i="51" s="1"/>
  <c r="L108" i="51"/>
  <c r="T26" i="54"/>
  <c r="Z22" i="54"/>
  <c r="H77" i="48"/>
  <c r="L22" i="51"/>
  <c r="D12" i="51"/>
  <c r="D61" i="60"/>
  <c r="V39" i="39"/>
  <c r="V43" i="39"/>
  <c r="V47" i="39"/>
  <c r="V63" i="39"/>
  <c r="V79" i="39"/>
  <c r="V91" i="39"/>
  <c r="V103" i="39"/>
  <c r="V115" i="39"/>
  <c r="V119" i="39"/>
  <c r="V132" i="39"/>
  <c r="V127" i="42"/>
  <c r="V95" i="42"/>
  <c r="V119" i="42"/>
  <c r="V111" i="42"/>
  <c r="V107" i="42"/>
  <c r="V103" i="42"/>
  <c r="V132" i="42"/>
  <c r="V121" i="42"/>
  <c r="V113" i="42"/>
  <c r="V97" i="42"/>
  <c r="V117" i="42"/>
  <c r="V104" i="42"/>
  <c r="V87" i="42"/>
  <c r="V83" i="42"/>
  <c r="V71" i="42"/>
  <c r="V63" i="42"/>
  <c r="V55" i="42"/>
  <c r="V27" i="42"/>
  <c r="V114" i="42"/>
  <c r="V102" i="42"/>
  <c r="V82" i="42"/>
  <c r="V54" i="42"/>
  <c r="V50" i="42"/>
  <c r="V46" i="42"/>
  <c r="V109" i="42"/>
  <c r="V96" i="42"/>
  <c r="V89" i="42"/>
  <c r="V100" i="42"/>
  <c r="V94" i="42"/>
  <c r="V75" i="42"/>
  <c r="V59" i="42"/>
  <c r="V51" i="42"/>
  <c r="V47" i="42"/>
  <c r="T30" i="42"/>
  <c r="V125" i="42"/>
  <c r="V118" i="42"/>
  <c r="V98" i="42"/>
  <c r="V85" i="42"/>
  <c r="V77" i="42"/>
  <c r="V65" i="42"/>
  <c r="V61" i="42"/>
  <c r="V128" i="42"/>
  <c r="V101" i="42"/>
  <c r="V92" i="42"/>
  <c r="V76" i="42"/>
  <c r="V68" i="42"/>
  <c r="V60" i="42"/>
  <c r="V52" i="42"/>
  <c r="V48" i="42"/>
  <c r="V44" i="42"/>
  <c r="V126" i="42"/>
  <c r="V108" i="42"/>
  <c r="V81" i="42"/>
  <c r="V69" i="42"/>
  <c r="V53" i="42"/>
  <c r="V49" i="42"/>
  <c r="V45" i="42"/>
  <c r="V26" i="42"/>
  <c r="V28" i="42"/>
  <c r="N32" i="42"/>
  <c r="X33" i="42"/>
  <c r="V35" i="42"/>
  <c r="V37" i="42"/>
  <c r="V41" i="42"/>
  <c r="J50" i="42"/>
  <c r="V84" i="42"/>
  <c r="V105" i="42"/>
  <c r="V120" i="42"/>
  <c r="J132" i="42"/>
  <c r="Z28" i="45"/>
  <c r="V60" i="45"/>
  <c r="V52" i="39"/>
  <c r="V56" i="39"/>
  <c r="V60" i="39"/>
  <c r="V80" i="39"/>
  <c r="V88" i="39"/>
  <c r="V104" i="39"/>
  <c r="V108" i="39"/>
  <c r="Z137" i="39"/>
  <c r="J32" i="42"/>
  <c r="Z33" i="42"/>
  <c r="J45" i="42"/>
  <c r="J80" i="42"/>
  <c r="V88" i="42"/>
  <c r="V110" i="42"/>
  <c r="D12" i="45"/>
  <c r="X49" i="48"/>
  <c r="R49" i="48"/>
  <c r="L19" i="57"/>
  <c r="N19" i="57" s="1"/>
  <c r="X92" i="42"/>
  <c r="Z92" i="42" s="1"/>
  <c r="L20" i="45"/>
  <c r="N20" i="45" s="1"/>
  <c r="N62" i="45"/>
  <c r="L64" i="45"/>
  <c r="N64" i="45" s="1"/>
  <c r="N41" i="48"/>
  <c r="L43" i="48"/>
  <c r="N43" i="48" s="1"/>
  <c r="Z47" i="48"/>
  <c r="N59" i="51"/>
  <c r="Z106" i="51"/>
  <c r="L16" i="56"/>
  <c r="D81" i="56"/>
  <c r="N18" i="56"/>
  <c r="X30" i="58"/>
  <c r="Z30" i="58" s="1"/>
  <c r="Z53" i="61"/>
  <c r="X121" i="42"/>
  <c r="Z121" i="42" s="1"/>
  <c r="Z50" i="45"/>
  <c r="N53" i="48"/>
  <c r="L55" i="48"/>
  <c r="N55" i="48" s="1"/>
  <c r="Z59" i="51"/>
  <c r="L14" i="61"/>
  <c r="D16" i="61"/>
  <c r="L39" i="45"/>
  <c r="Z52" i="45"/>
  <c r="Z70" i="45"/>
  <c r="Z49" i="48"/>
  <c r="X65" i="48"/>
  <c r="N14" i="55"/>
  <c r="L14" i="55"/>
  <c r="L98" i="64"/>
  <c r="N98" i="64" s="1"/>
  <c r="V105" i="69"/>
  <c r="Z115" i="42"/>
  <c r="N39" i="45"/>
  <c r="L55" i="45"/>
  <c r="N66" i="45"/>
  <c r="D12" i="48"/>
  <c r="L13" i="48"/>
  <c r="N13" i="48" s="1"/>
  <c r="Z65" i="48"/>
  <c r="T112" i="51"/>
  <c r="Z28" i="54"/>
  <c r="Z82" i="45"/>
  <c r="X16" i="55"/>
  <c r="P33" i="55"/>
  <c r="X58" i="57"/>
  <c r="Z58" i="57" s="1"/>
  <c r="N45" i="64"/>
  <c r="N55" i="45"/>
  <c r="N57" i="48"/>
  <c r="V67" i="48"/>
  <c r="V70" i="51"/>
  <c r="L14" i="54"/>
  <c r="D16" i="54"/>
  <c r="T37" i="55"/>
  <c r="V92" i="45"/>
  <c r="N96" i="45"/>
  <c r="J57" i="48"/>
  <c r="N61" i="48"/>
  <c r="X67" i="48"/>
  <c r="Z67" i="48" s="1"/>
  <c r="X70" i="51"/>
  <c r="Z70" i="51" s="1"/>
  <c r="N16" i="54"/>
  <c r="H22" i="54"/>
  <c r="Z16" i="55"/>
  <c r="T81" i="56"/>
  <c r="Z16" i="56"/>
  <c r="X69" i="58"/>
  <c r="Z69" i="58" s="1"/>
  <c r="X77" i="45"/>
  <c r="Z77" i="45" s="1"/>
  <c r="X92" i="45"/>
  <c r="Z92" i="45" s="1"/>
  <c r="L57" i="48"/>
  <c r="N98" i="51"/>
  <c r="N58" i="59"/>
  <c r="D65" i="68"/>
  <c r="L16" i="68"/>
  <c r="D124" i="42"/>
  <c r="L124" i="42" s="1"/>
  <c r="N124" i="42" s="1"/>
  <c r="V22" i="45"/>
  <c r="V50" i="45"/>
  <c r="V58" i="45"/>
  <c r="V70" i="45"/>
  <c r="V82" i="45"/>
  <c r="V86" i="45"/>
  <c r="V90" i="45"/>
  <c r="V98" i="45"/>
  <c r="V100" i="45"/>
  <c r="V102" i="45"/>
  <c r="R15" i="48"/>
  <c r="R17" i="48"/>
  <c r="R19" i="48"/>
  <c r="V21" i="48"/>
  <c r="V25" i="48"/>
  <c r="V29" i="48"/>
  <c r="J33" i="48"/>
  <c r="R34" i="48"/>
  <c r="J37" i="48"/>
  <c r="R38" i="48"/>
  <c r="J43" i="48"/>
  <c r="R46" i="48"/>
  <c r="R47" i="48"/>
  <c r="V49" i="48"/>
  <c r="J55" i="48"/>
  <c r="R58" i="48"/>
  <c r="V65" i="48"/>
  <c r="J73" i="48"/>
  <c r="V41" i="51"/>
  <c r="V45" i="51"/>
  <c r="V49" i="51"/>
  <c r="V53" i="51"/>
  <c r="V62" i="51"/>
  <c r="V73" i="51"/>
  <c r="V90" i="51"/>
  <c r="N92" i="64"/>
  <c r="Z40" i="68"/>
  <c r="V35" i="45"/>
  <c r="V67" i="45"/>
  <c r="V75" i="45"/>
  <c r="T17" i="48"/>
  <c r="V30" i="48"/>
  <c r="V34" i="48"/>
  <c r="V38" i="48"/>
  <c r="J42" i="48"/>
  <c r="V46" i="48"/>
  <c r="J54" i="48"/>
  <c r="V58" i="48"/>
  <c r="J62" i="48"/>
  <c r="R63" i="48"/>
  <c r="J70" i="48"/>
  <c r="J71" i="48"/>
  <c r="R75" i="48"/>
  <c r="V102" i="51"/>
  <c r="V94" i="51"/>
  <c r="V82" i="51"/>
  <c r="V108" i="51"/>
  <c r="V98" i="51"/>
  <c r="V86" i="51"/>
  <c r="V78" i="51"/>
  <c r="V74" i="51"/>
  <c r="V112" i="51"/>
  <c r="V110" i="51"/>
  <c r="V88" i="51"/>
  <c r="V65" i="51"/>
  <c r="V76" i="51"/>
  <c r="V79" i="51"/>
  <c r="R27" i="55"/>
  <c r="F72" i="57"/>
  <c r="F71" i="57"/>
  <c r="F56" i="57"/>
  <c r="F28" i="57"/>
  <c r="F24" i="57"/>
  <c r="F20" i="57"/>
  <c r="F19" i="57"/>
  <c r="F74" i="57"/>
  <c r="F73" i="57"/>
  <c r="F38" i="57"/>
  <c r="F34" i="57"/>
  <c r="F30" i="57"/>
  <c r="F29" i="57"/>
  <c r="D16" i="57"/>
  <c r="F65" i="57"/>
  <c r="F64" i="57"/>
  <c r="F57" i="57"/>
  <c r="F49" i="57"/>
  <c r="F48" i="57"/>
  <c r="F78" i="57"/>
  <c r="F76" i="57"/>
  <c r="F67" i="57"/>
  <c r="F66" i="57"/>
  <c r="F59" i="57"/>
  <c r="F58" i="57"/>
  <c r="F51" i="57"/>
  <c r="F50" i="57"/>
  <c r="F39" i="57"/>
  <c r="F35" i="57"/>
  <c r="F31" i="57"/>
  <c r="F80" i="57"/>
  <c r="F26" i="57"/>
  <c r="F22" i="57"/>
  <c r="F25" i="57"/>
  <c r="F47" i="57"/>
  <c r="F40" i="57"/>
  <c r="F53" i="57"/>
  <c r="F23" i="57"/>
  <c r="F70" i="57"/>
  <c r="F41" i="57"/>
  <c r="F33" i="57"/>
  <c r="F21" i="57"/>
  <c r="F16" i="57"/>
  <c r="F82" i="57"/>
  <c r="F62" i="57"/>
  <c r="F44" i="57"/>
  <c r="F68" i="57"/>
  <c r="F45" i="57"/>
  <c r="F36" i="57"/>
  <c r="F18" i="57"/>
  <c r="F69" i="57"/>
  <c r="F60" i="57"/>
  <c r="F54" i="57"/>
  <c r="F42" i="57"/>
  <c r="F63" i="57"/>
  <c r="N48" i="61"/>
  <c r="V40" i="45"/>
  <c r="V44" i="45"/>
  <c r="V48" i="45"/>
  <c r="V56" i="45"/>
  <c r="V68" i="45"/>
  <c r="V80" i="45"/>
  <c r="V15" i="48"/>
  <c r="V17" i="48"/>
  <c r="V19" i="48"/>
  <c r="J23" i="48"/>
  <c r="R24" i="48"/>
  <c r="J27" i="48"/>
  <c r="R28" i="48"/>
  <c r="J41" i="48"/>
  <c r="R44" i="48"/>
  <c r="R45" i="48"/>
  <c r="V47" i="48"/>
  <c r="J53" i="48"/>
  <c r="R56" i="48"/>
  <c r="R57" i="48"/>
  <c r="J61" i="48"/>
  <c r="V63" i="48"/>
  <c r="V75" i="48"/>
  <c r="V68" i="51"/>
  <c r="V84" i="51"/>
  <c r="V85" i="51"/>
  <c r="V114" i="51"/>
  <c r="N29" i="54"/>
  <c r="X14" i="55"/>
  <c r="R19" i="55"/>
  <c r="X19" i="56"/>
  <c r="Z19" i="56" s="1"/>
  <c r="N42" i="56"/>
  <c r="H76" i="58"/>
  <c r="N16" i="58"/>
  <c r="Z53" i="58"/>
  <c r="T61" i="60"/>
  <c r="Z16" i="60"/>
  <c r="Z94" i="64"/>
  <c r="X94" i="64"/>
  <c r="V85" i="45"/>
  <c r="V89" i="45"/>
  <c r="V97" i="45"/>
  <c r="V20" i="48"/>
  <c r="V24" i="48"/>
  <c r="V28" i="48"/>
  <c r="J32" i="48"/>
  <c r="J36" i="48"/>
  <c r="J40" i="48"/>
  <c r="V44" i="48"/>
  <c r="J52" i="48"/>
  <c r="V56" i="48"/>
  <c r="J60" i="48"/>
  <c r="J68" i="48"/>
  <c r="V48" i="51"/>
  <c r="V52" i="51"/>
  <c r="V72" i="51"/>
  <c r="V95" i="51"/>
  <c r="V109" i="51"/>
  <c r="L12" i="57"/>
  <c r="N71" i="57"/>
  <c r="L71" i="57"/>
  <c r="Z76" i="64"/>
  <c r="V30" i="45"/>
  <c r="V34" i="45"/>
  <c r="V38" i="45"/>
  <c r="V54" i="45"/>
  <c r="V66" i="45"/>
  <c r="V74" i="45"/>
  <c r="V33" i="48"/>
  <c r="V37" i="48"/>
  <c r="R42" i="48"/>
  <c r="R43" i="48"/>
  <c r="V45" i="48"/>
  <c r="J51" i="48"/>
  <c r="R54" i="48"/>
  <c r="R55" i="48"/>
  <c r="V57" i="48"/>
  <c r="R62" i="48"/>
  <c r="J67" i="48"/>
  <c r="V61" i="51"/>
  <c r="V75" i="51"/>
  <c r="X98" i="51"/>
  <c r="Z98" i="51" s="1"/>
  <c r="V103" i="51"/>
  <c r="N12" i="54"/>
  <c r="J22" i="54"/>
  <c r="J20" i="54"/>
  <c r="J18" i="54"/>
  <c r="J16" i="54"/>
  <c r="J14" i="54"/>
  <c r="J24" i="54"/>
  <c r="F40" i="55"/>
  <c r="F37" i="55"/>
  <c r="F26" i="55"/>
  <c r="F25" i="55"/>
  <c r="F28" i="55"/>
  <c r="F27" i="55"/>
  <c r="F18" i="55"/>
  <c r="F16" i="55"/>
  <c r="F14" i="55"/>
  <c r="D16" i="55"/>
  <c r="F33" i="55"/>
  <c r="F22" i="55"/>
  <c r="F23" i="55"/>
  <c r="J29" i="55"/>
  <c r="L49" i="56"/>
  <c r="N49" i="56" s="1"/>
  <c r="N42" i="57"/>
  <c r="Z49" i="59"/>
  <c r="L56" i="60"/>
  <c r="L28" i="45"/>
  <c r="N28" i="45" s="1"/>
  <c r="L52" i="45"/>
  <c r="N52" i="45" s="1"/>
  <c r="L60" i="45"/>
  <c r="N60" i="45" s="1"/>
  <c r="V63" i="45"/>
  <c r="X66" i="45"/>
  <c r="Z66" i="45" s="1"/>
  <c r="L72" i="45"/>
  <c r="N72" i="45" s="1"/>
  <c r="V79" i="45"/>
  <c r="L92" i="45"/>
  <c r="N92" i="45" s="1"/>
  <c r="V95" i="45"/>
  <c r="J22" i="48"/>
  <c r="J26" i="48"/>
  <c r="V42" i="48"/>
  <c r="X45" i="48"/>
  <c r="Z45" i="48" s="1"/>
  <c r="J50" i="48"/>
  <c r="L51" i="48"/>
  <c r="N51" i="48" s="1"/>
  <c r="V54" i="48"/>
  <c r="X57" i="48"/>
  <c r="Z57" i="48" s="1"/>
  <c r="V62" i="48"/>
  <c r="J66" i="48"/>
  <c r="L67" i="48"/>
  <c r="N67" i="48" s="1"/>
  <c r="R70" i="48"/>
  <c r="R71" i="48"/>
  <c r="V64" i="51"/>
  <c r="V67" i="51"/>
  <c r="L70" i="51"/>
  <c r="N70" i="51" s="1"/>
  <c r="V89" i="51"/>
  <c r="V97" i="51"/>
  <c r="N106" i="51"/>
  <c r="R22" i="54"/>
  <c r="R20" i="54"/>
  <c r="R18" i="54"/>
  <c r="R16" i="54"/>
  <c r="R14" i="54"/>
  <c r="P16" i="54"/>
  <c r="R24" i="54"/>
  <c r="R31" i="54"/>
  <c r="R29" i="54"/>
  <c r="R28" i="54"/>
  <c r="R26" i="54"/>
  <c r="L20" i="54"/>
  <c r="J35" i="55"/>
  <c r="J27" i="55"/>
  <c r="J37" i="55"/>
  <c r="J20" i="55"/>
  <c r="J18" i="55"/>
  <c r="J16" i="55"/>
  <c r="J14" i="55"/>
  <c r="J31" i="55"/>
  <c r="J26" i="55"/>
  <c r="J21" i="55"/>
  <c r="J40" i="55"/>
  <c r="J22" i="55"/>
  <c r="J23" i="55"/>
  <c r="N12" i="55"/>
  <c r="H16" i="55"/>
  <c r="R26" i="55"/>
  <c r="F27" i="57"/>
  <c r="F37" i="57"/>
  <c r="F46" i="57"/>
  <c r="Z19" i="58"/>
  <c r="N41" i="58"/>
  <c r="P73" i="59"/>
  <c r="V49" i="59"/>
  <c r="X51" i="60"/>
  <c r="Z42" i="61"/>
  <c r="N55" i="61"/>
  <c r="L16" i="69"/>
  <c r="D12" i="69"/>
  <c r="V20" i="45"/>
  <c r="V64" i="45"/>
  <c r="V84" i="45"/>
  <c r="V88" i="45"/>
  <c r="V23" i="48"/>
  <c r="V27" i="48"/>
  <c r="J31" i="48"/>
  <c r="R32" i="48"/>
  <c r="J35" i="48"/>
  <c r="R36" i="48"/>
  <c r="J39" i="48"/>
  <c r="R40" i="48"/>
  <c r="R41" i="48"/>
  <c r="V43" i="48"/>
  <c r="J49" i="48"/>
  <c r="R52" i="48"/>
  <c r="R53" i="48"/>
  <c r="V55" i="48"/>
  <c r="J59" i="48"/>
  <c r="R60" i="48"/>
  <c r="R61" i="48"/>
  <c r="V71" i="48"/>
  <c r="V43" i="51"/>
  <c r="V47" i="51"/>
  <c r="V51" i="51"/>
  <c r="V71" i="51"/>
  <c r="V83" i="51"/>
  <c r="L85" i="51"/>
  <c r="N85" i="51" s="1"/>
  <c r="N29" i="57"/>
  <c r="L29" i="57"/>
  <c r="F55" i="57"/>
  <c r="F85" i="57"/>
  <c r="Z31" i="59"/>
  <c r="L14" i="64"/>
  <c r="D16" i="64"/>
  <c r="Z68" i="64"/>
  <c r="V32" i="48"/>
  <c r="V36" i="48"/>
  <c r="V40" i="48"/>
  <c r="V52" i="48"/>
  <c r="V60" i="48"/>
  <c r="V68" i="48"/>
  <c r="N28" i="54"/>
  <c r="R33" i="55"/>
  <c r="R31" i="55"/>
  <c r="R21" i="55"/>
  <c r="R20" i="55"/>
  <c r="R40" i="55"/>
  <c r="R23" i="55"/>
  <c r="R22" i="55"/>
  <c r="X12" i="55"/>
  <c r="R35" i="55"/>
  <c r="R24" i="55"/>
  <c r="R29" i="55"/>
  <c r="R18" i="55"/>
  <c r="R16" i="55"/>
  <c r="R14" i="55"/>
  <c r="Z21" i="55"/>
  <c r="X23" i="55"/>
  <c r="Z23" i="55" s="1"/>
  <c r="P85" i="56"/>
  <c r="X81" i="56"/>
  <c r="P78" i="57"/>
  <c r="L71" i="58"/>
  <c r="N71" i="58" s="1"/>
  <c r="L19" i="59"/>
  <c r="N19" i="59" s="1"/>
  <c r="Z51" i="60"/>
  <c r="L52" i="64"/>
  <c r="N52" i="64" s="1"/>
  <c r="F14" i="54"/>
  <c r="F16" i="54"/>
  <c r="F18" i="54"/>
  <c r="F20" i="54"/>
  <c r="F22" i="54"/>
  <c r="V16" i="56"/>
  <c r="J23" i="56"/>
  <c r="R32" i="56"/>
  <c r="F34" i="56"/>
  <c r="Z44" i="56"/>
  <c r="V47" i="56"/>
  <c r="J49" i="56"/>
  <c r="R51" i="56"/>
  <c r="F54" i="56"/>
  <c r="R62" i="56"/>
  <c r="F64" i="56"/>
  <c r="V77" i="56"/>
  <c r="J73" i="57"/>
  <c r="J63" i="57"/>
  <c r="J47" i="57"/>
  <c r="J29" i="57"/>
  <c r="H16" i="57"/>
  <c r="J65" i="57"/>
  <c r="J57" i="57"/>
  <c r="J49" i="57"/>
  <c r="J25" i="57"/>
  <c r="J21" i="57"/>
  <c r="J78" i="57"/>
  <c r="J76" i="57"/>
  <c r="J66" i="57"/>
  <c r="J58" i="57"/>
  <c r="J50" i="57"/>
  <c r="J67" i="57"/>
  <c r="J59" i="57"/>
  <c r="J51" i="57"/>
  <c r="J39" i="57"/>
  <c r="J35" i="57"/>
  <c r="J31" i="57"/>
  <c r="J80" i="57"/>
  <c r="J68" i="57"/>
  <c r="J60" i="57"/>
  <c r="J52" i="57"/>
  <c r="J40" i="57"/>
  <c r="J26" i="57"/>
  <c r="J22" i="57"/>
  <c r="J69" i="57"/>
  <c r="J61" i="57"/>
  <c r="J53" i="57"/>
  <c r="J41" i="57"/>
  <c r="J24" i="57"/>
  <c r="V25" i="57"/>
  <c r="V30" i="57"/>
  <c r="J34" i="57"/>
  <c r="J46" i="57"/>
  <c r="V72" i="57"/>
  <c r="J74" i="57"/>
  <c r="V80" i="57"/>
  <c r="J16" i="58"/>
  <c r="F41" i="58"/>
  <c r="J44" i="58"/>
  <c r="Z45" i="58"/>
  <c r="N55" i="58"/>
  <c r="N63" i="58"/>
  <c r="F74" i="58"/>
  <c r="V31" i="59"/>
  <c r="V35" i="59"/>
  <c r="N53" i="59"/>
  <c r="V64" i="59"/>
  <c r="N29" i="60"/>
  <c r="N46" i="60"/>
  <c r="V46" i="61"/>
  <c r="V53" i="61"/>
  <c r="N57" i="61"/>
  <c r="N72" i="64"/>
  <c r="N83" i="64"/>
  <c r="F72" i="70"/>
  <c r="V33" i="55"/>
  <c r="V31" i="55"/>
  <c r="V29" i="55"/>
  <c r="V21" i="55"/>
  <c r="V23" i="55"/>
  <c r="V14" i="55"/>
  <c r="V16" i="55"/>
  <c r="V18" i="55"/>
  <c r="Z25" i="55"/>
  <c r="F41" i="56"/>
  <c r="F40" i="56"/>
  <c r="F43" i="56"/>
  <c r="F42" i="56"/>
  <c r="F27" i="56"/>
  <c r="F23" i="56"/>
  <c r="F77" i="56"/>
  <c r="F69" i="56"/>
  <c r="F45" i="56"/>
  <c r="F44" i="56"/>
  <c r="F37" i="56"/>
  <c r="F33" i="56"/>
  <c r="F63" i="56"/>
  <c r="F18" i="56"/>
  <c r="F16" i="56"/>
  <c r="F14" i="56"/>
  <c r="F19" i="56"/>
  <c r="F20" i="56"/>
  <c r="F25" i="56"/>
  <c r="R26" i="56"/>
  <c r="R29" i="56"/>
  <c r="J31" i="56"/>
  <c r="V37" i="56"/>
  <c r="R43" i="56"/>
  <c r="R50" i="56"/>
  <c r="V51" i="56"/>
  <c r="F53" i="56"/>
  <c r="R54" i="56"/>
  <c r="R55" i="56"/>
  <c r="F58" i="56"/>
  <c r="V69" i="56"/>
  <c r="F71" i="56"/>
  <c r="F76" i="56"/>
  <c r="V22" i="57"/>
  <c r="J42" i="57"/>
  <c r="V52" i="57"/>
  <c r="J54" i="57"/>
  <c r="V58" i="57"/>
  <c r="V64" i="57"/>
  <c r="J71" i="57"/>
  <c r="J20" i="58"/>
  <c r="F24" i="58"/>
  <c r="F33" i="58"/>
  <c r="J38" i="58"/>
  <c r="J46" i="58"/>
  <c r="X47" i="58"/>
  <c r="F57" i="58"/>
  <c r="X58" i="58"/>
  <c r="F65" i="58"/>
  <c r="J70" i="58"/>
  <c r="Z71" i="58"/>
  <c r="J74" i="58"/>
  <c r="V30" i="59"/>
  <c r="V39" i="59"/>
  <c r="H16" i="60"/>
  <c r="N19" i="61"/>
  <c r="V22" i="61"/>
  <c r="N29" i="61"/>
  <c r="V41" i="61"/>
  <c r="V42" i="61"/>
  <c r="V52" i="61"/>
  <c r="N47" i="64"/>
  <c r="Z55" i="64"/>
  <c r="X66" i="64"/>
  <c r="N14" i="68"/>
  <c r="N53" i="68"/>
  <c r="V24" i="70"/>
  <c r="L68" i="70"/>
  <c r="N68" i="70" s="1"/>
  <c r="Z53" i="73"/>
  <c r="J76" i="56"/>
  <c r="J68" i="56"/>
  <c r="J60" i="56"/>
  <c r="J52" i="56"/>
  <c r="J42" i="56"/>
  <c r="J36" i="56"/>
  <c r="J32" i="56"/>
  <c r="N12" i="56"/>
  <c r="J62" i="56"/>
  <c r="J54" i="56"/>
  <c r="J44" i="56"/>
  <c r="J56" i="56"/>
  <c r="J28" i="56"/>
  <c r="J24" i="56"/>
  <c r="J20" i="56"/>
  <c r="J18" i="56"/>
  <c r="J16" i="56"/>
  <c r="J14" i="56"/>
  <c r="J70" i="56"/>
  <c r="J58" i="56"/>
  <c r="J46" i="56"/>
  <c r="J38" i="56"/>
  <c r="J34" i="56"/>
  <c r="J30" i="56"/>
  <c r="J25" i="56"/>
  <c r="Z40" i="56"/>
  <c r="R65" i="56"/>
  <c r="J88" i="56"/>
  <c r="V14" i="57"/>
  <c r="V63" i="57"/>
  <c r="J14" i="58"/>
  <c r="J24" i="58"/>
  <c r="F28" i="58"/>
  <c r="J33" i="58"/>
  <c r="F43" i="58"/>
  <c r="N49" i="58"/>
  <c r="F54" i="58"/>
  <c r="F62" i="58"/>
  <c r="J78" i="58"/>
  <c r="V67" i="59"/>
  <c r="V51" i="59"/>
  <c r="V27" i="59"/>
  <c r="V23" i="59"/>
  <c r="V66" i="59"/>
  <c r="V58" i="59"/>
  <c r="V50" i="59"/>
  <c r="V42" i="59"/>
  <c r="V57" i="59"/>
  <c r="V53" i="59"/>
  <c r="V41" i="59"/>
  <c r="V37" i="59"/>
  <c r="V33" i="59"/>
  <c r="V68" i="59"/>
  <c r="V60" i="59"/>
  <c r="V52" i="59"/>
  <c r="V44" i="59"/>
  <c r="V28" i="59"/>
  <c r="V24" i="59"/>
  <c r="V20" i="59"/>
  <c r="V59" i="59"/>
  <c r="V43" i="59"/>
  <c r="V19" i="59"/>
  <c r="V15" i="59"/>
  <c r="V62" i="59"/>
  <c r="V54" i="59"/>
  <c r="V38" i="59"/>
  <c r="V34" i="59"/>
  <c r="T17" i="59"/>
  <c r="V71" i="59"/>
  <c r="V69" i="59"/>
  <c r="V61" i="59"/>
  <c r="V45" i="59"/>
  <c r="V29" i="59"/>
  <c r="V25" i="59"/>
  <c r="V21" i="59"/>
  <c r="V27" i="61"/>
  <c r="J68" i="70"/>
  <c r="V67" i="57"/>
  <c r="V59" i="57"/>
  <c r="V51" i="57"/>
  <c r="V39" i="57"/>
  <c r="V35" i="57"/>
  <c r="V31" i="57"/>
  <c r="V69" i="57"/>
  <c r="V61" i="57"/>
  <c r="V53" i="57"/>
  <c r="V41" i="57"/>
  <c r="V44" i="57"/>
  <c r="V36" i="57"/>
  <c r="V71" i="57"/>
  <c r="V55" i="57"/>
  <c r="V43" i="57"/>
  <c r="V27" i="57"/>
  <c r="V23" i="57"/>
  <c r="V19" i="57"/>
  <c r="V70" i="57"/>
  <c r="V62" i="57"/>
  <c r="V46" i="57"/>
  <c r="V18" i="57"/>
  <c r="V73" i="57"/>
  <c r="V45" i="57"/>
  <c r="V37" i="57"/>
  <c r="V33" i="57"/>
  <c r="V29" i="57"/>
  <c r="T16" i="57"/>
  <c r="V24" i="57"/>
  <c r="V34" i="57"/>
  <c r="V57" i="57"/>
  <c r="V66" i="57"/>
  <c r="V74" i="57"/>
  <c r="N43" i="58"/>
  <c r="Z47" i="58"/>
  <c r="Z58" i="58"/>
  <c r="V32" i="61"/>
  <c r="V66" i="61"/>
  <c r="V60" i="70"/>
  <c r="L12" i="54"/>
  <c r="R77" i="56"/>
  <c r="R69" i="56"/>
  <c r="R45" i="56"/>
  <c r="R37" i="56"/>
  <c r="R33" i="56"/>
  <c r="R18" i="56"/>
  <c r="R16" i="56"/>
  <c r="R14" i="56"/>
  <c r="R63" i="56"/>
  <c r="R83" i="56"/>
  <c r="R25" i="56"/>
  <c r="R21" i="56"/>
  <c r="R59" i="56"/>
  <c r="R40" i="56"/>
  <c r="R39" i="56"/>
  <c r="R35" i="56"/>
  <c r="R31" i="56"/>
  <c r="R20" i="56"/>
  <c r="J27" i="56"/>
  <c r="J33" i="56"/>
  <c r="X55" i="56"/>
  <c r="Z55" i="56" s="1"/>
  <c r="J57" i="56"/>
  <c r="J63" i="56"/>
  <c r="J75" i="56"/>
  <c r="R76" i="56"/>
  <c r="Z12" i="57"/>
  <c r="V60" i="57"/>
  <c r="X66" i="57"/>
  <c r="F19" i="58"/>
  <c r="J43" i="58"/>
  <c r="L69" i="58"/>
  <c r="F72" i="58"/>
  <c r="Z12" i="59"/>
  <c r="V32" i="59"/>
  <c r="V36" i="59"/>
  <c r="V55" i="59"/>
  <c r="N65" i="59"/>
  <c r="L67" i="59"/>
  <c r="L14" i="60"/>
  <c r="L18" i="60"/>
  <c r="N18" i="60" s="1"/>
  <c r="Z40" i="60"/>
  <c r="V14" i="61"/>
  <c r="V19" i="61"/>
  <c r="Z96" i="69"/>
  <c r="L19" i="71"/>
  <c r="D12" i="71"/>
  <c r="V56" i="56"/>
  <c r="V28" i="56"/>
  <c r="V24" i="56"/>
  <c r="V20" i="56"/>
  <c r="V70" i="56"/>
  <c r="V58" i="56"/>
  <c r="V46" i="56"/>
  <c r="V38" i="56"/>
  <c r="V34" i="56"/>
  <c r="V30" i="56"/>
  <c r="V72" i="56"/>
  <c r="V64" i="56"/>
  <c r="V48" i="56"/>
  <c r="V40" i="56"/>
  <c r="V74" i="56"/>
  <c r="V66" i="56"/>
  <c r="V50" i="56"/>
  <c r="V42" i="56"/>
  <c r="V26" i="56"/>
  <c r="V22" i="56"/>
  <c r="J22" i="56"/>
  <c r="V25" i="56"/>
  <c r="R36" i="56"/>
  <c r="F38" i="56"/>
  <c r="J41" i="56"/>
  <c r="R48" i="56"/>
  <c r="V49" i="56"/>
  <c r="F51" i="56"/>
  <c r="X53" i="56"/>
  <c r="Z53" i="56" s="1"/>
  <c r="R60" i="56"/>
  <c r="V61" i="56"/>
  <c r="F70" i="56"/>
  <c r="V76" i="56"/>
  <c r="J79" i="56"/>
  <c r="R81" i="56"/>
  <c r="R88" i="56"/>
  <c r="Z19" i="57"/>
  <c r="V26" i="57"/>
  <c r="Z29" i="57"/>
  <c r="V42" i="57"/>
  <c r="J44" i="57"/>
  <c r="X48" i="57"/>
  <c r="V54" i="57"/>
  <c r="V65" i="57"/>
  <c r="J70" i="57"/>
  <c r="Z71" i="57"/>
  <c r="J82" i="57"/>
  <c r="F18" i="58"/>
  <c r="N19" i="58"/>
  <c r="F37" i="58"/>
  <c r="J48" i="58"/>
  <c r="N51" i="58"/>
  <c r="Z19" i="59"/>
  <c r="L42" i="59"/>
  <c r="V75" i="59"/>
  <c r="N54" i="60"/>
  <c r="X19" i="61"/>
  <c r="Z19" i="61" s="1"/>
  <c r="Z42" i="64"/>
  <c r="V58" i="70"/>
  <c r="X42" i="71"/>
  <c r="Z42" i="71" s="1"/>
  <c r="T60" i="71"/>
  <c r="V78" i="57"/>
  <c r="F46" i="58"/>
  <c r="F45" i="58"/>
  <c r="F38" i="58"/>
  <c r="F34" i="58"/>
  <c r="D16" i="58"/>
  <c r="F78" i="58"/>
  <c r="F48" i="58"/>
  <c r="F47" i="58"/>
  <c r="F59" i="58"/>
  <c r="F58" i="58"/>
  <c r="F39" i="58"/>
  <c r="F35" i="58"/>
  <c r="F31" i="58"/>
  <c r="F30" i="58"/>
  <c r="F66" i="58"/>
  <c r="F50" i="58"/>
  <c r="F49" i="58"/>
  <c r="F26" i="58"/>
  <c r="F22" i="58"/>
  <c r="F83" i="58"/>
  <c r="F80" i="58"/>
  <c r="F68" i="58"/>
  <c r="F67" i="58"/>
  <c r="F60" i="58"/>
  <c r="F52" i="58"/>
  <c r="F51" i="58"/>
  <c r="F40" i="58"/>
  <c r="F36" i="58"/>
  <c r="F32" i="58"/>
  <c r="L12" i="58"/>
  <c r="F42" i="58"/>
  <c r="Z49" i="58"/>
  <c r="L53" i="58"/>
  <c r="N53" i="58" s="1"/>
  <c r="F56" i="58"/>
  <c r="L61" i="58"/>
  <c r="F64" i="58"/>
  <c r="D12" i="59"/>
  <c r="L13" i="59"/>
  <c r="H73" i="59"/>
  <c r="L51" i="59"/>
  <c r="N51" i="59" s="1"/>
  <c r="X71" i="59"/>
  <c r="V57" i="61"/>
  <c r="V45" i="61"/>
  <c r="V37" i="61"/>
  <c r="V33" i="61"/>
  <c r="V29" i="61"/>
  <c r="T16" i="61"/>
  <c r="V56" i="61"/>
  <c r="V48" i="61"/>
  <c r="V28" i="61"/>
  <c r="V24" i="61"/>
  <c r="V20" i="61"/>
  <c r="V47" i="61"/>
  <c r="V62" i="61"/>
  <c r="V60" i="61"/>
  <c r="V58" i="61"/>
  <c r="V50" i="61"/>
  <c r="V38" i="61"/>
  <c r="V34" i="61"/>
  <c r="V30" i="61"/>
  <c r="V49" i="61"/>
  <c r="V25" i="61"/>
  <c r="V21" i="61"/>
  <c r="V40" i="61"/>
  <c r="V51" i="61"/>
  <c r="V39" i="61"/>
  <c r="V35" i="61"/>
  <c r="V31" i="61"/>
  <c r="V43" i="61"/>
  <c r="V44" i="61"/>
  <c r="V64" i="61"/>
  <c r="L29" i="64"/>
  <c r="N29" i="64" s="1"/>
  <c r="R65" i="70"/>
  <c r="R61" i="70"/>
  <c r="R60" i="70"/>
  <c r="R25" i="70"/>
  <c r="R20" i="70"/>
  <c r="R77" i="70"/>
  <c r="R52" i="70"/>
  <c r="R51" i="70"/>
  <c r="R43" i="70"/>
  <c r="R39" i="70"/>
  <c r="R24" i="70"/>
  <c r="R71" i="70"/>
  <c r="R67" i="70"/>
  <c r="R62" i="70"/>
  <c r="R35" i="70"/>
  <c r="R34" i="70"/>
  <c r="R30" i="70"/>
  <c r="R26" i="70"/>
  <c r="P22" i="70"/>
  <c r="R22" i="70" s="1"/>
  <c r="R72" i="70"/>
  <c r="R53" i="70"/>
  <c r="R68" i="70"/>
  <c r="R44" i="70"/>
  <c r="R40" i="70"/>
  <c r="R36" i="70"/>
  <c r="R17" i="70"/>
  <c r="R64" i="70"/>
  <c r="R63" i="70"/>
  <c r="R31" i="70"/>
  <c r="R27" i="70"/>
  <c r="R55" i="70"/>
  <c r="R54" i="70"/>
  <c r="R18" i="70"/>
  <c r="R74" i="70"/>
  <c r="R73" i="70"/>
  <c r="R69" i="70"/>
  <c r="R46" i="70"/>
  <c r="R45" i="70"/>
  <c r="R41" i="70"/>
  <c r="R37" i="70"/>
  <c r="R75" i="70"/>
  <c r="R70" i="70"/>
  <c r="R59" i="70"/>
  <c r="R58" i="70"/>
  <c r="R42" i="70"/>
  <c r="R38" i="70"/>
  <c r="X12" i="70"/>
  <c r="Z12" i="70" s="1"/>
  <c r="R33" i="70"/>
  <c r="R29" i="70"/>
  <c r="R56" i="70"/>
  <c r="R47" i="70"/>
  <c r="R19" i="70"/>
  <c r="R81" i="70"/>
  <c r="R57" i="70"/>
  <c r="R50" i="70"/>
  <c r="R48" i="70"/>
  <c r="R66" i="70"/>
  <c r="R32" i="70"/>
  <c r="R28" i="70"/>
  <c r="Z95" i="74"/>
  <c r="X95" i="74"/>
  <c r="V14" i="54"/>
  <c r="V16" i="54"/>
  <c r="V18" i="54"/>
  <c r="V20" i="54"/>
  <c r="F26" i="54"/>
  <c r="F28" i="54"/>
  <c r="F29" i="54"/>
  <c r="J35" i="56"/>
  <c r="Z42" i="56"/>
  <c r="N44" i="56"/>
  <c r="J51" i="56"/>
  <c r="R52" i="56"/>
  <c r="R57" i="56"/>
  <c r="J59" i="56"/>
  <c r="J74" i="56"/>
  <c r="V21" i="57"/>
  <c r="V28" i="57"/>
  <c r="V38" i="57"/>
  <c r="Z48" i="57"/>
  <c r="V68" i="57"/>
  <c r="X73" i="57"/>
  <c r="Z73" i="57" s="1"/>
  <c r="V82" i="57"/>
  <c r="J65" i="58"/>
  <c r="J57" i="58"/>
  <c r="J47" i="58"/>
  <c r="J29" i="58"/>
  <c r="J25" i="58"/>
  <c r="J21" i="58"/>
  <c r="J59" i="58"/>
  <c r="J49" i="58"/>
  <c r="J39" i="58"/>
  <c r="J35" i="58"/>
  <c r="J31" i="58"/>
  <c r="J83" i="58"/>
  <c r="J80" i="58"/>
  <c r="J66" i="58"/>
  <c r="J50" i="58"/>
  <c r="J26" i="58"/>
  <c r="J22" i="58"/>
  <c r="J67" i="58"/>
  <c r="J51" i="58"/>
  <c r="J68" i="58"/>
  <c r="J60" i="58"/>
  <c r="J52" i="58"/>
  <c r="J40" i="58"/>
  <c r="J36" i="58"/>
  <c r="J32" i="58"/>
  <c r="N12" i="58"/>
  <c r="J69" i="58"/>
  <c r="J61" i="58"/>
  <c r="J53" i="58"/>
  <c r="J41" i="58"/>
  <c r="J27" i="58"/>
  <c r="J23" i="58"/>
  <c r="J18" i="58"/>
  <c r="F21" i="58"/>
  <c r="J42" i="58"/>
  <c r="Z43" i="58"/>
  <c r="J45" i="58"/>
  <c r="F53" i="58"/>
  <c r="J56" i="58"/>
  <c r="F61" i="58"/>
  <c r="J64" i="58"/>
  <c r="Z47" i="59"/>
  <c r="V65" i="59"/>
  <c r="Z42" i="60"/>
  <c r="X12" i="61"/>
  <c r="V18" i="61"/>
  <c r="V26" i="61"/>
  <c r="L60" i="64"/>
  <c r="N60" i="64" s="1"/>
  <c r="V77" i="70"/>
  <c r="V75" i="70"/>
  <c r="V67" i="70"/>
  <c r="V72" i="70"/>
  <c r="V51" i="70"/>
  <c r="V43" i="70"/>
  <c r="V39" i="70"/>
  <c r="V35" i="70"/>
  <c r="T22" i="70"/>
  <c r="V71" i="70"/>
  <c r="V62" i="70"/>
  <c r="V34" i="70"/>
  <c r="V30" i="70"/>
  <c r="V26" i="70"/>
  <c r="V68" i="70"/>
  <c r="V53" i="70"/>
  <c r="V17" i="70"/>
  <c r="V64" i="70"/>
  <c r="V44" i="70"/>
  <c r="V40" i="70"/>
  <c r="V36" i="70"/>
  <c r="V63" i="70"/>
  <c r="V55" i="70"/>
  <c r="V31" i="70"/>
  <c r="V27" i="70"/>
  <c r="V74" i="70"/>
  <c r="V54" i="70"/>
  <c r="V46" i="70"/>
  <c r="V18" i="70"/>
  <c r="V73" i="70"/>
  <c r="V69" i="70"/>
  <c r="V57" i="70"/>
  <c r="V45" i="70"/>
  <c r="V41" i="70"/>
  <c r="V37" i="70"/>
  <c r="V65" i="70"/>
  <c r="V56" i="70"/>
  <c r="V48" i="70"/>
  <c r="V32" i="70"/>
  <c r="V28" i="70"/>
  <c r="V66" i="70"/>
  <c r="V61" i="70"/>
  <c r="V49" i="70"/>
  <c r="V33" i="70"/>
  <c r="V29" i="70"/>
  <c r="V25" i="70"/>
  <c r="V59" i="70"/>
  <c r="V50" i="70"/>
  <c r="V47" i="70"/>
  <c r="V19" i="70"/>
  <c r="V81" i="70"/>
  <c r="V52" i="70"/>
  <c r="V22" i="70"/>
  <c r="V70" i="70"/>
  <c r="V38" i="70"/>
  <c r="V42" i="70"/>
  <c r="V20" i="70"/>
  <c r="R19" i="57"/>
  <c r="R62" i="57"/>
  <c r="R70" i="57"/>
  <c r="R71" i="57"/>
  <c r="P16" i="58"/>
  <c r="R20" i="58"/>
  <c r="R24" i="58"/>
  <c r="R28" i="58"/>
  <c r="R44" i="58"/>
  <c r="R45" i="58"/>
  <c r="V47" i="58"/>
  <c r="R56" i="58"/>
  <c r="R64" i="58"/>
  <c r="R72" i="58"/>
  <c r="R15" i="59"/>
  <c r="R17" i="59"/>
  <c r="R19" i="59"/>
  <c r="J33" i="59"/>
  <c r="R34" i="59"/>
  <c r="J37" i="59"/>
  <c r="R38" i="59"/>
  <c r="J41" i="59"/>
  <c r="J51" i="59"/>
  <c r="R54" i="59"/>
  <c r="J57" i="59"/>
  <c r="J67" i="59"/>
  <c r="J14" i="60"/>
  <c r="J16" i="60"/>
  <c r="J18" i="60"/>
  <c r="J20" i="60"/>
  <c r="R21" i="60"/>
  <c r="J24" i="60"/>
  <c r="R25" i="60"/>
  <c r="J28" i="60"/>
  <c r="F33" i="60"/>
  <c r="F37" i="60"/>
  <c r="V40" i="60"/>
  <c r="F44" i="60"/>
  <c r="F45" i="60"/>
  <c r="J46" i="60"/>
  <c r="V48" i="60"/>
  <c r="F53" i="60"/>
  <c r="J54" i="60"/>
  <c r="R57" i="60"/>
  <c r="H16" i="61"/>
  <c r="F28" i="61"/>
  <c r="J29" i="61"/>
  <c r="J47" i="61"/>
  <c r="F55" i="61"/>
  <c r="F56" i="61"/>
  <c r="J57" i="61"/>
  <c r="H16" i="64"/>
  <c r="F19" i="64"/>
  <c r="F20" i="64"/>
  <c r="F24" i="64"/>
  <c r="F28" i="64"/>
  <c r="J29" i="64"/>
  <c r="V31" i="64"/>
  <c r="V35" i="64"/>
  <c r="V39" i="64"/>
  <c r="F44" i="64"/>
  <c r="J45" i="64"/>
  <c r="R48" i="64"/>
  <c r="J51" i="64"/>
  <c r="V55" i="64"/>
  <c r="J59" i="64"/>
  <c r="V63" i="64"/>
  <c r="J71" i="64"/>
  <c r="V79" i="64"/>
  <c r="F83" i="64"/>
  <c r="F84" i="64"/>
  <c r="F88" i="64"/>
  <c r="Z90" i="64"/>
  <c r="V93" i="64"/>
  <c r="J98" i="64"/>
  <c r="F109" i="64"/>
  <c r="V113" i="69"/>
  <c r="V97" i="69"/>
  <c r="V89" i="69"/>
  <c r="V85" i="69"/>
  <c r="V81" i="69"/>
  <c r="T68" i="69"/>
  <c r="V116" i="69"/>
  <c r="V108" i="69"/>
  <c r="V80" i="69"/>
  <c r="V76" i="69"/>
  <c r="V72" i="69"/>
  <c r="V115" i="69"/>
  <c r="V107" i="69"/>
  <c r="V99" i="69"/>
  <c r="V98" i="69"/>
  <c r="V90" i="69"/>
  <c r="V86" i="69"/>
  <c r="V82" i="69"/>
  <c r="V119" i="69"/>
  <c r="V117" i="69"/>
  <c r="V109" i="69"/>
  <c r="V101" i="69"/>
  <c r="V77" i="69"/>
  <c r="V73" i="69"/>
  <c r="V120" i="69"/>
  <c r="V100" i="69"/>
  <c r="V92" i="69"/>
  <c r="V64" i="69"/>
  <c r="V60" i="69"/>
  <c r="V56" i="69"/>
  <c r="V52" i="69"/>
  <c r="V48" i="69"/>
  <c r="V111" i="69"/>
  <c r="V103" i="69"/>
  <c r="V91" i="69"/>
  <c r="V87" i="69"/>
  <c r="V83" i="69"/>
  <c r="V110" i="69"/>
  <c r="V102" i="69"/>
  <c r="V94" i="69"/>
  <c r="V78" i="69"/>
  <c r="V74" i="69"/>
  <c r="V95" i="69"/>
  <c r="V79" i="69"/>
  <c r="V75" i="69"/>
  <c r="V71" i="69"/>
  <c r="V59" i="69"/>
  <c r="N99" i="69"/>
  <c r="F36" i="70"/>
  <c r="N64" i="70"/>
  <c r="N90" i="71"/>
  <c r="V20" i="58"/>
  <c r="V24" i="58"/>
  <c r="V28" i="58"/>
  <c r="V44" i="58"/>
  <c r="V56" i="58"/>
  <c r="V64" i="58"/>
  <c r="V72" i="58"/>
  <c r="V74" i="58"/>
  <c r="V76" i="58"/>
  <c r="J50" i="59"/>
  <c r="J66" i="59"/>
  <c r="R30" i="60"/>
  <c r="R34" i="60"/>
  <c r="R38" i="60"/>
  <c r="F65" i="60"/>
  <c r="F68" i="60"/>
  <c r="J14" i="61"/>
  <c r="J16" i="61"/>
  <c r="J18" i="61"/>
  <c r="J20" i="61"/>
  <c r="J24" i="61"/>
  <c r="J28" i="61"/>
  <c r="J46" i="61"/>
  <c r="J56" i="61"/>
  <c r="R60" i="61"/>
  <c r="R62" i="61"/>
  <c r="J14" i="64"/>
  <c r="J16" i="64"/>
  <c r="J18" i="64"/>
  <c r="J20" i="64"/>
  <c r="J24" i="64"/>
  <c r="J28" i="64"/>
  <c r="V40" i="64"/>
  <c r="J44" i="64"/>
  <c r="V48" i="64"/>
  <c r="R53" i="64"/>
  <c r="J58" i="64"/>
  <c r="R61" i="64"/>
  <c r="R62" i="64"/>
  <c r="V64" i="64"/>
  <c r="J70" i="64"/>
  <c r="R73" i="64"/>
  <c r="V80" i="64"/>
  <c r="J84" i="64"/>
  <c r="R85" i="64"/>
  <c r="J88" i="64"/>
  <c r="R89" i="64"/>
  <c r="J95" i="64"/>
  <c r="J109" i="64"/>
  <c r="N19" i="68"/>
  <c r="N108" i="69"/>
  <c r="L108" i="69"/>
  <c r="X77" i="73"/>
  <c r="Z77" i="73" s="1"/>
  <c r="X12" i="57"/>
  <c r="R32" i="57"/>
  <c r="R36" i="57"/>
  <c r="T16" i="58"/>
  <c r="R19" i="58"/>
  <c r="V33" i="58"/>
  <c r="V37" i="58"/>
  <c r="R42" i="58"/>
  <c r="R43" i="58"/>
  <c r="V45" i="58"/>
  <c r="R54" i="58"/>
  <c r="R55" i="58"/>
  <c r="R62" i="58"/>
  <c r="R63" i="58"/>
  <c r="R70" i="58"/>
  <c r="R71" i="58"/>
  <c r="J23" i="59"/>
  <c r="R24" i="59"/>
  <c r="J27" i="59"/>
  <c r="R28" i="59"/>
  <c r="J49" i="59"/>
  <c r="R52" i="59"/>
  <c r="R53" i="59"/>
  <c r="J65" i="59"/>
  <c r="R68" i="59"/>
  <c r="J77" i="59"/>
  <c r="J80" i="59"/>
  <c r="F23" i="60"/>
  <c r="F27" i="60"/>
  <c r="V30" i="60"/>
  <c r="V34" i="60"/>
  <c r="V38" i="60"/>
  <c r="F42" i="60"/>
  <c r="F43" i="60"/>
  <c r="J44" i="60"/>
  <c r="R47" i="60"/>
  <c r="R55" i="60"/>
  <c r="R56" i="60"/>
  <c r="J19" i="61"/>
  <c r="R30" i="61"/>
  <c r="J33" i="61"/>
  <c r="R34" i="61"/>
  <c r="J37" i="61"/>
  <c r="R38" i="61"/>
  <c r="J45" i="61"/>
  <c r="F53" i="61"/>
  <c r="F54" i="61"/>
  <c r="J55" i="61"/>
  <c r="R58" i="61"/>
  <c r="F99" i="64"/>
  <c r="F98" i="64"/>
  <c r="F91" i="64"/>
  <c r="F90" i="64"/>
  <c r="F102" i="64"/>
  <c r="F93" i="64"/>
  <c r="F92" i="64"/>
  <c r="F103" i="64"/>
  <c r="F101" i="64"/>
  <c r="F104" i="64"/>
  <c r="F95" i="64"/>
  <c r="F94" i="64"/>
  <c r="J19" i="64"/>
  <c r="V21" i="64"/>
  <c r="V25" i="64"/>
  <c r="R30" i="64"/>
  <c r="J33" i="64"/>
  <c r="R34" i="64"/>
  <c r="J37" i="64"/>
  <c r="R38" i="64"/>
  <c r="R46" i="64"/>
  <c r="R47" i="64"/>
  <c r="F50" i="64"/>
  <c r="V53" i="64"/>
  <c r="J57" i="64"/>
  <c r="V61" i="64"/>
  <c r="J69" i="64"/>
  <c r="V73" i="64"/>
  <c r="J77" i="64"/>
  <c r="R78" i="64"/>
  <c r="F82" i="64"/>
  <c r="J83" i="64"/>
  <c r="V85" i="64"/>
  <c r="V89" i="64"/>
  <c r="F97" i="64"/>
  <c r="R102" i="64"/>
  <c r="V105" i="64"/>
  <c r="J56" i="68"/>
  <c r="J50" i="68"/>
  <c r="J72" i="68"/>
  <c r="J69" i="68"/>
  <c r="J51" i="68"/>
  <c r="J39" i="68"/>
  <c r="J35" i="68"/>
  <c r="J31" i="68"/>
  <c r="J57" i="68"/>
  <c r="J41" i="68"/>
  <c r="J58" i="68"/>
  <c r="J52" i="68"/>
  <c r="J42" i="68"/>
  <c r="J36" i="68"/>
  <c r="J32" i="68"/>
  <c r="N12" i="68"/>
  <c r="J59" i="68"/>
  <c r="J53" i="68"/>
  <c r="J43" i="68"/>
  <c r="J27" i="68"/>
  <c r="J23" i="68"/>
  <c r="L12" i="68"/>
  <c r="J61" i="68"/>
  <c r="J45" i="68"/>
  <c r="J37" i="68"/>
  <c r="J33" i="68"/>
  <c r="J19" i="68"/>
  <c r="J48" i="68"/>
  <c r="J38" i="68"/>
  <c r="J34" i="68"/>
  <c r="V14" i="68"/>
  <c r="V22" i="68"/>
  <c r="N29" i="68"/>
  <c r="V32" i="68"/>
  <c r="V51" i="68"/>
  <c r="V54" i="69"/>
  <c r="V61" i="69"/>
  <c r="N52" i="70"/>
  <c r="X99" i="71"/>
  <c r="V14" i="58"/>
  <c r="V16" i="58"/>
  <c r="V18" i="58"/>
  <c r="V42" i="58"/>
  <c r="V54" i="58"/>
  <c r="V62" i="58"/>
  <c r="V70" i="58"/>
  <c r="J32" i="59"/>
  <c r="J36" i="59"/>
  <c r="J40" i="59"/>
  <c r="J48" i="59"/>
  <c r="J56" i="59"/>
  <c r="J64" i="59"/>
  <c r="P16" i="60"/>
  <c r="R20" i="60"/>
  <c r="R24" i="60"/>
  <c r="R28" i="60"/>
  <c r="R29" i="60"/>
  <c r="F36" i="60"/>
  <c r="F51" i="60"/>
  <c r="F52" i="60"/>
  <c r="J44" i="61"/>
  <c r="J54" i="61"/>
  <c r="J92" i="64"/>
  <c r="J103" i="64"/>
  <c r="J94" i="64"/>
  <c r="J104" i="64"/>
  <c r="J105" i="64"/>
  <c r="J96" i="64"/>
  <c r="V30" i="64"/>
  <c r="V34" i="64"/>
  <c r="V38" i="64"/>
  <c r="V46" i="64"/>
  <c r="J50" i="64"/>
  <c r="R59" i="64"/>
  <c r="R60" i="64"/>
  <c r="V62" i="64"/>
  <c r="J68" i="64"/>
  <c r="R71" i="64"/>
  <c r="R72" i="64"/>
  <c r="J76" i="64"/>
  <c r="V78" i="64"/>
  <c r="J82" i="64"/>
  <c r="J91" i="64"/>
  <c r="J97" i="64"/>
  <c r="V102" i="64"/>
  <c r="J114" i="64"/>
  <c r="N116" i="69"/>
  <c r="L116" i="69"/>
  <c r="D22" i="70"/>
  <c r="F27" i="70"/>
  <c r="F31" i="70"/>
  <c r="Z48" i="70"/>
  <c r="X48" i="70"/>
  <c r="F63" i="70"/>
  <c r="Z99" i="71"/>
  <c r="R22" i="57"/>
  <c r="R26" i="57"/>
  <c r="X12" i="58"/>
  <c r="V19" i="58"/>
  <c r="V23" i="58"/>
  <c r="V27" i="58"/>
  <c r="R32" i="58"/>
  <c r="R36" i="58"/>
  <c r="R40" i="58"/>
  <c r="R41" i="58"/>
  <c r="V43" i="58"/>
  <c r="R52" i="58"/>
  <c r="R53" i="58"/>
  <c r="V55" i="58"/>
  <c r="R60" i="58"/>
  <c r="R61" i="58"/>
  <c r="V63" i="58"/>
  <c r="R68" i="58"/>
  <c r="R69" i="58"/>
  <c r="V71" i="58"/>
  <c r="J31" i="59"/>
  <c r="J47" i="59"/>
  <c r="R50" i="59"/>
  <c r="R51" i="59"/>
  <c r="R66" i="59"/>
  <c r="R67" i="59"/>
  <c r="J75" i="59"/>
  <c r="R14" i="60"/>
  <c r="R16" i="60"/>
  <c r="R18" i="60"/>
  <c r="V24" i="60"/>
  <c r="V28" i="60"/>
  <c r="R33" i="60"/>
  <c r="R37" i="60"/>
  <c r="F40" i="60"/>
  <c r="F41" i="60"/>
  <c r="J42" i="60"/>
  <c r="R45" i="60"/>
  <c r="R46" i="60"/>
  <c r="J52" i="60"/>
  <c r="R53" i="60"/>
  <c r="R54" i="60"/>
  <c r="V56" i="60"/>
  <c r="F63" i="60"/>
  <c r="L12" i="61"/>
  <c r="P16" i="61"/>
  <c r="R20" i="61"/>
  <c r="J23" i="61"/>
  <c r="R24" i="61"/>
  <c r="J27" i="61"/>
  <c r="R28" i="61"/>
  <c r="R29" i="61"/>
  <c r="J43" i="61"/>
  <c r="F52" i="61"/>
  <c r="J53" i="61"/>
  <c r="R56" i="61"/>
  <c r="R57" i="61"/>
  <c r="L12" i="64"/>
  <c r="R20" i="64"/>
  <c r="J23" i="64"/>
  <c r="R24" i="64"/>
  <c r="J27" i="64"/>
  <c r="R28" i="64"/>
  <c r="R29" i="64"/>
  <c r="J43" i="64"/>
  <c r="R44" i="64"/>
  <c r="R45" i="64"/>
  <c r="V47" i="64"/>
  <c r="V51" i="64"/>
  <c r="F55" i="64"/>
  <c r="F56" i="64"/>
  <c r="V59" i="64"/>
  <c r="J67" i="64"/>
  <c r="V71" i="64"/>
  <c r="J75" i="64"/>
  <c r="R84" i="64"/>
  <c r="J87" i="64"/>
  <c r="R88" i="64"/>
  <c r="R92" i="64"/>
  <c r="V95" i="64"/>
  <c r="Z98" i="64"/>
  <c r="P101" i="64"/>
  <c r="X101" i="64" s="1"/>
  <c r="Z101" i="64" s="1"/>
  <c r="V60" i="68"/>
  <c r="V52" i="68"/>
  <c r="V44" i="68"/>
  <c r="V59" i="68"/>
  <c r="V43" i="68"/>
  <c r="V27" i="68"/>
  <c r="V23" i="68"/>
  <c r="V19" i="68"/>
  <c r="V65" i="68"/>
  <c r="V63" i="68"/>
  <c r="V61" i="68"/>
  <c r="V45" i="68"/>
  <c r="V37" i="68"/>
  <c r="V33" i="68"/>
  <c r="V29" i="68"/>
  <c r="T16" i="68"/>
  <c r="V48" i="68"/>
  <c r="V28" i="68"/>
  <c r="V24" i="68"/>
  <c r="V20" i="68"/>
  <c r="V55" i="68"/>
  <c r="V47" i="68"/>
  <c r="V72" i="68"/>
  <c r="V69" i="68"/>
  <c r="V67" i="68"/>
  <c r="V49" i="68"/>
  <c r="V25" i="68"/>
  <c r="V21" i="68"/>
  <c r="V58" i="68"/>
  <c r="V42" i="68"/>
  <c r="V41" i="68"/>
  <c r="Z45" i="69"/>
  <c r="V112" i="69"/>
  <c r="V114" i="69"/>
  <c r="L17" i="70"/>
  <c r="F37" i="70"/>
  <c r="X59" i="70"/>
  <c r="Z59" i="70" s="1"/>
  <c r="Z64" i="70"/>
  <c r="L18" i="73"/>
  <c r="D12" i="73"/>
  <c r="R19" i="60"/>
  <c r="V20" i="64"/>
  <c r="V24" i="64"/>
  <c r="V28" i="64"/>
  <c r="V44" i="64"/>
  <c r="V52" i="64"/>
  <c r="V60" i="64"/>
  <c r="J66" i="64"/>
  <c r="V72" i="64"/>
  <c r="V84" i="64"/>
  <c r="V88" i="64"/>
  <c r="Z92" i="64"/>
  <c r="R101" i="64"/>
  <c r="X13" i="69"/>
  <c r="Z13" i="69" s="1"/>
  <c r="P12" i="69"/>
  <c r="H22" i="70"/>
  <c r="N17" i="70"/>
  <c r="Z50" i="70"/>
  <c r="H126" i="71"/>
  <c r="R22" i="58"/>
  <c r="R26" i="58"/>
  <c r="V41" i="58"/>
  <c r="R50" i="58"/>
  <c r="R51" i="58"/>
  <c r="V53" i="58"/>
  <c r="V61" i="58"/>
  <c r="R66" i="58"/>
  <c r="R32" i="59"/>
  <c r="J35" i="59"/>
  <c r="R36" i="59"/>
  <c r="J39" i="59"/>
  <c r="R40" i="59"/>
  <c r="R48" i="59"/>
  <c r="R49" i="59"/>
  <c r="J55" i="59"/>
  <c r="R56" i="59"/>
  <c r="J63" i="59"/>
  <c r="R64" i="59"/>
  <c r="R65" i="59"/>
  <c r="J71" i="59"/>
  <c r="R77" i="59"/>
  <c r="V14" i="60"/>
  <c r="V16" i="60"/>
  <c r="V18" i="60"/>
  <c r="R23" i="60"/>
  <c r="R27" i="60"/>
  <c r="F31" i="60"/>
  <c r="F35" i="60"/>
  <c r="J40" i="60"/>
  <c r="R43" i="60"/>
  <c r="V46" i="60"/>
  <c r="R19" i="61"/>
  <c r="R54" i="61"/>
  <c r="R105" i="64"/>
  <c r="R95" i="64"/>
  <c r="R96" i="64"/>
  <c r="R109" i="64"/>
  <c r="R98" i="64"/>
  <c r="R97" i="64"/>
  <c r="R90" i="64"/>
  <c r="T16" i="64"/>
  <c r="R19" i="64"/>
  <c r="V29" i="64"/>
  <c r="V33" i="64"/>
  <c r="V37" i="64"/>
  <c r="J41" i="64"/>
  <c r="V45" i="64"/>
  <c r="J49" i="64"/>
  <c r="R50" i="64"/>
  <c r="F54" i="64"/>
  <c r="J55" i="64"/>
  <c r="V57" i="64"/>
  <c r="J65" i="64"/>
  <c r="V69" i="64"/>
  <c r="F74" i="64"/>
  <c r="V77" i="64"/>
  <c r="J81" i="64"/>
  <c r="R82" i="64"/>
  <c r="R83" i="64"/>
  <c r="F86" i="64"/>
  <c r="R91" i="64"/>
  <c r="L94" i="64"/>
  <c r="V97" i="64"/>
  <c r="J99" i="64"/>
  <c r="F107" i="64"/>
  <c r="F111" i="64"/>
  <c r="R114" i="64"/>
  <c r="L14" i="68"/>
  <c r="Z29" i="68"/>
  <c r="F69" i="70"/>
  <c r="F68" i="70"/>
  <c r="F56" i="70"/>
  <c r="F55" i="70"/>
  <c r="F32" i="70"/>
  <c r="F28" i="70"/>
  <c r="F81" i="70"/>
  <c r="F74" i="70"/>
  <c r="F47" i="70"/>
  <c r="F46" i="70"/>
  <c r="F19" i="70"/>
  <c r="F75" i="70"/>
  <c r="F70" i="70"/>
  <c r="F58" i="70"/>
  <c r="F57" i="70"/>
  <c r="F42" i="70"/>
  <c r="F38" i="70"/>
  <c r="L12" i="70"/>
  <c r="N12" i="70" s="1"/>
  <c r="F66" i="70"/>
  <c r="F49" i="70"/>
  <c r="F48" i="70"/>
  <c r="F33" i="70"/>
  <c r="F29" i="70"/>
  <c r="F60" i="70"/>
  <c r="F59" i="70"/>
  <c r="F20" i="70"/>
  <c r="F71" i="70"/>
  <c r="F51" i="70"/>
  <c r="F50" i="70"/>
  <c r="F43" i="70"/>
  <c r="F39" i="70"/>
  <c r="F67" i="70"/>
  <c r="F62" i="70"/>
  <c r="F61" i="70"/>
  <c r="F34" i="70"/>
  <c r="F30" i="70"/>
  <c r="F26" i="70"/>
  <c r="F25" i="70"/>
  <c r="F77" i="70"/>
  <c r="F53" i="70"/>
  <c r="F52" i="70"/>
  <c r="F24" i="70"/>
  <c r="F22" i="70"/>
  <c r="F73" i="70"/>
  <c r="F54" i="70"/>
  <c r="F18" i="70"/>
  <c r="F17" i="70"/>
  <c r="J17" i="70"/>
  <c r="F65" i="70"/>
  <c r="V96" i="64"/>
  <c r="V114" i="64"/>
  <c r="V111" i="64"/>
  <c r="V109" i="64"/>
  <c r="V98" i="64"/>
  <c r="V90" i="64"/>
  <c r="V92" i="64"/>
  <c r="V14" i="64"/>
  <c r="V16" i="64"/>
  <c r="V18" i="64"/>
  <c r="V50" i="64"/>
  <c r="V58" i="64"/>
  <c r="V70" i="64"/>
  <c r="V82" i="64"/>
  <c r="V91" i="64"/>
  <c r="V101" i="64"/>
  <c r="X40" i="68"/>
  <c r="Z94" i="69"/>
  <c r="X94" i="69"/>
  <c r="X105" i="69"/>
  <c r="Z105" i="69" s="1"/>
  <c r="J83" i="69"/>
  <c r="J87" i="69"/>
  <c r="J91" i="69"/>
  <c r="J101" i="69"/>
  <c r="J119" i="69"/>
  <c r="J120" i="69"/>
  <c r="J41" i="70"/>
  <c r="J45" i="70"/>
  <c r="J55" i="70"/>
  <c r="J65" i="70"/>
  <c r="J69" i="70"/>
  <c r="X13" i="71"/>
  <c r="P12" i="71"/>
  <c r="X94" i="71"/>
  <c r="Z94" i="71" s="1"/>
  <c r="X71" i="73"/>
  <c r="Z71" i="73" s="1"/>
  <c r="N82" i="74"/>
  <c r="N42" i="76"/>
  <c r="R91" i="84"/>
  <c r="R90" i="84"/>
  <c r="R82" i="84"/>
  <c r="R78" i="84"/>
  <c r="R87" i="84"/>
  <c r="R86" i="84"/>
  <c r="R88" i="84"/>
  <c r="R80" i="84"/>
  <c r="R75" i="84"/>
  <c r="R74" i="84"/>
  <c r="R35" i="84"/>
  <c r="R34" i="84"/>
  <c r="R30" i="84"/>
  <c r="R26" i="84"/>
  <c r="R84" i="84"/>
  <c r="R77" i="84"/>
  <c r="R76" i="84"/>
  <c r="R44" i="84"/>
  <c r="R71" i="84"/>
  <c r="R64" i="84"/>
  <c r="R63" i="84"/>
  <c r="R31" i="84"/>
  <c r="R66" i="84"/>
  <c r="R65" i="84"/>
  <c r="R46" i="84"/>
  <c r="R45" i="84"/>
  <c r="R41" i="84"/>
  <c r="R37" i="84"/>
  <c r="R72" i="84"/>
  <c r="R92" i="84"/>
  <c r="R73" i="84"/>
  <c r="R58" i="84"/>
  <c r="R57" i="84"/>
  <c r="R50" i="84"/>
  <c r="R49" i="84"/>
  <c r="R68" i="84"/>
  <c r="R62" i="84"/>
  <c r="R27" i="84"/>
  <c r="R19" i="84"/>
  <c r="R89" i="84"/>
  <c r="R53" i="84"/>
  <c r="R39" i="84"/>
  <c r="R36" i="84"/>
  <c r="R59" i="84"/>
  <c r="R47" i="84"/>
  <c r="R48" i="84"/>
  <c r="R42" i="84"/>
  <c r="R33" i="84"/>
  <c r="R20" i="84"/>
  <c r="R85" i="84"/>
  <c r="R28" i="84"/>
  <c r="R94" i="84"/>
  <c r="R69" i="84"/>
  <c r="R60" i="84"/>
  <c r="R98" i="84"/>
  <c r="R83" i="84"/>
  <c r="R54" i="84"/>
  <c r="R51" i="84"/>
  <c r="R40" i="84"/>
  <c r="R25" i="84"/>
  <c r="R24" i="84"/>
  <c r="P22" i="84"/>
  <c r="R22" i="84" s="1"/>
  <c r="R17" i="84"/>
  <c r="R81" i="84"/>
  <c r="R79" i="84"/>
  <c r="R70" i="84"/>
  <c r="R67" i="84"/>
  <c r="R55" i="84"/>
  <c r="R43" i="84"/>
  <c r="R61" i="84"/>
  <c r="R32" i="84"/>
  <c r="X12" i="84"/>
  <c r="Z12" i="84" s="1"/>
  <c r="R38" i="84"/>
  <c r="R29" i="84"/>
  <c r="R56" i="84"/>
  <c r="R18" i="84"/>
  <c r="R52" i="84"/>
  <c r="R30" i="68"/>
  <c r="R34" i="68"/>
  <c r="R38" i="68"/>
  <c r="F53" i="68"/>
  <c r="F54" i="68"/>
  <c r="J82" i="69"/>
  <c r="J86" i="69"/>
  <c r="J90" i="69"/>
  <c r="J98" i="69"/>
  <c r="J108" i="69"/>
  <c r="J116" i="69"/>
  <c r="J36" i="70"/>
  <c r="J40" i="70"/>
  <c r="J44" i="70"/>
  <c r="V42" i="71"/>
  <c r="V50" i="71"/>
  <c r="V78" i="71"/>
  <c r="N87" i="71"/>
  <c r="V93" i="71"/>
  <c r="V79" i="73"/>
  <c r="V55" i="73"/>
  <c r="V27" i="73"/>
  <c r="V23" i="73"/>
  <c r="V78" i="73"/>
  <c r="V66" i="73"/>
  <c r="V54" i="73"/>
  <c r="V46" i="73"/>
  <c r="V42" i="73"/>
  <c r="V38" i="73"/>
  <c r="T25" i="73"/>
  <c r="V25" i="73" s="1"/>
  <c r="V82" i="73"/>
  <c r="V80" i="73"/>
  <c r="V56" i="73"/>
  <c r="V20" i="73"/>
  <c r="V67" i="73"/>
  <c r="V59" i="73"/>
  <c r="V47" i="73"/>
  <c r="V43" i="73"/>
  <c r="V39" i="73"/>
  <c r="V74" i="73"/>
  <c r="V58" i="73"/>
  <c r="V34" i="73"/>
  <c r="V30" i="73"/>
  <c r="V69" i="73"/>
  <c r="V61" i="73"/>
  <c r="V86" i="73"/>
  <c r="V68" i="73"/>
  <c r="V60" i="73"/>
  <c r="V48" i="73"/>
  <c r="V44" i="73"/>
  <c r="V40" i="73"/>
  <c r="V75" i="73"/>
  <c r="V71" i="73"/>
  <c r="V63" i="73"/>
  <c r="V51" i="73"/>
  <c r="V35" i="73"/>
  <c r="V31" i="73"/>
  <c r="V77" i="73"/>
  <c r="V65" i="73"/>
  <c r="V53" i="73"/>
  <c r="V45" i="73"/>
  <c r="V41" i="73"/>
  <c r="V52" i="73"/>
  <c r="D12" i="74"/>
  <c r="D12" i="75"/>
  <c r="J72" i="70"/>
  <c r="Z74" i="70"/>
  <c r="J113" i="75"/>
  <c r="J105" i="75"/>
  <c r="J99" i="75"/>
  <c r="J91" i="75"/>
  <c r="J81" i="75"/>
  <c r="J65" i="75"/>
  <c r="J61" i="75"/>
  <c r="J57" i="75"/>
  <c r="J55" i="75"/>
  <c r="J35" i="75"/>
  <c r="J100" i="75"/>
  <c r="J92" i="75"/>
  <c r="J82" i="75"/>
  <c r="J66" i="75"/>
  <c r="H53" i="75"/>
  <c r="J53" i="75" s="1"/>
  <c r="J48" i="75"/>
  <c r="J44" i="75"/>
  <c r="J40" i="75"/>
  <c r="J93" i="75"/>
  <c r="J83" i="75"/>
  <c r="J75" i="75"/>
  <c r="J114" i="75"/>
  <c r="J106" i="75"/>
  <c r="J94" i="75"/>
  <c r="J84" i="75"/>
  <c r="J62" i="75"/>
  <c r="J58" i="75"/>
  <c r="J117" i="75"/>
  <c r="J116" i="75"/>
  <c r="J102" i="75"/>
  <c r="J96" i="75"/>
  <c r="J76" i="75"/>
  <c r="J72" i="75"/>
  <c r="J68" i="75"/>
  <c r="J118" i="75"/>
  <c r="J107" i="75"/>
  <c r="J103" i="75"/>
  <c r="J77" i="75"/>
  <c r="J63" i="75"/>
  <c r="J59" i="75"/>
  <c r="J109" i="75"/>
  <c r="J97" i="75"/>
  <c r="J87" i="75"/>
  <c r="J79" i="75"/>
  <c r="J73" i="75"/>
  <c r="J69" i="75"/>
  <c r="J110" i="75"/>
  <c r="J104" i="75"/>
  <c r="J101" i="75"/>
  <c r="J78" i="75"/>
  <c r="J37" i="75"/>
  <c r="J119" i="75"/>
  <c r="J112" i="75"/>
  <c r="J95" i="75"/>
  <c r="J67" i="75"/>
  <c r="J49" i="75"/>
  <c r="J46" i="75"/>
  <c r="J90" i="75"/>
  <c r="J85" i="75"/>
  <c r="J74" i="75"/>
  <c r="J108" i="75"/>
  <c r="J41" i="75"/>
  <c r="J88" i="75"/>
  <c r="J47" i="75"/>
  <c r="J38" i="75"/>
  <c r="J70" i="75"/>
  <c r="J123" i="75"/>
  <c r="J50" i="75"/>
  <c r="J45" i="75"/>
  <c r="J39" i="75"/>
  <c r="J89" i="75"/>
  <c r="J86" i="75"/>
  <c r="J64" i="75"/>
  <c r="J60" i="75"/>
  <c r="J42" i="75"/>
  <c r="J36" i="75"/>
  <c r="J80" i="75"/>
  <c r="J56" i="75"/>
  <c r="J51" i="75"/>
  <c r="J43" i="75"/>
  <c r="D12" i="76"/>
  <c r="L13" i="76"/>
  <c r="N13" i="76" s="1"/>
  <c r="P12" i="76"/>
  <c r="X15" i="76"/>
  <c r="D101" i="64"/>
  <c r="L101" i="64" s="1"/>
  <c r="N101" i="64" s="1"/>
  <c r="P16" i="68"/>
  <c r="R20" i="68"/>
  <c r="R24" i="68"/>
  <c r="R28" i="68"/>
  <c r="R29" i="68"/>
  <c r="F32" i="68"/>
  <c r="F36" i="68"/>
  <c r="F52" i="68"/>
  <c r="R63" i="68"/>
  <c r="R65" i="68"/>
  <c r="J68" i="69"/>
  <c r="J70" i="69"/>
  <c r="J72" i="69"/>
  <c r="J76" i="69"/>
  <c r="J80" i="69"/>
  <c r="J114" i="69"/>
  <c r="J22" i="70"/>
  <c r="J24" i="70"/>
  <c r="J26" i="70"/>
  <c r="J30" i="70"/>
  <c r="J34" i="70"/>
  <c r="J52" i="70"/>
  <c r="J62" i="70"/>
  <c r="J67" i="70"/>
  <c r="J77" i="70"/>
  <c r="V115" i="71"/>
  <c r="V91" i="71"/>
  <c r="V83" i="71"/>
  <c r="V79" i="71"/>
  <c r="V75" i="71"/>
  <c r="V128" i="71"/>
  <c r="V102" i="71"/>
  <c r="V94" i="71"/>
  <c r="V70" i="71"/>
  <c r="V66" i="71"/>
  <c r="V84" i="71"/>
  <c r="V80" i="71"/>
  <c r="V76" i="71"/>
  <c r="V120" i="71"/>
  <c r="V118" i="71"/>
  <c r="V110" i="71"/>
  <c r="V86" i="71"/>
  <c r="V122" i="71"/>
  <c r="V112" i="71"/>
  <c r="V104" i="71"/>
  <c r="V96" i="71"/>
  <c r="V123" i="71"/>
  <c r="V107" i="71"/>
  <c r="V99" i="71"/>
  <c r="V55" i="71"/>
  <c r="V51" i="71"/>
  <c r="V47" i="71"/>
  <c r="V43" i="71"/>
  <c r="V113" i="71"/>
  <c r="V101" i="71"/>
  <c r="V89" i="71"/>
  <c r="V73" i="71"/>
  <c r="V69" i="71"/>
  <c r="V65" i="71"/>
  <c r="V58" i="71"/>
  <c r="L63" i="71"/>
  <c r="N63" i="71" s="1"/>
  <c r="L92" i="71"/>
  <c r="N92" i="71" s="1"/>
  <c r="V98" i="71"/>
  <c r="Z101" i="71"/>
  <c r="V103" i="71"/>
  <c r="V117" i="71"/>
  <c r="X38" i="73"/>
  <c r="Z38" i="73" s="1"/>
  <c r="V70" i="73"/>
  <c r="V72" i="73"/>
  <c r="V83" i="74"/>
  <c r="V75" i="74"/>
  <c r="V71" i="74"/>
  <c r="V67" i="74"/>
  <c r="T54" i="74"/>
  <c r="V86" i="74"/>
  <c r="V62" i="74"/>
  <c r="V58" i="74"/>
  <c r="V99" i="74"/>
  <c r="V85" i="74"/>
  <c r="V77" i="74"/>
  <c r="V49" i="74"/>
  <c r="V45" i="74"/>
  <c r="V41" i="74"/>
  <c r="V37" i="74"/>
  <c r="V88" i="74"/>
  <c r="V76" i="74"/>
  <c r="V72" i="74"/>
  <c r="V68" i="74"/>
  <c r="V87" i="74"/>
  <c r="V79" i="74"/>
  <c r="V63" i="74"/>
  <c r="V59" i="74"/>
  <c r="V90" i="74"/>
  <c r="V78" i="74"/>
  <c r="V50" i="74"/>
  <c r="V46" i="74"/>
  <c r="V42" i="74"/>
  <c r="V38" i="74"/>
  <c r="V89" i="74"/>
  <c r="V73" i="74"/>
  <c r="V69" i="74"/>
  <c r="V92" i="74"/>
  <c r="V80" i="74"/>
  <c r="V64" i="74"/>
  <c r="V60" i="74"/>
  <c r="V91" i="74"/>
  <c r="V51" i="74"/>
  <c r="V47" i="74"/>
  <c r="V43" i="74"/>
  <c r="V39" i="74"/>
  <c r="V95" i="74"/>
  <c r="V93" i="74"/>
  <c r="V81" i="74"/>
  <c r="V65" i="74"/>
  <c r="V61" i="74"/>
  <c r="V57" i="74"/>
  <c r="Z57" i="74"/>
  <c r="N66" i="74"/>
  <c r="V70" i="74"/>
  <c r="J111" i="75"/>
  <c r="R33" i="68"/>
  <c r="R37" i="68"/>
  <c r="F41" i="68"/>
  <c r="R45" i="68"/>
  <c r="R46" i="68"/>
  <c r="F57" i="68"/>
  <c r="R61" i="68"/>
  <c r="J71" i="69"/>
  <c r="J85" i="69"/>
  <c r="J89" i="69"/>
  <c r="J97" i="69"/>
  <c r="J113" i="69"/>
  <c r="J39" i="70"/>
  <c r="J43" i="70"/>
  <c r="J51" i="70"/>
  <c r="X74" i="70"/>
  <c r="X63" i="71"/>
  <c r="Z63" i="71" s="1"/>
  <c r="T121" i="75"/>
  <c r="V121" i="75" s="1"/>
  <c r="R19" i="68"/>
  <c r="F22" i="68"/>
  <c r="F26" i="68"/>
  <c r="R54" i="68"/>
  <c r="F69" i="68"/>
  <c r="F72" i="68"/>
  <c r="J46" i="69"/>
  <c r="J50" i="69"/>
  <c r="J54" i="69"/>
  <c r="J58" i="69"/>
  <c r="J62" i="69"/>
  <c r="J66" i="69"/>
  <c r="J96" i="69"/>
  <c r="J106" i="69"/>
  <c r="J71" i="70"/>
  <c r="J20" i="70"/>
  <c r="J50" i="70"/>
  <c r="J60" i="70"/>
  <c r="L114" i="71"/>
  <c r="N114" i="71" s="1"/>
  <c r="X63" i="73"/>
  <c r="L77" i="74"/>
  <c r="L79" i="74"/>
  <c r="N79" i="74" s="1"/>
  <c r="J98" i="75"/>
  <c r="P12" i="77"/>
  <c r="X14" i="77"/>
  <c r="J59" i="70"/>
  <c r="J66" i="70"/>
  <c r="P120" i="71"/>
  <c r="X120" i="71" s="1"/>
  <c r="Z120" i="71" s="1"/>
  <c r="X13" i="73"/>
  <c r="P12" i="73"/>
  <c r="Z63" i="73"/>
  <c r="N77" i="74"/>
  <c r="N84" i="75"/>
  <c r="L84" i="75"/>
  <c r="N89" i="75"/>
  <c r="L89" i="75"/>
  <c r="Z95" i="75"/>
  <c r="X12" i="68"/>
  <c r="R32" i="68"/>
  <c r="R36" i="68"/>
  <c r="R52" i="68"/>
  <c r="J84" i="69"/>
  <c r="J88" i="69"/>
  <c r="J94" i="69"/>
  <c r="J104" i="69"/>
  <c r="J112" i="69"/>
  <c r="J124" i="69"/>
  <c r="J38" i="70"/>
  <c r="J42" i="70"/>
  <c r="J48" i="70"/>
  <c r="J58" i="70"/>
  <c r="J70" i="70"/>
  <c r="J75" i="70"/>
  <c r="N74" i="71"/>
  <c r="X122" i="71"/>
  <c r="X51" i="73"/>
  <c r="X65" i="73"/>
  <c r="Z65" i="73" s="1"/>
  <c r="L87" i="75"/>
  <c r="X95" i="75"/>
  <c r="J103" i="69"/>
  <c r="J81" i="70"/>
  <c r="Z62" i="71"/>
  <c r="X107" i="71"/>
  <c r="Z107" i="71" s="1"/>
  <c r="N111" i="71"/>
  <c r="L28" i="73"/>
  <c r="N28" i="73" s="1"/>
  <c r="J28" i="73"/>
  <c r="L57" i="73"/>
  <c r="P12" i="75"/>
  <c r="J63" i="71"/>
  <c r="J77" i="71"/>
  <c r="J81" i="71"/>
  <c r="J87" i="71"/>
  <c r="J111" i="71"/>
  <c r="J21" i="73"/>
  <c r="J59" i="73"/>
  <c r="P12" i="74"/>
  <c r="J69" i="74"/>
  <c r="J73" i="74"/>
  <c r="J79" i="74"/>
  <c r="J89" i="74"/>
  <c r="X55" i="76"/>
  <c r="V55" i="76"/>
  <c r="F50" i="77"/>
  <c r="D106" i="77"/>
  <c r="L106" i="77" s="1"/>
  <c r="N106" i="77" s="1"/>
  <c r="L108" i="77"/>
  <c r="J67" i="71"/>
  <c r="J71" i="71"/>
  <c r="J85" i="71"/>
  <c r="J95" i="71"/>
  <c r="J103" i="71"/>
  <c r="J39" i="73"/>
  <c r="J43" i="73"/>
  <c r="J47" i="73"/>
  <c r="J57" i="73"/>
  <c r="J67" i="73"/>
  <c r="J59" i="74"/>
  <c r="J63" i="74"/>
  <c r="J77" i="74"/>
  <c r="J87" i="74"/>
  <c r="L77" i="75"/>
  <c r="N77" i="75" s="1"/>
  <c r="N31" i="76"/>
  <c r="L61" i="76"/>
  <c r="N61" i="76" s="1"/>
  <c r="J61" i="76"/>
  <c r="F54" i="77"/>
  <c r="X16" i="79"/>
  <c r="Z16" i="79" s="1"/>
  <c r="P12" i="79"/>
  <c r="J56" i="73"/>
  <c r="J80" i="73"/>
  <c r="J68" i="74"/>
  <c r="J72" i="74"/>
  <c r="J76" i="74"/>
  <c r="J86" i="74"/>
  <c r="V117" i="75"/>
  <c r="V101" i="75"/>
  <c r="V85" i="75"/>
  <c r="V77" i="75"/>
  <c r="V49" i="75"/>
  <c r="V45" i="75"/>
  <c r="V41" i="75"/>
  <c r="V37" i="75"/>
  <c r="V118" i="75"/>
  <c r="V108" i="75"/>
  <c r="V96" i="75"/>
  <c r="V76" i="75"/>
  <c r="V72" i="75"/>
  <c r="V68" i="75"/>
  <c r="V119" i="75"/>
  <c r="V107" i="75"/>
  <c r="V103" i="75"/>
  <c r="V87" i="75"/>
  <c r="V79" i="75"/>
  <c r="V110" i="75"/>
  <c r="V86" i="75"/>
  <c r="V78" i="75"/>
  <c r="V112" i="75"/>
  <c r="V104" i="75"/>
  <c r="V88" i="75"/>
  <c r="V80" i="75"/>
  <c r="V64" i="75"/>
  <c r="V60" i="75"/>
  <c r="V56" i="75"/>
  <c r="V123" i="75"/>
  <c r="V111" i="75"/>
  <c r="V99" i="75"/>
  <c r="V91" i="75"/>
  <c r="V55" i="75"/>
  <c r="V53" i="75"/>
  <c r="V51" i="75"/>
  <c r="V47" i="75"/>
  <c r="V113" i="75"/>
  <c r="V105" i="75"/>
  <c r="V93" i="75"/>
  <c r="V81" i="75"/>
  <c r="V65" i="75"/>
  <c r="V61" i="75"/>
  <c r="V57" i="75"/>
  <c r="V40" i="75"/>
  <c r="V43" i="75"/>
  <c r="V58" i="75"/>
  <c r="V62" i="75"/>
  <c r="V71" i="75"/>
  <c r="V94" i="75"/>
  <c r="L85" i="77"/>
  <c r="N85" i="77" s="1"/>
  <c r="N16" i="78"/>
  <c r="H22" i="78"/>
  <c r="L14" i="79"/>
  <c r="D12" i="79"/>
  <c r="H54" i="74"/>
  <c r="V98" i="75"/>
  <c r="J85" i="77"/>
  <c r="D12" i="83"/>
  <c r="L15" i="83"/>
  <c r="N15" i="83" s="1"/>
  <c r="J92" i="71"/>
  <c r="J102" i="71"/>
  <c r="J116" i="71"/>
  <c r="J128" i="71"/>
  <c r="J78" i="73"/>
  <c r="L18" i="74"/>
  <c r="J36" i="74"/>
  <c r="J56" i="74"/>
  <c r="J84" i="74"/>
  <c r="L16" i="75"/>
  <c r="L35" i="75"/>
  <c r="N35" i="75" s="1"/>
  <c r="V82" i="75"/>
  <c r="V84" i="75"/>
  <c r="V116" i="75"/>
  <c r="H74" i="79"/>
  <c r="L36" i="74"/>
  <c r="N36" i="74" s="1"/>
  <c r="L56" i="74"/>
  <c r="N56" i="74" s="1"/>
  <c r="L84" i="74"/>
  <c r="X90" i="74"/>
  <c r="Z90" i="74" s="1"/>
  <c r="Z66" i="75"/>
  <c r="L79" i="75"/>
  <c r="N79" i="75" s="1"/>
  <c r="Z84" i="75"/>
  <c r="V89" i="75"/>
  <c r="V100" i="75"/>
  <c r="N108" i="75"/>
  <c r="F42" i="77"/>
  <c r="N49" i="80"/>
  <c r="J44" i="71"/>
  <c r="J48" i="71"/>
  <c r="J52" i="71"/>
  <c r="J56" i="71"/>
  <c r="J74" i="71"/>
  <c r="J90" i="71"/>
  <c r="J100" i="71"/>
  <c r="J108" i="71"/>
  <c r="J114" i="71"/>
  <c r="J126" i="71"/>
  <c r="J32" i="73"/>
  <c r="J36" i="73"/>
  <c r="J52" i="73"/>
  <c r="J64" i="73"/>
  <c r="J72" i="73"/>
  <c r="J76" i="73"/>
  <c r="J40" i="74"/>
  <c r="J44" i="74"/>
  <c r="J48" i="74"/>
  <c r="J52" i="74"/>
  <c r="J66" i="74"/>
  <c r="J82" i="74"/>
  <c r="X35" i="75"/>
  <c r="Z35" i="75" s="1"/>
  <c r="V39" i="75"/>
  <c r="V50" i="75"/>
  <c r="V66" i="75"/>
  <c r="N93" i="75"/>
  <c r="V106" i="75"/>
  <c r="T93" i="76"/>
  <c r="V89" i="76"/>
  <c r="Z65" i="76"/>
  <c r="N70" i="77"/>
  <c r="V29" i="78"/>
  <c r="V26" i="78"/>
  <c r="V24" i="78"/>
  <c r="Z12" i="78"/>
  <c r="V20" i="78"/>
  <c r="V14" i="78"/>
  <c r="V22" i="78"/>
  <c r="V16" i="78"/>
  <c r="T16" i="78"/>
  <c r="V18" i="78"/>
  <c r="X54" i="79"/>
  <c r="L68" i="79"/>
  <c r="D67" i="79"/>
  <c r="L67" i="79" s="1"/>
  <c r="N67" i="79" s="1"/>
  <c r="R25" i="80"/>
  <c r="V70" i="75"/>
  <c r="X67" i="76"/>
  <c r="V67" i="76"/>
  <c r="F114" i="77"/>
  <c r="F100" i="77"/>
  <c r="F92" i="77"/>
  <c r="F91" i="77"/>
  <c r="F80" i="77"/>
  <c r="F76" i="77"/>
  <c r="F108" i="77"/>
  <c r="F97" i="77"/>
  <c r="F104" i="77"/>
  <c r="F89" i="77"/>
  <c r="F85" i="77"/>
  <c r="F77" i="77"/>
  <c r="F68" i="77"/>
  <c r="F64" i="77"/>
  <c r="F60" i="77"/>
  <c r="F59" i="77"/>
  <c r="F109" i="77"/>
  <c r="F93" i="77"/>
  <c r="F81" i="77"/>
  <c r="F58" i="77"/>
  <c r="F51" i="77"/>
  <c r="F47" i="77"/>
  <c r="F43" i="77"/>
  <c r="F94" i="77"/>
  <c r="F86" i="77"/>
  <c r="F82" i="77"/>
  <c r="F74" i="77"/>
  <c r="D56" i="77"/>
  <c r="F56" i="77" s="1"/>
  <c r="F90" i="77"/>
  <c r="F78" i="77"/>
  <c r="F69" i="77"/>
  <c r="F65" i="77"/>
  <c r="F61" i="77"/>
  <c r="F52" i="77"/>
  <c r="F48" i="77"/>
  <c r="F44" i="77"/>
  <c r="L12" i="77"/>
  <c r="N12" i="77" s="1"/>
  <c r="F110" i="77"/>
  <c r="F101" i="77"/>
  <c r="F95" i="77"/>
  <c r="F75" i="77"/>
  <c r="F71" i="77"/>
  <c r="F70" i="77"/>
  <c r="F102" i="77"/>
  <c r="F98" i="77"/>
  <c r="F87" i="77"/>
  <c r="F83" i="77"/>
  <c r="F79" i="77"/>
  <c r="F66" i="77"/>
  <c r="F62" i="77"/>
  <c r="F107" i="77"/>
  <c r="F88" i="77"/>
  <c r="F53" i="77"/>
  <c r="F49" i="77"/>
  <c r="F45" i="77"/>
  <c r="F41" i="77"/>
  <c r="F40" i="77"/>
  <c r="F96" i="77"/>
  <c r="F72" i="77"/>
  <c r="F84" i="77"/>
  <c r="F67" i="77"/>
  <c r="F63" i="77"/>
  <c r="N59" i="77"/>
  <c r="L59" i="77"/>
  <c r="X70" i="77"/>
  <c r="Z70" i="77" s="1"/>
  <c r="Z54" i="79"/>
  <c r="V54" i="79"/>
  <c r="J78" i="71"/>
  <c r="J82" i="71"/>
  <c r="J98" i="71"/>
  <c r="J106" i="71"/>
  <c r="J123" i="71"/>
  <c r="J22" i="73"/>
  <c r="J50" i="73"/>
  <c r="J62" i="73"/>
  <c r="J70" i="73"/>
  <c r="J70" i="74"/>
  <c r="J74" i="74"/>
  <c r="V83" i="75"/>
  <c r="V97" i="75"/>
  <c r="L117" i="75"/>
  <c r="N117" i="75" s="1"/>
  <c r="Z67" i="76"/>
  <c r="Z73" i="76"/>
  <c r="J59" i="77"/>
  <c r="Z18" i="78"/>
  <c r="X18" i="78"/>
  <c r="L77" i="81"/>
  <c r="F77" i="81"/>
  <c r="J97" i="71"/>
  <c r="J105" i="71"/>
  <c r="V59" i="75"/>
  <c r="V63" i="75"/>
  <c r="Z93" i="75"/>
  <c r="V102" i="75"/>
  <c r="Z110" i="75"/>
  <c r="X110" i="75"/>
  <c r="X119" i="75"/>
  <c r="Z119" i="75" s="1"/>
  <c r="P116" i="75"/>
  <c r="X116" i="75" s="1"/>
  <c r="Z116" i="75" s="1"/>
  <c r="Z79" i="76"/>
  <c r="X79" i="76"/>
  <c r="F46" i="77"/>
  <c r="V70" i="77"/>
  <c r="T74" i="79"/>
  <c r="V74" i="79" s="1"/>
  <c r="V27" i="79"/>
  <c r="V79" i="76"/>
  <c r="F18" i="80"/>
  <c r="Z25" i="80"/>
  <c r="F28" i="80"/>
  <c r="R39" i="80"/>
  <c r="F46" i="80"/>
  <c r="V61" i="80"/>
  <c r="F79" i="80"/>
  <c r="X35" i="81"/>
  <c r="N75" i="81"/>
  <c r="Z35" i="84"/>
  <c r="Z50" i="84"/>
  <c r="V50" i="84"/>
  <c r="H87" i="89"/>
  <c r="J87" i="89" s="1"/>
  <c r="H29" i="76"/>
  <c r="J42" i="76"/>
  <c r="V44" i="76"/>
  <c r="V48" i="76"/>
  <c r="V52" i="76"/>
  <c r="J60" i="76"/>
  <c r="V64" i="76"/>
  <c r="J70" i="76"/>
  <c r="V72" i="76"/>
  <c r="J76" i="76"/>
  <c r="J82" i="76"/>
  <c r="P85" i="76"/>
  <c r="X85" i="76" s="1"/>
  <c r="Z85" i="76" s="1"/>
  <c r="L13" i="77"/>
  <c r="N13" i="77" s="1"/>
  <c r="V47" i="77"/>
  <c r="V51" i="77"/>
  <c r="J63" i="77"/>
  <c r="J67" i="77"/>
  <c r="J76" i="77"/>
  <c r="J84" i="77"/>
  <c r="J103" i="77"/>
  <c r="F14" i="78"/>
  <c r="X19" i="79"/>
  <c r="Z19" i="79" s="1"/>
  <c r="X39" i="79"/>
  <c r="Z39" i="79" s="1"/>
  <c r="R20" i="80"/>
  <c r="F48" i="80"/>
  <c r="F58" i="80"/>
  <c r="V63" i="80"/>
  <c r="X74" i="80"/>
  <c r="J67" i="81"/>
  <c r="J61" i="81"/>
  <c r="J51" i="81"/>
  <c r="J43" i="81"/>
  <c r="J39" i="81"/>
  <c r="J25" i="81"/>
  <c r="J84" i="81"/>
  <c r="J62" i="81"/>
  <c r="J52" i="81"/>
  <c r="J34" i="81"/>
  <c r="J30" i="81"/>
  <c r="J26" i="81"/>
  <c r="J24" i="81"/>
  <c r="J22" i="81"/>
  <c r="J73" i="81"/>
  <c r="J53" i="81"/>
  <c r="J35" i="81"/>
  <c r="H22" i="81"/>
  <c r="J68" i="81"/>
  <c r="J44" i="81"/>
  <c r="J40" i="81"/>
  <c r="J36" i="81"/>
  <c r="J69" i="81"/>
  <c r="J63" i="81"/>
  <c r="J31" i="81"/>
  <c r="J27" i="81"/>
  <c r="J17" i="81"/>
  <c r="J74" i="81"/>
  <c r="J70" i="81"/>
  <c r="J54" i="81"/>
  <c r="J18" i="81"/>
  <c r="J75" i="81"/>
  <c r="J55" i="81"/>
  <c r="J45" i="81"/>
  <c r="J41" i="81"/>
  <c r="J37" i="81"/>
  <c r="J76" i="81"/>
  <c r="J64" i="81"/>
  <c r="J56" i="81"/>
  <c r="J46" i="81"/>
  <c r="J32" i="81"/>
  <c r="J28" i="81"/>
  <c r="J77" i="81"/>
  <c r="J71" i="81"/>
  <c r="J65" i="81"/>
  <c r="J57" i="81"/>
  <c r="J47" i="81"/>
  <c r="J19" i="81"/>
  <c r="R18" i="83"/>
  <c r="R19" i="83"/>
  <c r="X12" i="83"/>
  <c r="Z12" i="83" s="1"/>
  <c r="R20" i="83"/>
  <c r="R26" i="83"/>
  <c r="R24" i="83"/>
  <c r="P22" i="83"/>
  <c r="Z17" i="81"/>
  <c r="Z35" i="81"/>
  <c r="J80" i="81"/>
  <c r="V34" i="76"/>
  <c r="V38" i="76"/>
  <c r="J58" i="76"/>
  <c r="V62" i="76"/>
  <c r="V86" i="76"/>
  <c r="V73" i="77"/>
  <c r="V81" i="77"/>
  <c r="V85" i="77"/>
  <c r="J91" i="77"/>
  <c r="V93" i="77"/>
  <c r="V96" i="77"/>
  <c r="X103" i="77"/>
  <c r="L29" i="79"/>
  <c r="N29" i="79" s="1"/>
  <c r="J52" i="79"/>
  <c r="L57" i="79"/>
  <c r="F67" i="80"/>
  <c r="F66" i="80"/>
  <c r="F50" i="80"/>
  <c r="F49" i="80"/>
  <c r="F42" i="80"/>
  <c r="F38" i="80"/>
  <c r="L12" i="80"/>
  <c r="N12" i="80" s="1"/>
  <c r="F73" i="80"/>
  <c r="F61" i="80"/>
  <c r="F33" i="80"/>
  <c r="F29" i="80"/>
  <c r="F68" i="80"/>
  <c r="F52" i="80"/>
  <c r="F51" i="80"/>
  <c r="F20" i="80"/>
  <c r="F75" i="80"/>
  <c r="F74" i="80"/>
  <c r="F43" i="80"/>
  <c r="F39" i="80"/>
  <c r="F35" i="80"/>
  <c r="F34" i="80"/>
  <c r="F62" i="80"/>
  <c r="F54" i="80"/>
  <c r="F53" i="80"/>
  <c r="F30" i="80"/>
  <c r="F26" i="80"/>
  <c r="F25" i="80"/>
  <c r="F77" i="80"/>
  <c r="F76" i="80"/>
  <c r="F69" i="80"/>
  <c r="F24" i="80"/>
  <c r="F64" i="80"/>
  <c r="F63" i="80"/>
  <c r="F56" i="80"/>
  <c r="F55" i="80"/>
  <c r="F44" i="80"/>
  <c r="F40" i="80"/>
  <c r="F36" i="80"/>
  <c r="D22" i="80"/>
  <c r="F71" i="80"/>
  <c r="F70" i="80"/>
  <c r="F31" i="80"/>
  <c r="F27" i="80"/>
  <c r="R34" i="80"/>
  <c r="F45" i="80"/>
  <c r="R51" i="80"/>
  <c r="X53" i="80"/>
  <c r="Z74" i="80"/>
  <c r="Z76" i="80"/>
  <c r="V17" i="81"/>
  <c r="F46" i="81"/>
  <c r="V69" i="81"/>
  <c r="D96" i="84"/>
  <c r="F96" i="84" s="1"/>
  <c r="V43" i="76"/>
  <c r="V47" i="76"/>
  <c r="V51" i="76"/>
  <c r="J57" i="76"/>
  <c r="V63" i="76"/>
  <c r="V71" i="76"/>
  <c r="J75" i="76"/>
  <c r="V83" i="76"/>
  <c r="V85" i="76"/>
  <c r="J101" i="77"/>
  <c r="J93" i="77"/>
  <c r="J81" i="77"/>
  <c r="J102" i="77"/>
  <c r="J94" i="77"/>
  <c r="J82" i="77"/>
  <c r="J104" i="77"/>
  <c r="J96" i="77"/>
  <c r="J109" i="77"/>
  <c r="J98" i="77"/>
  <c r="J88" i="77"/>
  <c r="J40" i="77"/>
  <c r="V42" i="77"/>
  <c r="V46" i="77"/>
  <c r="V50" i="77"/>
  <c r="V54" i="77"/>
  <c r="V56" i="77"/>
  <c r="V58" i="77"/>
  <c r="J62" i="77"/>
  <c r="J66" i="77"/>
  <c r="J79" i="77"/>
  <c r="V84" i="77"/>
  <c r="X85" i="77"/>
  <c r="Z85" i="77" s="1"/>
  <c r="V89" i="77"/>
  <c r="L91" i="77"/>
  <c r="V99" i="77"/>
  <c r="T112" i="77"/>
  <c r="N30" i="79"/>
  <c r="L52" i="79"/>
  <c r="N52" i="79" s="1"/>
  <c r="L14" i="80"/>
  <c r="N14" i="80" s="1"/>
  <c r="F17" i="80"/>
  <c r="F19" i="80"/>
  <c r="V24" i="80"/>
  <c r="V26" i="80"/>
  <c r="Z34" i="80"/>
  <c r="V43" i="80"/>
  <c r="F57" i="80"/>
  <c r="V76" i="80"/>
  <c r="X17" i="81"/>
  <c r="J38" i="81"/>
  <c r="J42" i="81"/>
  <c r="J66" i="81"/>
  <c r="X69" i="81"/>
  <c r="Z69" i="81" s="1"/>
  <c r="X24" i="80"/>
  <c r="Z24" i="80" s="1"/>
  <c r="J72" i="81"/>
  <c r="F30" i="86"/>
  <c r="F17" i="86"/>
  <c r="F16" i="86"/>
  <c r="F34" i="86"/>
  <c r="F18" i="86"/>
  <c r="F24" i="86"/>
  <c r="F23" i="86"/>
  <c r="F22" i="86"/>
  <c r="F28" i="86"/>
  <c r="F27" i="86"/>
  <c r="L12" i="86"/>
  <c r="N12" i="86" s="1"/>
  <c r="F26" i="86"/>
  <c r="F25" i="86"/>
  <c r="D20" i="86"/>
  <c r="F20" i="86" s="1"/>
  <c r="V33" i="76"/>
  <c r="V37" i="76"/>
  <c r="V41" i="76"/>
  <c r="J49" i="76"/>
  <c r="J55" i="76"/>
  <c r="V61" i="76"/>
  <c r="J67" i="76"/>
  <c r="V69" i="76"/>
  <c r="J79" i="76"/>
  <c r="V81" i="76"/>
  <c r="J91" i="76"/>
  <c r="J70" i="77"/>
  <c r="V72" i="77"/>
  <c r="J95" i="77"/>
  <c r="V103" i="77"/>
  <c r="J114" i="77"/>
  <c r="F18" i="78"/>
  <c r="J29" i="79"/>
  <c r="N57" i="79"/>
  <c r="V67" i="79"/>
  <c r="R76" i="80"/>
  <c r="R75" i="80"/>
  <c r="R63" i="80"/>
  <c r="R62" i="80"/>
  <c r="R55" i="80"/>
  <c r="R54" i="80"/>
  <c r="R30" i="80"/>
  <c r="R26" i="80"/>
  <c r="P22" i="80"/>
  <c r="R77" i="80"/>
  <c r="R70" i="80"/>
  <c r="R69" i="80"/>
  <c r="R79" i="80"/>
  <c r="R64" i="80"/>
  <c r="R57" i="80"/>
  <c r="R56" i="80"/>
  <c r="R45" i="80"/>
  <c r="R44" i="80"/>
  <c r="R40" i="80"/>
  <c r="R36" i="80"/>
  <c r="R17" i="80"/>
  <c r="R71" i="80"/>
  <c r="R31" i="80"/>
  <c r="R27" i="80"/>
  <c r="R59" i="80"/>
  <c r="R58" i="80"/>
  <c r="R47" i="80"/>
  <c r="R46" i="80"/>
  <c r="R18" i="80"/>
  <c r="R83" i="80"/>
  <c r="R66" i="80"/>
  <c r="R65" i="80"/>
  <c r="R41" i="80"/>
  <c r="R37" i="80"/>
  <c r="R72" i="80"/>
  <c r="R60" i="80"/>
  <c r="R49" i="80"/>
  <c r="R48" i="80"/>
  <c r="R32" i="80"/>
  <c r="R28" i="80"/>
  <c r="R67" i="80"/>
  <c r="R19" i="80"/>
  <c r="R22" i="80"/>
  <c r="R33" i="80"/>
  <c r="V53" i="80"/>
  <c r="R73" i="80"/>
  <c r="F57" i="81"/>
  <c r="J24" i="84"/>
  <c r="L91" i="84"/>
  <c r="N91" i="84" s="1"/>
  <c r="V42" i="76"/>
  <c r="V46" i="76"/>
  <c r="V50" i="76"/>
  <c r="L55" i="76"/>
  <c r="V58" i="76"/>
  <c r="X61" i="76"/>
  <c r="Z61" i="76" s="1"/>
  <c r="J66" i="76"/>
  <c r="L67" i="76"/>
  <c r="N67" i="76" s="1"/>
  <c r="V70" i="76"/>
  <c r="J74" i="76"/>
  <c r="J78" i="76"/>
  <c r="L79" i="76"/>
  <c r="N79" i="76" s="1"/>
  <c r="V82" i="76"/>
  <c r="J61" i="77"/>
  <c r="J65" i="77"/>
  <c r="J69" i="77"/>
  <c r="J78" i="77"/>
  <c r="J90" i="77"/>
  <c r="X95" i="77"/>
  <c r="Z95" i="77" s="1"/>
  <c r="J97" i="77"/>
  <c r="P106" i="77"/>
  <c r="X106" i="77" s="1"/>
  <c r="Z106" i="77" s="1"/>
  <c r="F24" i="78"/>
  <c r="Z52" i="79"/>
  <c r="V70" i="80"/>
  <c r="V62" i="80"/>
  <c r="V79" i="80"/>
  <c r="V77" i="80"/>
  <c r="V69" i="80"/>
  <c r="V57" i="80"/>
  <c r="V45" i="80"/>
  <c r="V17" i="80"/>
  <c r="V64" i="80"/>
  <c r="V56" i="80"/>
  <c r="V44" i="80"/>
  <c r="V40" i="80"/>
  <c r="V36" i="80"/>
  <c r="V71" i="80"/>
  <c r="V59" i="80"/>
  <c r="V47" i="80"/>
  <c r="V31" i="80"/>
  <c r="V27" i="80"/>
  <c r="V66" i="80"/>
  <c r="V58" i="80"/>
  <c r="V46" i="80"/>
  <c r="V18" i="80"/>
  <c r="V83" i="80"/>
  <c r="V65" i="80"/>
  <c r="V49" i="80"/>
  <c r="V41" i="80"/>
  <c r="V37" i="80"/>
  <c r="V72" i="80"/>
  <c r="V60" i="80"/>
  <c r="V48" i="80"/>
  <c r="V32" i="80"/>
  <c r="V28" i="80"/>
  <c r="V67" i="80"/>
  <c r="V51" i="80"/>
  <c r="V19" i="80"/>
  <c r="V74" i="80"/>
  <c r="V50" i="80"/>
  <c r="V42" i="80"/>
  <c r="V38" i="80"/>
  <c r="V34" i="80"/>
  <c r="T22" i="80"/>
  <c r="R29" i="80"/>
  <c r="V33" i="80"/>
  <c r="F37" i="80"/>
  <c r="F47" i="80"/>
  <c r="R50" i="80"/>
  <c r="X55" i="80"/>
  <c r="Z55" i="80" s="1"/>
  <c r="V73" i="80"/>
  <c r="V75" i="80"/>
  <c r="N57" i="81"/>
  <c r="J78" i="81"/>
  <c r="H22" i="83"/>
  <c r="J30" i="83"/>
  <c r="J17" i="83"/>
  <c r="J18" i="83"/>
  <c r="J19" i="83"/>
  <c r="R17" i="83"/>
  <c r="J24" i="83"/>
  <c r="L24" i="84"/>
  <c r="N24" i="84" s="1"/>
  <c r="X79" i="75"/>
  <c r="Z79" i="75" s="1"/>
  <c r="X87" i="75"/>
  <c r="V27" i="76"/>
  <c r="V29" i="76"/>
  <c r="V31" i="76"/>
  <c r="J35" i="76"/>
  <c r="J39" i="76"/>
  <c r="J53" i="76"/>
  <c r="V59" i="76"/>
  <c r="J65" i="76"/>
  <c r="X70" i="76"/>
  <c r="Z70" i="76" s="1"/>
  <c r="J73" i="76"/>
  <c r="V75" i="76"/>
  <c r="X82" i="76"/>
  <c r="V107" i="77"/>
  <c r="V87" i="77"/>
  <c r="V108" i="77"/>
  <c r="V98" i="77"/>
  <c r="V86" i="77"/>
  <c r="V112" i="77"/>
  <c r="V110" i="77"/>
  <c r="V88" i="77"/>
  <c r="V114" i="77"/>
  <c r="V100" i="77"/>
  <c r="V92" i="77"/>
  <c r="V80" i="77"/>
  <c r="V62" i="77"/>
  <c r="V66" i="77"/>
  <c r="J74" i="77"/>
  <c r="V79" i="77"/>
  <c r="J86" i="77"/>
  <c r="L89" i="77"/>
  <c r="N89" i="77" s="1"/>
  <c r="J100" i="77"/>
  <c r="X14" i="78"/>
  <c r="Z30" i="79"/>
  <c r="X12" i="80"/>
  <c r="Z12" i="80" s="1"/>
  <c r="V22" i="80"/>
  <c r="N25" i="80"/>
  <c r="V29" i="80"/>
  <c r="R35" i="80"/>
  <c r="R52" i="80"/>
  <c r="F59" i="80"/>
  <c r="J66" i="80"/>
  <c r="P12" i="81"/>
  <c r="J48" i="81"/>
  <c r="J59" i="81"/>
  <c r="L65" i="81"/>
  <c r="Z17" i="83"/>
  <c r="V32" i="76"/>
  <c r="V36" i="76"/>
  <c r="V40" i="76"/>
  <c r="J44" i="76"/>
  <c r="J48" i="76"/>
  <c r="J52" i="76"/>
  <c r="V56" i="76"/>
  <c r="J64" i="76"/>
  <c r="V68" i="76"/>
  <c r="J72" i="76"/>
  <c r="J47" i="77"/>
  <c r="J51" i="77"/>
  <c r="H56" i="77"/>
  <c r="V71" i="77"/>
  <c r="V75" i="77"/>
  <c r="V83" i="77"/>
  <c r="V91" i="77"/>
  <c r="V106" i="77"/>
  <c r="P16" i="78"/>
  <c r="R29" i="78"/>
  <c r="R26" i="78"/>
  <c r="D16" i="78"/>
  <c r="V30" i="79"/>
  <c r="V35" i="80"/>
  <c r="R42" i="80"/>
  <c r="J47" i="80"/>
  <c r="V52" i="80"/>
  <c r="L66" i="80"/>
  <c r="N66" i="80" s="1"/>
  <c r="N70" i="80"/>
  <c r="F72" i="80"/>
  <c r="L59" i="81"/>
  <c r="N59" i="81" s="1"/>
  <c r="F65" i="81"/>
  <c r="J20" i="83"/>
  <c r="H22" i="84"/>
  <c r="X46" i="84"/>
  <c r="Z46" i="84" s="1"/>
  <c r="Z56" i="84"/>
  <c r="Z47" i="89"/>
  <c r="D85" i="94"/>
  <c r="F85" i="94" s="1"/>
  <c r="J26" i="78"/>
  <c r="J29" i="78"/>
  <c r="V24" i="79"/>
  <c r="J32" i="79"/>
  <c r="J36" i="79"/>
  <c r="J50" i="79"/>
  <c r="J60" i="79"/>
  <c r="V64" i="79"/>
  <c r="J71" i="79"/>
  <c r="V76" i="79"/>
  <c r="J18" i="80"/>
  <c r="J46" i="80"/>
  <c r="J58" i="80"/>
  <c r="H81" i="80"/>
  <c r="T22" i="81"/>
  <c r="F28" i="81"/>
  <c r="F32" i="81"/>
  <c r="V35" i="81"/>
  <c r="V39" i="81"/>
  <c r="V43" i="81"/>
  <c r="V51" i="81"/>
  <c r="F55" i="81"/>
  <c r="F56" i="81"/>
  <c r="F64" i="81"/>
  <c r="V67" i="81"/>
  <c r="F75" i="81"/>
  <c r="F76" i="81"/>
  <c r="V17" i="83"/>
  <c r="V18" i="84"/>
  <c r="L25" i="84"/>
  <c r="N25" i="84" s="1"/>
  <c r="V26" i="84"/>
  <c r="F28" i="84"/>
  <c r="V29" i="84"/>
  <c r="J31" i="84"/>
  <c r="V35" i="84"/>
  <c r="F37" i="84"/>
  <c r="V38" i="84"/>
  <c r="F40" i="84"/>
  <c r="F48" i="84"/>
  <c r="V49" i="84"/>
  <c r="J54" i="84"/>
  <c r="F66" i="84"/>
  <c r="F90" i="84"/>
  <c r="V47" i="85"/>
  <c r="J34" i="86"/>
  <c r="J18" i="86"/>
  <c r="J23" i="86"/>
  <c r="J24" i="86"/>
  <c r="J25" i="86"/>
  <c r="H20" i="86"/>
  <c r="J26" i="86"/>
  <c r="J28" i="86"/>
  <c r="J17" i="86"/>
  <c r="J30" i="86"/>
  <c r="J22" i="86"/>
  <c r="J27" i="86"/>
  <c r="J16" i="86"/>
  <c r="L25" i="88"/>
  <c r="N25" i="88" s="1"/>
  <c r="J79" i="80"/>
  <c r="J81" i="80"/>
  <c r="V20" i="81"/>
  <c r="V22" i="81"/>
  <c r="V24" i="81"/>
  <c r="F37" i="81"/>
  <c r="F41" i="81"/>
  <c r="F45" i="81"/>
  <c r="V52" i="81"/>
  <c r="V60" i="81"/>
  <c r="V72" i="81"/>
  <c r="F20" i="84"/>
  <c r="V34" i="84"/>
  <c r="V45" i="84"/>
  <c r="F57" i="84"/>
  <c r="Z58" i="84"/>
  <c r="F63" i="84"/>
  <c r="V64" i="84"/>
  <c r="V67" i="84"/>
  <c r="V74" i="84"/>
  <c r="V76" i="84"/>
  <c r="V79" i="84"/>
  <c r="L87" i="84"/>
  <c r="V91" i="84"/>
  <c r="J70" i="80"/>
  <c r="F17" i="81"/>
  <c r="F18" i="81"/>
  <c r="V25" i="81"/>
  <c r="V29" i="81"/>
  <c r="V33" i="81"/>
  <c r="V49" i="81"/>
  <c r="F54" i="81"/>
  <c r="V61" i="81"/>
  <c r="F69" i="81"/>
  <c r="F70" i="81"/>
  <c r="F74" i="81"/>
  <c r="T22" i="83"/>
  <c r="F33" i="84"/>
  <c r="F47" i="84"/>
  <c r="V58" i="84"/>
  <c r="V70" i="84"/>
  <c r="N85" i="84"/>
  <c r="L85" i="84"/>
  <c r="V35" i="85"/>
  <c r="V80" i="85"/>
  <c r="L56" i="88"/>
  <c r="N56" i="88" s="1"/>
  <c r="J77" i="80"/>
  <c r="F27" i="81"/>
  <c r="F31" i="81"/>
  <c r="V38" i="81"/>
  <c r="V42" i="81"/>
  <c r="V50" i="81"/>
  <c r="V58" i="81"/>
  <c r="F63" i="81"/>
  <c r="V66" i="81"/>
  <c r="V78" i="81"/>
  <c r="V80" i="81"/>
  <c r="V20" i="83"/>
  <c r="V22" i="83"/>
  <c r="V24" i="83"/>
  <c r="V26" i="83"/>
  <c r="F86" i="84"/>
  <c r="F85" i="84"/>
  <c r="F79" i="84"/>
  <c r="F42" i="84"/>
  <c r="F38" i="84"/>
  <c r="F87" i="84"/>
  <c r="F68" i="84"/>
  <c r="F83" i="84"/>
  <c r="F59" i="84"/>
  <c r="F58" i="84"/>
  <c r="F51" i="84"/>
  <c r="F50" i="84"/>
  <c r="F43" i="84"/>
  <c r="F39" i="84"/>
  <c r="F69" i="84"/>
  <c r="F61" i="84"/>
  <c r="F60" i="84"/>
  <c r="F53" i="84"/>
  <c r="F52" i="84"/>
  <c r="F24" i="84"/>
  <c r="F22" i="84"/>
  <c r="F89" i="84"/>
  <c r="F84" i="84"/>
  <c r="F76" i="84"/>
  <c r="F75" i="84"/>
  <c r="F65" i="84"/>
  <c r="F64" i="84"/>
  <c r="F45" i="84"/>
  <c r="F41" i="84"/>
  <c r="V31" i="84"/>
  <c r="V40" i="84"/>
  <c r="F44" i="84"/>
  <c r="V51" i="84"/>
  <c r="V83" i="84"/>
  <c r="V90" i="84"/>
  <c r="F92" i="84"/>
  <c r="V54" i="85"/>
  <c r="V57" i="85"/>
  <c r="N94" i="85"/>
  <c r="L94" i="85"/>
  <c r="V110" i="85"/>
  <c r="H98" i="88"/>
  <c r="J14" i="78"/>
  <c r="J16" i="78"/>
  <c r="J18" i="78"/>
  <c r="J20" i="78"/>
  <c r="J30" i="79"/>
  <c r="V32" i="79"/>
  <c r="V36" i="79"/>
  <c r="J40" i="79"/>
  <c r="J44" i="79"/>
  <c r="J48" i="79"/>
  <c r="V52" i="79"/>
  <c r="J56" i="79"/>
  <c r="V60" i="79"/>
  <c r="V72" i="79"/>
  <c r="J22" i="80"/>
  <c r="J24" i="80"/>
  <c r="J26" i="80"/>
  <c r="J30" i="80"/>
  <c r="J54" i="80"/>
  <c r="J62" i="80"/>
  <c r="J76" i="80"/>
  <c r="V19" i="81"/>
  <c r="D22" i="81"/>
  <c r="F22" i="81" s="1"/>
  <c r="F35" i="81"/>
  <c r="F36" i="81"/>
  <c r="F40" i="81"/>
  <c r="F44" i="81"/>
  <c r="V47" i="81"/>
  <c r="V59" i="81"/>
  <c r="F68" i="81"/>
  <c r="V71" i="81"/>
  <c r="J87" i="84"/>
  <c r="J81" i="84"/>
  <c r="J92" i="84"/>
  <c r="J73" i="84"/>
  <c r="J57" i="84"/>
  <c r="J49" i="84"/>
  <c r="J33" i="84"/>
  <c r="J29" i="84"/>
  <c r="J94" i="84"/>
  <c r="J83" i="84"/>
  <c r="J59" i="84"/>
  <c r="J51" i="84"/>
  <c r="J43" i="84"/>
  <c r="J88" i="84"/>
  <c r="J80" i="84"/>
  <c r="J74" i="84"/>
  <c r="J60" i="84"/>
  <c r="J52" i="84"/>
  <c r="J34" i="84"/>
  <c r="J30" i="84"/>
  <c r="J84" i="84"/>
  <c r="J76" i="84"/>
  <c r="J70" i="84"/>
  <c r="J62" i="84"/>
  <c r="J44" i="84"/>
  <c r="J40" i="84"/>
  <c r="J36" i="84"/>
  <c r="J77" i="84"/>
  <c r="J71" i="84"/>
  <c r="J98" i="84"/>
  <c r="J90" i="84"/>
  <c r="J85" i="84"/>
  <c r="J91" i="84"/>
  <c r="J72" i="84"/>
  <c r="J66" i="84"/>
  <c r="J46" i="84"/>
  <c r="X13" i="84"/>
  <c r="Z13" i="84" s="1"/>
  <c r="V17" i="84"/>
  <c r="F19" i="84"/>
  <c r="T22" i="84"/>
  <c r="V24" i="84"/>
  <c r="V25" i="84"/>
  <c r="F27" i="84"/>
  <c r="F30" i="84"/>
  <c r="F36" i="84"/>
  <c r="V37" i="84"/>
  <c r="J39" i="84"/>
  <c r="J53" i="84"/>
  <c r="F56" i="84"/>
  <c r="V57" i="84"/>
  <c r="F62" i="84"/>
  <c r="J65" i="84"/>
  <c r="X66" i="84"/>
  <c r="Z66" i="84" s="1"/>
  <c r="F73" i="84"/>
  <c r="F80" i="84"/>
  <c r="J20" i="86"/>
  <c r="J22" i="88"/>
  <c r="Z93" i="88"/>
  <c r="V93" i="88"/>
  <c r="Z26" i="89"/>
  <c r="F24" i="81"/>
  <c r="F52" i="81"/>
  <c r="F53" i="81"/>
  <c r="V56" i="81"/>
  <c r="V64" i="81"/>
  <c r="F73" i="81"/>
  <c r="V76" i="81"/>
  <c r="V22" i="84"/>
  <c r="N62" i="84"/>
  <c r="F71" i="84"/>
  <c r="F82" i="84"/>
  <c r="V94" i="84"/>
  <c r="V124" i="85"/>
  <c r="V122" i="85"/>
  <c r="V114" i="85"/>
  <c r="V102" i="85"/>
  <c r="V94" i="85"/>
  <c r="V82" i="85"/>
  <c r="V113" i="85"/>
  <c r="V109" i="85"/>
  <c r="V93" i="85"/>
  <c r="V81" i="85"/>
  <c r="V73" i="85"/>
  <c r="V69" i="85"/>
  <c r="V65" i="85"/>
  <c r="V96" i="85"/>
  <c r="V84" i="85"/>
  <c r="V115" i="85"/>
  <c r="V103" i="85"/>
  <c r="V95" i="85"/>
  <c r="V83" i="85"/>
  <c r="V75" i="85"/>
  <c r="V117" i="85"/>
  <c r="V116" i="85"/>
  <c r="V104" i="85"/>
  <c r="V121" i="85"/>
  <c r="V101" i="85"/>
  <c r="V89" i="85"/>
  <c r="V53" i="85"/>
  <c r="V49" i="85"/>
  <c r="V45" i="85"/>
  <c r="V41" i="85"/>
  <c r="V37" i="85"/>
  <c r="V90" i="85"/>
  <c r="V74" i="85"/>
  <c r="V63" i="85"/>
  <c r="V60" i="85"/>
  <c r="V64" i="85"/>
  <c r="V128" i="85"/>
  <c r="V78" i="85"/>
  <c r="V48" i="85"/>
  <c r="V38" i="85"/>
  <c r="V119" i="85"/>
  <c r="V111" i="85"/>
  <c r="V105" i="85"/>
  <c r="V87" i="85"/>
  <c r="V72" i="85"/>
  <c r="V55" i="85"/>
  <c r="V99" i="85"/>
  <c r="V88" i="85"/>
  <c r="V67" i="85"/>
  <c r="V61" i="85"/>
  <c r="V58" i="85"/>
  <c r="V107" i="85"/>
  <c r="V42" i="85"/>
  <c r="V39" i="85"/>
  <c r="V36" i="85"/>
  <c r="V91" i="85"/>
  <c r="V85" i="85"/>
  <c r="V76" i="85"/>
  <c r="V70" i="85"/>
  <c r="V97" i="85"/>
  <c r="V77" i="85"/>
  <c r="V56" i="85"/>
  <c r="V112" i="85"/>
  <c r="V86" i="85"/>
  <c r="V79" i="85"/>
  <c r="V59" i="85"/>
  <c r="V46" i="85"/>
  <c r="V43" i="85"/>
  <c r="V40" i="85"/>
  <c r="V108" i="85"/>
  <c r="V100" i="85"/>
  <c r="V92" i="85"/>
  <c r="V68" i="85"/>
  <c r="V62" i="85"/>
  <c r="T51" i="85"/>
  <c r="J34" i="79"/>
  <c r="J38" i="79"/>
  <c r="V50" i="79"/>
  <c r="V58" i="79"/>
  <c r="J64" i="79"/>
  <c r="V70" i="79"/>
  <c r="J20" i="80"/>
  <c r="J34" i="80"/>
  <c r="J52" i="80"/>
  <c r="J68" i="80"/>
  <c r="J74" i="80"/>
  <c r="F25" i="81"/>
  <c r="F26" i="81"/>
  <c r="F30" i="81"/>
  <c r="F34" i="81"/>
  <c r="V37" i="81"/>
  <c r="V41" i="81"/>
  <c r="V45" i="81"/>
  <c r="V57" i="81"/>
  <c r="F61" i="81"/>
  <c r="F62" i="81"/>
  <c r="V65" i="81"/>
  <c r="V77" i="81"/>
  <c r="F84" i="81"/>
  <c r="V20" i="84"/>
  <c r="V33" i="84"/>
  <c r="F35" i="84"/>
  <c r="V42" i="84"/>
  <c r="V44" i="84"/>
  <c r="F46" i="84"/>
  <c r="Z48" i="84"/>
  <c r="J50" i="84"/>
  <c r="F55" i="84"/>
  <c r="J56" i="84"/>
  <c r="J75" i="84"/>
  <c r="F77" i="84"/>
  <c r="V78" i="84"/>
  <c r="J82" i="84"/>
  <c r="V87" i="84"/>
  <c r="V92" i="84"/>
  <c r="V66" i="85"/>
  <c r="J52" i="88"/>
  <c r="V31" i="79"/>
  <c r="V35" i="79"/>
  <c r="J43" i="79"/>
  <c r="J47" i="79"/>
  <c r="J55" i="79"/>
  <c r="V59" i="79"/>
  <c r="J29" i="80"/>
  <c r="J33" i="80"/>
  <c r="J51" i="80"/>
  <c r="J61" i="80"/>
  <c r="V18" i="81"/>
  <c r="F39" i="81"/>
  <c r="F43" i="81"/>
  <c r="V46" i="81"/>
  <c r="F50" i="81"/>
  <c r="F51" i="81"/>
  <c r="V54" i="81"/>
  <c r="F67" i="81"/>
  <c r="V70" i="81"/>
  <c r="F80" i="81"/>
  <c r="V30" i="84"/>
  <c r="F32" i="84"/>
  <c r="J41" i="84"/>
  <c r="V47" i="84"/>
  <c r="L52" i="84"/>
  <c r="N52" i="84" s="1"/>
  <c r="J55" i="84"/>
  <c r="V59" i="84"/>
  <c r="V65" i="84"/>
  <c r="V73" i="84"/>
  <c r="X75" i="84"/>
  <c r="Z75" i="84" s="1"/>
  <c r="V44" i="85"/>
  <c r="Z92" i="85"/>
  <c r="Z108" i="85"/>
  <c r="F20" i="81"/>
  <c r="F59" i="81"/>
  <c r="F60" i="81"/>
  <c r="V89" i="84"/>
  <c r="V77" i="84"/>
  <c r="V69" i="84"/>
  <c r="V61" i="84"/>
  <c r="V53" i="84"/>
  <c r="V85" i="84"/>
  <c r="V71" i="84"/>
  <c r="V63" i="84"/>
  <c r="V98" i="84"/>
  <c r="V81" i="84"/>
  <c r="V66" i="84"/>
  <c r="V54" i="84"/>
  <c r="V46" i="84"/>
  <c r="V72" i="84"/>
  <c r="V56" i="84"/>
  <c r="V48" i="84"/>
  <c r="V32" i="84"/>
  <c r="V28" i="84"/>
  <c r="V86" i="84"/>
  <c r="V68" i="84"/>
  <c r="V60" i="84"/>
  <c r="V52" i="84"/>
  <c r="L17" i="84"/>
  <c r="N17" i="84" s="1"/>
  <c r="V36" i="84"/>
  <c r="V39" i="84"/>
  <c r="N64" i="84"/>
  <c r="Z53" i="85"/>
  <c r="X14" i="86"/>
  <c r="P12" i="86"/>
  <c r="J79" i="89"/>
  <c r="J63" i="89"/>
  <c r="J53" i="89"/>
  <c r="J35" i="89"/>
  <c r="J31" i="89"/>
  <c r="J27" i="89"/>
  <c r="J25" i="89"/>
  <c r="J23" i="89"/>
  <c r="J81" i="89"/>
  <c r="J69" i="89"/>
  <c r="J82" i="89"/>
  <c r="J70" i="89"/>
  <c r="J64" i="89"/>
  <c r="J83" i="89"/>
  <c r="J85" i="89"/>
  <c r="J65" i="89"/>
  <c r="J78" i="89"/>
  <c r="J60" i="89"/>
  <c r="J50" i="89"/>
  <c r="J34" i="89"/>
  <c r="J30" i="89"/>
  <c r="J74" i="89"/>
  <c r="J56" i="89"/>
  <c r="J36" i="89"/>
  <c r="J80" i="89"/>
  <c r="J66" i="89"/>
  <c r="J46" i="89"/>
  <c r="J33" i="89"/>
  <c r="J52" i="89"/>
  <c r="J47" i="89"/>
  <c r="J43" i="89"/>
  <c r="J20" i="89"/>
  <c r="J72" i="89"/>
  <c r="J61" i="89"/>
  <c r="J57" i="89"/>
  <c r="J40" i="89"/>
  <c r="J37" i="89"/>
  <c r="J75" i="89"/>
  <c r="J48" i="89"/>
  <c r="J28" i="89"/>
  <c r="J62" i="89"/>
  <c r="J49" i="89"/>
  <c r="J21" i="89"/>
  <c r="J67" i="89"/>
  <c r="J54" i="89"/>
  <c r="J44" i="89"/>
  <c r="J73" i="89"/>
  <c r="J58" i="89"/>
  <c r="J41" i="89"/>
  <c r="J38" i="89"/>
  <c r="J89" i="89"/>
  <c r="J77" i="89"/>
  <c r="J55" i="89"/>
  <c r="J51" i="89"/>
  <c r="J45" i="89"/>
  <c r="J42" i="89"/>
  <c r="J19" i="89"/>
  <c r="J71" i="89"/>
  <c r="J68" i="89"/>
  <c r="J59" i="89"/>
  <c r="J39" i="89"/>
  <c r="J29" i="89"/>
  <c r="J26" i="89"/>
  <c r="J18" i="89"/>
  <c r="J76" i="89"/>
  <c r="J32" i="89"/>
  <c r="P12" i="85"/>
  <c r="J36" i="85"/>
  <c r="J39" i="85"/>
  <c r="J65" i="85"/>
  <c r="Z86" i="85"/>
  <c r="N105" i="85"/>
  <c r="N117" i="85"/>
  <c r="V32" i="86"/>
  <c r="T36" i="86"/>
  <c r="N23" i="86"/>
  <c r="X36" i="89"/>
  <c r="Z36" i="89" s="1"/>
  <c r="N85" i="89"/>
  <c r="L85" i="89"/>
  <c r="N72" i="92"/>
  <c r="N69" i="95"/>
  <c r="L69" i="95"/>
  <c r="N81" i="95"/>
  <c r="L81" i="95"/>
  <c r="J67" i="85"/>
  <c r="Z77" i="85"/>
  <c r="J99" i="85"/>
  <c r="J105" i="85"/>
  <c r="J117" i="85"/>
  <c r="J92" i="88"/>
  <c r="J100" i="88"/>
  <c r="J93" i="88"/>
  <c r="J70" i="88"/>
  <c r="J62" i="88"/>
  <c r="J44" i="88"/>
  <c r="J40" i="88"/>
  <c r="J36" i="88"/>
  <c r="J87" i="88"/>
  <c r="J83" i="88"/>
  <c r="J71" i="88"/>
  <c r="J63" i="88"/>
  <c r="J31" i="88"/>
  <c r="J27" i="88"/>
  <c r="J17" i="88"/>
  <c r="J78" i="88"/>
  <c r="J72" i="88"/>
  <c r="J64" i="88"/>
  <c r="J54" i="88"/>
  <c r="J18" i="88"/>
  <c r="J94" i="88"/>
  <c r="J79" i="88"/>
  <c r="J73" i="88"/>
  <c r="J65" i="88"/>
  <c r="J45" i="88"/>
  <c r="J41" i="88"/>
  <c r="J37" i="88"/>
  <c r="J88" i="88"/>
  <c r="J84" i="88"/>
  <c r="J80" i="88"/>
  <c r="J66" i="88"/>
  <c r="J46" i="88"/>
  <c r="J32" i="88"/>
  <c r="J28" i="88"/>
  <c r="J89" i="88"/>
  <c r="J67" i="88"/>
  <c r="J55" i="88"/>
  <c r="J47" i="88"/>
  <c r="J19" i="88"/>
  <c r="J96" i="88"/>
  <c r="J90" i="88"/>
  <c r="J74" i="88"/>
  <c r="J56" i="88"/>
  <c r="J48" i="88"/>
  <c r="J42" i="88"/>
  <c r="J38" i="88"/>
  <c r="J75" i="88"/>
  <c r="J59" i="88"/>
  <c r="J51" i="88"/>
  <c r="J43" i="88"/>
  <c r="J39" i="88"/>
  <c r="J25" i="88"/>
  <c r="J29" i="88"/>
  <c r="J33" i="88"/>
  <c r="J58" i="88"/>
  <c r="J60" i="88"/>
  <c r="R60" i="89"/>
  <c r="R71" i="89"/>
  <c r="T89" i="93"/>
  <c r="D12" i="85"/>
  <c r="J58" i="85"/>
  <c r="J81" i="85"/>
  <c r="J102" i="85"/>
  <c r="Z17" i="88"/>
  <c r="J49" i="88"/>
  <c r="J68" i="88"/>
  <c r="N18" i="89"/>
  <c r="Z60" i="89"/>
  <c r="X60" i="89"/>
  <c r="T86" i="95"/>
  <c r="L13" i="85"/>
  <c r="N13" i="85" s="1"/>
  <c r="J55" i="85"/>
  <c r="N64" i="85"/>
  <c r="J87" i="85"/>
  <c r="J109" i="85"/>
  <c r="J111" i="85"/>
  <c r="V17" i="88"/>
  <c r="Z25" i="88"/>
  <c r="J35" i="88"/>
  <c r="N79" i="88"/>
  <c r="R82" i="89"/>
  <c r="L56" i="92"/>
  <c r="N56" i="92" s="1"/>
  <c r="Z91" i="84"/>
  <c r="J35" i="85"/>
  <c r="J38" i="85"/>
  <c r="J64" i="85"/>
  <c r="L80" i="85"/>
  <c r="J84" i="85"/>
  <c r="J93" i="85"/>
  <c r="L101" i="85"/>
  <c r="J104" i="85"/>
  <c r="J116" i="85"/>
  <c r="X119" i="85"/>
  <c r="N121" i="85"/>
  <c r="N22" i="86"/>
  <c r="J24" i="88"/>
  <c r="J53" i="88"/>
  <c r="J81" i="88"/>
  <c r="R39" i="89"/>
  <c r="N53" i="85"/>
  <c r="J54" i="85"/>
  <c r="J60" i="85"/>
  <c r="J63" i="85"/>
  <c r="J69" i="85"/>
  <c r="J74" i="85"/>
  <c r="J96" i="85"/>
  <c r="L98" i="85"/>
  <c r="N98" i="85" s="1"/>
  <c r="Z105" i="85"/>
  <c r="J113" i="85"/>
  <c r="Z117" i="85"/>
  <c r="Z119" i="85"/>
  <c r="J128" i="85"/>
  <c r="D12" i="88"/>
  <c r="J20" i="88"/>
  <c r="J76" i="88"/>
  <c r="J85" i="88"/>
  <c r="R64" i="89"/>
  <c r="R32" i="89"/>
  <c r="R28" i="89"/>
  <c r="X12" i="89"/>
  <c r="Z12" i="89" s="1"/>
  <c r="R85" i="89"/>
  <c r="R66" i="89"/>
  <c r="R65" i="89"/>
  <c r="R58" i="89"/>
  <c r="R57" i="89"/>
  <c r="R89" i="89"/>
  <c r="R78" i="89"/>
  <c r="R80" i="89"/>
  <c r="R79" i="89"/>
  <c r="R63" i="89"/>
  <c r="R36" i="89"/>
  <c r="R35" i="89"/>
  <c r="R31" i="89"/>
  <c r="R27" i="89"/>
  <c r="P23" i="89"/>
  <c r="R72" i="89"/>
  <c r="R61" i="89"/>
  <c r="R52" i="89"/>
  <c r="R83" i="89"/>
  <c r="R75" i="89"/>
  <c r="R53" i="89"/>
  <c r="R49" i="89"/>
  <c r="R48" i="89"/>
  <c r="R40" i="89"/>
  <c r="R37" i="89"/>
  <c r="R62" i="89"/>
  <c r="R21" i="89"/>
  <c r="R69" i="89"/>
  <c r="R54" i="89"/>
  <c r="R34" i="89"/>
  <c r="R73" i="89"/>
  <c r="R67" i="89"/>
  <c r="R44" i="89"/>
  <c r="R41" i="89"/>
  <c r="R38" i="89"/>
  <c r="R18" i="89"/>
  <c r="R81" i="89"/>
  <c r="R76" i="89"/>
  <c r="R70" i="89"/>
  <c r="R50" i="89"/>
  <c r="R23" i="89"/>
  <c r="R29" i="89"/>
  <c r="R26" i="89"/>
  <c r="R25" i="89"/>
  <c r="R77" i="89"/>
  <c r="R55" i="89"/>
  <c r="R51" i="89"/>
  <c r="R45" i="89"/>
  <c r="R42" i="89"/>
  <c r="R19" i="89"/>
  <c r="R47" i="89"/>
  <c r="R46" i="89"/>
  <c r="R33" i="89"/>
  <c r="R30" i="89"/>
  <c r="R43" i="89"/>
  <c r="R20" i="89"/>
  <c r="R74" i="89"/>
  <c r="J44" i="85"/>
  <c r="J47" i="85"/>
  <c r="J53" i="85"/>
  <c r="N80" i="85"/>
  <c r="N101" i="85"/>
  <c r="J26" i="88"/>
  <c r="J30" i="88"/>
  <c r="J34" i="88"/>
  <c r="J57" i="88"/>
  <c r="J61" i="88"/>
  <c r="X62" i="88"/>
  <c r="Z62" i="88" s="1"/>
  <c r="V66" i="88"/>
  <c r="T95" i="92"/>
  <c r="Z16" i="92"/>
  <c r="Z58" i="93"/>
  <c r="J118" i="85"/>
  <c r="J106" i="85"/>
  <c r="J88" i="85"/>
  <c r="J78" i="85"/>
  <c r="J119" i="85"/>
  <c r="J89" i="85"/>
  <c r="J49" i="85"/>
  <c r="J45" i="85"/>
  <c r="J41" i="85"/>
  <c r="J37" i="85"/>
  <c r="J120" i="85"/>
  <c r="J112" i="85"/>
  <c r="J100" i="85"/>
  <c r="J90" i="85"/>
  <c r="J72" i="85"/>
  <c r="J68" i="85"/>
  <c r="J121" i="85"/>
  <c r="J107" i="85"/>
  <c r="J101" i="85"/>
  <c r="J91" i="85"/>
  <c r="J79" i="85"/>
  <c r="J124" i="85"/>
  <c r="J114" i="85"/>
  <c r="J94" i="85"/>
  <c r="J97" i="85"/>
  <c r="J85" i="85"/>
  <c r="J75" i="85"/>
  <c r="J61" i="85"/>
  <c r="J57" i="85"/>
  <c r="H51" i="85"/>
  <c r="J71" i="85"/>
  <c r="J80" i="85"/>
  <c r="J83" i="85"/>
  <c r="J98" i="85"/>
  <c r="N124" i="85"/>
  <c r="Z35" i="88"/>
  <c r="L48" i="88"/>
  <c r="N48" i="88" s="1"/>
  <c r="Z66" i="88"/>
  <c r="J69" i="88"/>
  <c r="R68" i="89"/>
  <c r="X50" i="92"/>
  <c r="Z50" i="92" s="1"/>
  <c r="Z75" i="85"/>
  <c r="N77" i="85"/>
  <c r="J86" i="85"/>
  <c r="N92" i="85"/>
  <c r="J95" i="85"/>
  <c r="N108" i="85"/>
  <c r="J110" i="85"/>
  <c r="X121" i="85"/>
  <c r="Z121" i="85" s="1"/>
  <c r="V22" i="86"/>
  <c r="P12" i="88"/>
  <c r="X15" i="88"/>
  <c r="X70" i="88"/>
  <c r="Z70" i="88" s="1"/>
  <c r="Z89" i="88"/>
  <c r="J91" i="88"/>
  <c r="L58" i="89"/>
  <c r="J40" i="85"/>
  <c r="J43" i="85"/>
  <c r="J62" i="85"/>
  <c r="J77" i="85"/>
  <c r="Z84" i="85"/>
  <c r="J92" i="85"/>
  <c r="X98" i="85"/>
  <c r="Z98" i="85" s="1"/>
  <c r="J103" i="85"/>
  <c r="J108" i="85"/>
  <c r="J115" i="85"/>
  <c r="J50" i="88"/>
  <c r="L52" i="88"/>
  <c r="N52" i="88" s="1"/>
  <c r="R93" i="92"/>
  <c r="R84" i="92"/>
  <c r="R83" i="92"/>
  <c r="R95" i="92"/>
  <c r="R97" i="92"/>
  <c r="R102" i="92"/>
  <c r="R99" i="92"/>
  <c r="R86" i="92"/>
  <c r="R78" i="92"/>
  <c r="R74" i="92"/>
  <c r="R89" i="92"/>
  <c r="R82" i="92"/>
  <c r="R81" i="92"/>
  <c r="R87" i="92"/>
  <c r="R54" i="92"/>
  <c r="R53" i="92"/>
  <c r="R45" i="92"/>
  <c r="R30" i="92"/>
  <c r="R29" i="92"/>
  <c r="R25" i="92"/>
  <c r="R21" i="92"/>
  <c r="R68" i="92"/>
  <c r="R91" i="92"/>
  <c r="R85" i="92"/>
  <c r="R64" i="92"/>
  <c r="R63" i="92"/>
  <c r="R56" i="92"/>
  <c r="R55" i="92"/>
  <c r="R39" i="92"/>
  <c r="R35" i="92"/>
  <c r="R31" i="92"/>
  <c r="R88" i="92"/>
  <c r="R80" i="92"/>
  <c r="R77" i="92"/>
  <c r="R46" i="92"/>
  <c r="R26" i="92"/>
  <c r="R22" i="92"/>
  <c r="R75" i="92"/>
  <c r="R70" i="92"/>
  <c r="R69" i="92"/>
  <c r="R65" i="92"/>
  <c r="R58" i="92"/>
  <c r="R57" i="92"/>
  <c r="R41" i="92"/>
  <c r="R40" i="92"/>
  <c r="R36" i="92"/>
  <c r="R32" i="92"/>
  <c r="X12" i="92"/>
  <c r="R92" i="92"/>
  <c r="R72" i="92"/>
  <c r="R71" i="92"/>
  <c r="R60" i="92"/>
  <c r="R59" i="92"/>
  <c r="R48" i="92"/>
  <c r="R47" i="92"/>
  <c r="R27" i="92"/>
  <c r="R23" i="92"/>
  <c r="R44" i="92"/>
  <c r="R28" i="92"/>
  <c r="R24" i="92"/>
  <c r="R20" i="92"/>
  <c r="P16" i="92"/>
  <c r="V23" i="86"/>
  <c r="V27" i="88"/>
  <c r="V31" i="88"/>
  <c r="V63" i="88"/>
  <c r="V71" i="88"/>
  <c r="V79" i="88"/>
  <c r="V83" i="88"/>
  <c r="V87" i="88"/>
  <c r="L96" i="88"/>
  <c r="V100" i="88"/>
  <c r="D12" i="89"/>
  <c r="X13" i="89"/>
  <c r="Z13" i="89" s="1"/>
  <c r="V20" i="89"/>
  <c r="N26" i="89"/>
  <c r="V43" i="89"/>
  <c r="L70" i="89"/>
  <c r="N70" i="89" s="1"/>
  <c r="Z80" i="89"/>
  <c r="R16" i="92"/>
  <c r="N19" i="92"/>
  <c r="R38" i="92"/>
  <c r="R50" i="92"/>
  <c r="F59" i="92"/>
  <c r="R73" i="92"/>
  <c r="R60" i="93"/>
  <c r="V26" i="88"/>
  <c r="V30" i="88"/>
  <c r="V34" i="88"/>
  <c r="V62" i="88"/>
  <c r="V70" i="88"/>
  <c r="V82" i="88"/>
  <c r="V86" i="88"/>
  <c r="V92" i="88"/>
  <c r="V35" i="89"/>
  <c r="V39" i="89"/>
  <c r="V56" i="89"/>
  <c r="V59" i="89"/>
  <c r="J37" i="92"/>
  <c r="J42" i="92"/>
  <c r="J51" i="92"/>
  <c r="R76" i="92"/>
  <c r="J99" i="92"/>
  <c r="T22" i="88"/>
  <c r="V35" i="88"/>
  <c r="V39" i="88"/>
  <c r="V43" i="88"/>
  <c r="V51" i="88"/>
  <c r="V59" i="88"/>
  <c r="V75" i="88"/>
  <c r="V32" i="89"/>
  <c r="V42" i="89"/>
  <c r="V45" i="89"/>
  <c r="N62" i="89"/>
  <c r="V63" i="89"/>
  <c r="Z77" i="89"/>
  <c r="X82" i="89"/>
  <c r="Z82" i="89" s="1"/>
  <c r="L14" i="92"/>
  <c r="L18" i="92"/>
  <c r="N18" i="92" s="1"/>
  <c r="R19" i="92"/>
  <c r="R33" i="92"/>
  <c r="R43" i="92"/>
  <c r="L48" i="92"/>
  <c r="R61" i="92"/>
  <c r="J65" i="92"/>
  <c r="F69" i="92"/>
  <c r="J72" i="92"/>
  <c r="Z26" i="94"/>
  <c r="V26" i="94"/>
  <c r="Z51" i="94"/>
  <c r="X51" i="94"/>
  <c r="V20" i="88"/>
  <c r="V22" i="88"/>
  <c r="V24" i="88"/>
  <c r="V52" i="88"/>
  <c r="V60" i="88"/>
  <c r="V68" i="88"/>
  <c r="V76" i="88"/>
  <c r="V85" i="89"/>
  <c r="V83" i="89"/>
  <c r="V75" i="89"/>
  <c r="V71" i="89"/>
  <c r="V55" i="89"/>
  <c r="V47" i="89"/>
  <c r="V19" i="89"/>
  <c r="V77" i="89"/>
  <c r="V65" i="89"/>
  <c r="V76" i="89"/>
  <c r="V72" i="89"/>
  <c r="V60" i="89"/>
  <c r="V89" i="89"/>
  <c r="V73" i="89"/>
  <c r="V61" i="89"/>
  <c r="V82" i="89"/>
  <c r="V74" i="89"/>
  <c r="V70" i="89"/>
  <c r="V54" i="89"/>
  <c r="V18" i="89"/>
  <c r="V29" i="89"/>
  <c r="V51" i="89"/>
  <c r="Z19" i="92"/>
  <c r="R37" i="92"/>
  <c r="Z43" i="92"/>
  <c r="J58" i="92"/>
  <c r="J69" i="92"/>
  <c r="R81" i="93"/>
  <c r="V25" i="88"/>
  <c r="V29" i="88"/>
  <c r="V33" i="88"/>
  <c r="V49" i="88"/>
  <c r="V57" i="88"/>
  <c r="V81" i="88"/>
  <c r="V85" i="88"/>
  <c r="T23" i="89"/>
  <c r="V25" i="89"/>
  <c r="V26" i="89"/>
  <c r="V50" i="89"/>
  <c r="L53" i="89"/>
  <c r="N53" i="89" s="1"/>
  <c r="X58" i="89"/>
  <c r="V81" i="89"/>
  <c r="R42" i="92"/>
  <c r="J48" i="92"/>
  <c r="R51" i="92"/>
  <c r="L60" i="92"/>
  <c r="N60" i="92" s="1"/>
  <c r="P12" i="94"/>
  <c r="X13" i="94"/>
  <c r="Z13" i="94" s="1"/>
  <c r="V26" i="86"/>
  <c r="V38" i="88"/>
  <c r="V42" i="88"/>
  <c r="V50" i="88"/>
  <c r="V58" i="88"/>
  <c r="V74" i="88"/>
  <c r="V90" i="88"/>
  <c r="Z91" i="88"/>
  <c r="V96" i="88"/>
  <c r="V23" i="89"/>
  <c r="X25" i="89"/>
  <c r="Z25" i="89" s="1"/>
  <c r="V38" i="89"/>
  <c r="V41" i="89"/>
  <c r="V44" i="89"/>
  <c r="V67" i="89"/>
  <c r="R14" i="92"/>
  <c r="R18" i="92"/>
  <c r="J32" i="92"/>
  <c r="R67" i="92"/>
  <c r="R79" i="92"/>
  <c r="V27" i="86"/>
  <c r="V19" i="88"/>
  <c r="V47" i="88"/>
  <c r="V55" i="88"/>
  <c r="V67" i="88"/>
  <c r="V91" i="88"/>
  <c r="X18" i="89"/>
  <c r="Z18" i="89" s="1"/>
  <c r="V31" i="89"/>
  <c r="V34" i="89"/>
  <c r="V58" i="89"/>
  <c r="V69" i="89"/>
  <c r="F87" i="92"/>
  <c r="F79" i="92"/>
  <c r="F75" i="92"/>
  <c r="F76" i="92"/>
  <c r="F92" i="92"/>
  <c r="F83" i="92"/>
  <c r="F82" i="92"/>
  <c r="F93" i="92"/>
  <c r="F91" i="92"/>
  <c r="F95" i="92"/>
  <c r="F73" i="92"/>
  <c r="F72" i="92"/>
  <c r="F61" i="92"/>
  <c r="F60" i="92"/>
  <c r="F49" i="92"/>
  <c r="F48" i="92"/>
  <c r="F37" i="92"/>
  <c r="F33" i="92"/>
  <c r="F84" i="92"/>
  <c r="F67" i="92"/>
  <c r="F51" i="92"/>
  <c r="F50" i="92"/>
  <c r="F18" i="92"/>
  <c r="F16" i="92"/>
  <c r="F14" i="92"/>
  <c r="F74" i="92"/>
  <c r="F62" i="92"/>
  <c r="F38" i="92"/>
  <c r="F34" i="92"/>
  <c r="D16" i="92"/>
  <c r="F97" i="92"/>
  <c r="F53" i="92"/>
  <c r="F52" i="92"/>
  <c r="F45" i="92"/>
  <c r="F29" i="92"/>
  <c r="F25" i="92"/>
  <c r="F21" i="92"/>
  <c r="F85" i="92"/>
  <c r="F77" i="92"/>
  <c r="F68" i="92"/>
  <c r="F63" i="92"/>
  <c r="F55" i="92"/>
  <c r="F54" i="92"/>
  <c r="F39" i="92"/>
  <c r="F35" i="92"/>
  <c r="F31" i="92"/>
  <c r="F30" i="92"/>
  <c r="F40" i="92"/>
  <c r="F36" i="92"/>
  <c r="F32" i="92"/>
  <c r="L12" i="92"/>
  <c r="Z14" i="92"/>
  <c r="X14" i="92"/>
  <c r="X18" i="92"/>
  <c r="Z18" i="92" s="1"/>
  <c r="F20" i="92"/>
  <c r="F28" i="92"/>
  <c r="N30" i="92"/>
  <c r="J36" i="92"/>
  <c r="F57" i="92"/>
  <c r="F64" i="92"/>
  <c r="F71" i="92"/>
  <c r="V28" i="88"/>
  <c r="V32" i="88"/>
  <c r="V48" i="88"/>
  <c r="V56" i="88"/>
  <c r="V80" i="88"/>
  <c r="V84" i="88"/>
  <c r="V88" i="88"/>
  <c r="V21" i="89"/>
  <c r="V28" i="89"/>
  <c r="N56" i="89"/>
  <c r="Z62" i="89"/>
  <c r="J88" i="92"/>
  <c r="J80" i="92"/>
  <c r="J89" i="92"/>
  <c r="J81" i="92"/>
  <c r="J92" i="92"/>
  <c r="J91" i="92"/>
  <c r="J83" i="92"/>
  <c r="J93" i="92"/>
  <c r="J84" i="92"/>
  <c r="J95" i="92"/>
  <c r="J85" i="92"/>
  <c r="J77" i="92"/>
  <c r="J97" i="92"/>
  <c r="J76" i="92"/>
  <c r="J50" i="92"/>
  <c r="J44" i="92"/>
  <c r="J28" i="92"/>
  <c r="J24" i="92"/>
  <c r="J20" i="92"/>
  <c r="J18" i="92"/>
  <c r="J16" i="92"/>
  <c r="J14" i="92"/>
  <c r="J67" i="92"/>
  <c r="J79" i="92"/>
  <c r="J74" i="92"/>
  <c r="J62" i="92"/>
  <c r="J52" i="92"/>
  <c r="J38" i="92"/>
  <c r="J34" i="92"/>
  <c r="J87" i="92"/>
  <c r="J82" i="92"/>
  <c r="J53" i="92"/>
  <c r="J45" i="92"/>
  <c r="J29" i="92"/>
  <c r="J25" i="92"/>
  <c r="J21" i="92"/>
  <c r="J68" i="92"/>
  <c r="J54" i="92"/>
  <c r="J30" i="92"/>
  <c r="J63" i="92"/>
  <c r="J55" i="92"/>
  <c r="J39" i="92"/>
  <c r="J35" i="92"/>
  <c r="J31" i="92"/>
  <c r="J102" i="92"/>
  <c r="J64" i="92"/>
  <c r="J56" i="92"/>
  <c r="J46" i="92"/>
  <c r="J26" i="92"/>
  <c r="J22" i="92"/>
  <c r="J86" i="92"/>
  <c r="J78" i="92"/>
  <c r="J71" i="92"/>
  <c r="J59" i="92"/>
  <c r="J47" i="92"/>
  <c r="J41" i="92"/>
  <c r="J27" i="92"/>
  <c r="J23" i="92"/>
  <c r="H16" i="92"/>
  <c r="X30" i="92"/>
  <c r="Z30" i="92" s="1"/>
  <c r="J57" i="92"/>
  <c r="R62" i="92"/>
  <c r="L64" i="92"/>
  <c r="N64" i="92" s="1"/>
  <c r="J73" i="92"/>
  <c r="R83" i="93"/>
  <c r="R44" i="93"/>
  <c r="R40" i="93"/>
  <c r="R36" i="93"/>
  <c r="R75" i="93"/>
  <c r="R63" i="93"/>
  <c r="R31" i="93"/>
  <c r="R27" i="93"/>
  <c r="R71" i="93"/>
  <c r="R70" i="93"/>
  <c r="R54" i="93"/>
  <c r="R87" i="93"/>
  <c r="R46" i="93"/>
  <c r="R45" i="93"/>
  <c r="R41" i="93"/>
  <c r="R37" i="93"/>
  <c r="R18" i="93"/>
  <c r="R76" i="93"/>
  <c r="R72" i="93"/>
  <c r="R65" i="93"/>
  <c r="R64" i="93"/>
  <c r="R32" i="93"/>
  <c r="R28" i="93"/>
  <c r="X12" i="93"/>
  <c r="R56" i="93"/>
  <c r="R55" i="93"/>
  <c r="R48" i="93"/>
  <c r="R47" i="93"/>
  <c r="R19" i="93"/>
  <c r="R78" i="93"/>
  <c r="R77" i="93"/>
  <c r="R73" i="93"/>
  <c r="R58" i="93"/>
  <c r="R57" i="93"/>
  <c r="R50" i="93"/>
  <c r="R49" i="93"/>
  <c r="R33" i="93"/>
  <c r="R29" i="93"/>
  <c r="R74" i="93"/>
  <c r="R35" i="93"/>
  <c r="R34" i="93"/>
  <c r="R30" i="93"/>
  <c r="R26" i="93"/>
  <c r="P22" i="93"/>
  <c r="R69" i="93"/>
  <c r="R38" i="93"/>
  <c r="R52" i="93"/>
  <c r="R22" i="93"/>
  <c r="R79" i="93"/>
  <c r="R61" i="93"/>
  <c r="R80" i="93"/>
  <c r="R68" i="93"/>
  <c r="R59" i="93"/>
  <c r="R43" i="93"/>
  <c r="R20" i="93"/>
  <c r="R24" i="93"/>
  <c r="R66" i="93"/>
  <c r="R39" i="93"/>
  <c r="R51" i="93"/>
  <c r="R25" i="93"/>
  <c r="R62" i="93"/>
  <c r="Z49" i="89"/>
  <c r="L51" i="89"/>
  <c r="N51" i="89" s="1"/>
  <c r="R34" i="92"/>
  <c r="N57" i="94"/>
  <c r="L57" i="94"/>
  <c r="H23" i="95"/>
  <c r="J18" i="95"/>
  <c r="V51" i="92"/>
  <c r="V67" i="92"/>
  <c r="N18" i="93"/>
  <c r="N46" i="93"/>
  <c r="J55" i="93"/>
  <c r="J66" i="93"/>
  <c r="Z71" i="93"/>
  <c r="J18" i="94"/>
  <c r="J28" i="94"/>
  <c r="J42" i="94"/>
  <c r="J46" i="94"/>
  <c r="X49" i="94"/>
  <c r="Z49" i="94" s="1"/>
  <c r="V85" i="92"/>
  <c r="V102" i="92"/>
  <c r="V99" i="92"/>
  <c r="V97" i="92"/>
  <c r="V86" i="92"/>
  <c r="V87" i="92"/>
  <c r="V79" i="92"/>
  <c r="V92" i="92"/>
  <c r="V84" i="92"/>
  <c r="V14" i="92"/>
  <c r="V16" i="92"/>
  <c r="V18" i="92"/>
  <c r="V42" i="92"/>
  <c r="V50" i="92"/>
  <c r="V66" i="92"/>
  <c r="V78" i="92"/>
  <c r="V83" i="92"/>
  <c r="V95" i="92"/>
  <c r="V43" i="92"/>
  <c r="V47" i="92"/>
  <c r="V59" i="92"/>
  <c r="V71" i="92"/>
  <c r="N91" i="92"/>
  <c r="J45" i="93"/>
  <c r="J48" i="93"/>
  <c r="X60" i="93"/>
  <c r="Z60" i="93" s="1"/>
  <c r="Z78" i="93"/>
  <c r="F69" i="94"/>
  <c r="F76" i="94"/>
  <c r="F75" i="94"/>
  <c r="F78" i="94"/>
  <c r="F43" i="94"/>
  <c r="F39" i="94"/>
  <c r="F72" i="94"/>
  <c r="F50" i="94"/>
  <c r="F49" i="94"/>
  <c r="F34" i="94"/>
  <c r="F30" i="94"/>
  <c r="F61" i="94"/>
  <c r="F21" i="94"/>
  <c r="F79" i="94"/>
  <c r="F67" i="94"/>
  <c r="F52" i="94"/>
  <c r="F51" i="94"/>
  <c r="F44" i="94"/>
  <c r="F40" i="94"/>
  <c r="F83" i="94"/>
  <c r="F73" i="94"/>
  <c r="F70" i="94"/>
  <c r="F35" i="94"/>
  <c r="F31" i="94"/>
  <c r="F27" i="94"/>
  <c r="F26" i="94"/>
  <c r="F62" i="94"/>
  <c r="F54" i="94"/>
  <c r="F53" i="94"/>
  <c r="F25" i="94"/>
  <c r="F23" i="94"/>
  <c r="F68" i="94"/>
  <c r="F64" i="94"/>
  <c r="F63" i="94"/>
  <c r="F56" i="94"/>
  <c r="F55" i="94"/>
  <c r="F32" i="94"/>
  <c r="F28" i="94"/>
  <c r="L12" i="94"/>
  <c r="F66" i="94"/>
  <c r="F33" i="94"/>
  <c r="F29" i="94"/>
  <c r="F37" i="94"/>
  <c r="V40" i="92"/>
  <c r="V48" i="92"/>
  <c r="V60" i="92"/>
  <c r="V72" i="92"/>
  <c r="V35" i="93"/>
  <c r="J76" i="94"/>
  <c r="J79" i="94"/>
  <c r="J78" i="94"/>
  <c r="J70" i="94"/>
  <c r="J66" i="94"/>
  <c r="J83" i="94"/>
  <c r="J73" i="94"/>
  <c r="J75" i="94"/>
  <c r="J50" i="94"/>
  <c r="J34" i="94"/>
  <c r="J30" i="94"/>
  <c r="J61" i="94"/>
  <c r="J51" i="94"/>
  <c r="J21" i="94"/>
  <c r="J67" i="94"/>
  <c r="J52" i="94"/>
  <c r="J44" i="94"/>
  <c r="J40" i="94"/>
  <c r="J26" i="94"/>
  <c r="J53" i="94"/>
  <c r="J35" i="94"/>
  <c r="J31" i="94"/>
  <c r="J27" i="94"/>
  <c r="J25" i="94"/>
  <c r="J62" i="94"/>
  <c r="J54" i="94"/>
  <c r="J36" i="94"/>
  <c r="H23" i="94"/>
  <c r="J23" i="94" s="1"/>
  <c r="J63" i="94"/>
  <c r="J55" i="94"/>
  <c r="J45" i="94"/>
  <c r="J41" i="94"/>
  <c r="J37" i="94"/>
  <c r="J65" i="94"/>
  <c r="J57" i="94"/>
  <c r="J19" i="94"/>
  <c r="J60" i="94"/>
  <c r="J48" i="94"/>
  <c r="J20" i="94"/>
  <c r="F19" i="94"/>
  <c r="J39" i="94"/>
  <c r="F41" i="94"/>
  <c r="F45" i="94"/>
  <c r="J56" i="94"/>
  <c r="F58" i="94"/>
  <c r="F65" i="94"/>
  <c r="V77" i="95"/>
  <c r="V73" i="95"/>
  <c r="V65" i="95"/>
  <c r="V45" i="95"/>
  <c r="V41" i="95"/>
  <c r="V37" i="95"/>
  <c r="V64" i="95"/>
  <c r="V56" i="95"/>
  <c r="V32" i="95"/>
  <c r="V28" i="95"/>
  <c r="V79" i="95"/>
  <c r="V67" i="95"/>
  <c r="V55" i="95"/>
  <c r="V47" i="95"/>
  <c r="V19" i="95"/>
  <c r="V78" i="95"/>
  <c r="V74" i="95"/>
  <c r="V66" i="95"/>
  <c r="V58" i="95"/>
  <c r="V46" i="95"/>
  <c r="V42" i="95"/>
  <c r="V38" i="95"/>
  <c r="V81" i="95"/>
  <c r="V69" i="95"/>
  <c r="V57" i="95"/>
  <c r="V49" i="95"/>
  <c r="V33" i="95"/>
  <c r="V29" i="95"/>
  <c r="V80" i="95"/>
  <c r="V68" i="95"/>
  <c r="V60" i="95"/>
  <c r="V48" i="95"/>
  <c r="V20" i="95"/>
  <c r="V75" i="95"/>
  <c r="V71" i="95"/>
  <c r="V59" i="95"/>
  <c r="V51" i="95"/>
  <c r="V86" i="95"/>
  <c r="V84" i="95"/>
  <c r="V82" i="95"/>
  <c r="V70" i="95"/>
  <c r="V62" i="95"/>
  <c r="V50" i="95"/>
  <c r="V34" i="95"/>
  <c r="V30" i="95"/>
  <c r="V26" i="95"/>
  <c r="V61" i="95"/>
  <c r="V53" i="95"/>
  <c r="V25" i="95"/>
  <c r="V23" i="95"/>
  <c r="V21" i="95"/>
  <c r="V76" i="95"/>
  <c r="V72" i="95"/>
  <c r="V52" i="95"/>
  <c r="V44" i="95"/>
  <c r="V40" i="95"/>
  <c r="V36" i="95"/>
  <c r="V63" i="95"/>
  <c r="V35" i="95"/>
  <c r="V31" i="95"/>
  <c r="V27" i="95"/>
  <c r="V88" i="95"/>
  <c r="V39" i="95"/>
  <c r="V43" i="95"/>
  <c r="V54" i="95"/>
  <c r="V18" i="95"/>
  <c r="V41" i="92"/>
  <c r="V57" i="92"/>
  <c r="V65" i="92"/>
  <c r="V69" i="92"/>
  <c r="V75" i="92"/>
  <c r="X24" i="93"/>
  <c r="Z24" i="93" s="1"/>
  <c r="J50" i="93"/>
  <c r="J65" i="93"/>
  <c r="Z80" i="93"/>
  <c r="N12" i="94"/>
  <c r="Z25" i="94"/>
  <c r="J43" i="94"/>
  <c r="J58" i="94"/>
  <c r="V46" i="92"/>
  <c r="V58" i="92"/>
  <c r="V70" i="92"/>
  <c r="V77" i="92"/>
  <c r="L14" i="93"/>
  <c r="D12" i="93"/>
  <c r="J19" i="93"/>
  <c r="J38" i="93"/>
  <c r="F47" i="94"/>
  <c r="X75" i="94"/>
  <c r="Z75" i="94" s="1"/>
  <c r="Z91" i="92"/>
  <c r="J79" i="93"/>
  <c r="J59" i="93"/>
  <c r="J51" i="93"/>
  <c r="J43" i="93"/>
  <c r="J39" i="93"/>
  <c r="J25" i="93"/>
  <c r="J80" i="93"/>
  <c r="J74" i="93"/>
  <c r="J60" i="93"/>
  <c r="J52" i="93"/>
  <c r="J34" i="93"/>
  <c r="J30" i="93"/>
  <c r="J26" i="93"/>
  <c r="J24" i="93"/>
  <c r="J22" i="93"/>
  <c r="J81" i="93"/>
  <c r="J69" i="93"/>
  <c r="J61" i="93"/>
  <c r="J53" i="93"/>
  <c r="J35" i="93"/>
  <c r="H22" i="93"/>
  <c r="J62" i="93"/>
  <c r="J44" i="93"/>
  <c r="J40" i="93"/>
  <c r="J36" i="93"/>
  <c r="J83" i="93"/>
  <c r="J75" i="93"/>
  <c r="J63" i="93"/>
  <c r="J31" i="93"/>
  <c r="J27" i="93"/>
  <c r="J70" i="93"/>
  <c r="J54" i="93"/>
  <c r="J76" i="93"/>
  <c r="J72" i="93"/>
  <c r="J64" i="93"/>
  <c r="J46" i="93"/>
  <c r="J32" i="93"/>
  <c r="J28" i="93"/>
  <c r="J18" i="93"/>
  <c r="J77" i="93"/>
  <c r="J73" i="93"/>
  <c r="J67" i="93"/>
  <c r="J57" i="93"/>
  <c r="J49" i="93"/>
  <c r="J33" i="93"/>
  <c r="J29" i="93"/>
  <c r="J42" i="93"/>
  <c r="N56" i="93"/>
  <c r="V56" i="92"/>
  <c r="V64" i="92"/>
  <c r="V68" i="92"/>
  <c r="V91" i="92"/>
  <c r="N25" i="93"/>
  <c r="Z50" i="93"/>
  <c r="J56" i="93"/>
  <c r="J32" i="94"/>
  <c r="F36" i="94"/>
  <c r="J47" i="94"/>
  <c r="F74" i="94"/>
  <c r="Z52" i="93"/>
  <c r="L23" i="94"/>
  <c r="L55" i="94"/>
  <c r="N55" i="94" s="1"/>
  <c r="V53" i="93"/>
  <c r="V61" i="93"/>
  <c r="V69" i="93"/>
  <c r="V81" i="93"/>
  <c r="V83" i="93"/>
  <c r="V85" i="93"/>
  <c r="T23" i="94"/>
  <c r="V36" i="94"/>
  <c r="V40" i="94"/>
  <c r="V44" i="94"/>
  <c r="V52" i="94"/>
  <c r="Z26" i="95"/>
  <c r="V20" i="93"/>
  <c r="V22" i="93"/>
  <c r="V24" i="93"/>
  <c r="V52" i="93"/>
  <c r="V60" i="93"/>
  <c r="V68" i="93"/>
  <c r="V80" i="93"/>
  <c r="V39" i="94"/>
  <c r="V43" i="94"/>
  <c r="V51" i="94"/>
  <c r="V66" i="94"/>
  <c r="V75" i="94"/>
  <c r="D12" i="95"/>
  <c r="L13" i="95"/>
  <c r="N13" i="95" s="1"/>
  <c r="V38" i="93"/>
  <c r="V42" i="93"/>
  <c r="V50" i="93"/>
  <c r="V58" i="93"/>
  <c r="V66" i="93"/>
  <c r="V78" i="93"/>
  <c r="V29" i="94"/>
  <c r="V33" i="94"/>
  <c r="V49" i="94"/>
  <c r="V74" i="94"/>
  <c r="P12" i="95"/>
  <c r="H98" i="98"/>
  <c r="J98" i="98" s="1"/>
  <c r="V47" i="93"/>
  <c r="V55" i="93"/>
  <c r="V67" i="93"/>
  <c r="V72" i="94"/>
  <c r="V83" i="94"/>
  <c r="V71" i="94"/>
  <c r="V69" i="94"/>
  <c r="V78" i="94"/>
  <c r="V76" i="94"/>
  <c r="V38" i="94"/>
  <c r="V42" i="94"/>
  <c r="V46" i="94"/>
  <c r="V58" i="94"/>
  <c r="Z12" i="93"/>
  <c r="V28" i="93"/>
  <c r="V32" i="93"/>
  <c r="V48" i="93"/>
  <c r="V56" i="93"/>
  <c r="V64" i="93"/>
  <c r="V72" i="93"/>
  <c r="V76" i="93"/>
  <c r="V19" i="94"/>
  <c r="V47" i="94"/>
  <c r="V59" i="94"/>
  <c r="V37" i="93"/>
  <c r="V41" i="93"/>
  <c r="V45" i="93"/>
  <c r="V65" i="93"/>
  <c r="V87" i="93"/>
  <c r="V89" i="93"/>
  <c r="V28" i="94"/>
  <c r="V32" i="94"/>
  <c r="V56" i="94"/>
  <c r="V64" i="94"/>
  <c r="V65" i="94"/>
  <c r="V68" i="94"/>
  <c r="V18" i="93"/>
  <c r="V46" i="93"/>
  <c r="V54" i="93"/>
  <c r="V70" i="93"/>
  <c r="V37" i="94"/>
  <c r="V41" i="94"/>
  <c r="V45" i="94"/>
  <c r="V57" i="94"/>
  <c r="V70" i="94"/>
  <c r="V73" i="94"/>
  <c r="L49" i="95"/>
  <c r="N49" i="95" s="1"/>
  <c r="P12" i="96"/>
  <c r="H22" i="96"/>
  <c r="L17" i="96"/>
  <c r="N17" i="96" s="1"/>
  <c r="J17" i="96"/>
  <c r="T105" i="96"/>
  <c r="V105" i="96" s="1"/>
  <c r="V27" i="93"/>
  <c r="V31" i="93"/>
  <c r="V63" i="93"/>
  <c r="V71" i="93"/>
  <c r="V18" i="94"/>
  <c r="V54" i="94"/>
  <c r="V62" i="94"/>
  <c r="L18" i="95"/>
  <c r="N18" i="95" s="1"/>
  <c r="J39" i="95"/>
  <c r="J43" i="95"/>
  <c r="J49" i="95"/>
  <c r="J59" i="95"/>
  <c r="J69" i="95"/>
  <c r="J75" i="95"/>
  <c r="J81" i="95"/>
  <c r="D22" i="96"/>
  <c r="J27" i="96"/>
  <c r="J31" i="96"/>
  <c r="F35" i="96"/>
  <c r="F36" i="96"/>
  <c r="F40" i="96"/>
  <c r="F44" i="96"/>
  <c r="V47" i="96"/>
  <c r="J59" i="96"/>
  <c r="V60" i="96"/>
  <c r="J65" i="96"/>
  <c r="J68" i="96"/>
  <c r="V73" i="96"/>
  <c r="N90" i="96"/>
  <c r="L90" i="96"/>
  <c r="R81" i="98"/>
  <c r="R70" i="98"/>
  <c r="R69" i="98"/>
  <c r="R89" i="98"/>
  <c r="R88" i="98"/>
  <c r="R77" i="98"/>
  <c r="R76" i="98"/>
  <c r="R90" i="98"/>
  <c r="R82" i="98"/>
  <c r="R78" i="98"/>
  <c r="R83" i="98"/>
  <c r="R79" i="98"/>
  <c r="R96" i="98"/>
  <c r="R75" i="98"/>
  <c r="R54" i="98"/>
  <c r="R72" i="98"/>
  <c r="R62" i="98"/>
  <c r="R45" i="98"/>
  <c r="R41" i="98"/>
  <c r="R37" i="98"/>
  <c r="R18" i="98"/>
  <c r="R86" i="98"/>
  <c r="R66" i="98"/>
  <c r="R32" i="98"/>
  <c r="R28" i="98"/>
  <c r="X12" i="98"/>
  <c r="R92" i="98"/>
  <c r="R63" i="98"/>
  <c r="R55" i="98"/>
  <c r="R19" i="98"/>
  <c r="R84" i="98"/>
  <c r="R80" i="98"/>
  <c r="R47" i="98"/>
  <c r="R46" i="98"/>
  <c r="R42" i="98"/>
  <c r="R38" i="98"/>
  <c r="R73" i="98"/>
  <c r="R64" i="98"/>
  <c r="R33" i="98"/>
  <c r="R29" i="98"/>
  <c r="R87" i="98"/>
  <c r="R67" i="98"/>
  <c r="R57" i="98"/>
  <c r="R56" i="98"/>
  <c r="R49" i="98"/>
  <c r="R48" i="98"/>
  <c r="R20" i="98"/>
  <c r="R43" i="98"/>
  <c r="R39" i="98"/>
  <c r="R85" i="98"/>
  <c r="R74" i="98"/>
  <c r="R59" i="98"/>
  <c r="R58" i="98"/>
  <c r="R51" i="98"/>
  <c r="R50" i="98"/>
  <c r="R34" i="98"/>
  <c r="R30" i="98"/>
  <c r="R26" i="98"/>
  <c r="R21" i="98"/>
  <c r="N49" i="98"/>
  <c r="F87" i="98"/>
  <c r="J48" i="95"/>
  <c r="J58" i="95"/>
  <c r="J68" i="95"/>
  <c r="J80" i="95"/>
  <c r="F22" i="96"/>
  <c r="F24" i="96"/>
  <c r="J40" i="96"/>
  <c r="J44" i="96"/>
  <c r="V48" i="96"/>
  <c r="J52" i="96"/>
  <c r="J90" i="96"/>
  <c r="R71" i="98"/>
  <c r="J33" i="95"/>
  <c r="J47" i="95"/>
  <c r="J57" i="95"/>
  <c r="J67" i="95"/>
  <c r="J79" i="95"/>
  <c r="F25" i="96"/>
  <c r="F26" i="96"/>
  <c r="F30" i="96"/>
  <c r="F34" i="96"/>
  <c r="J35" i="96"/>
  <c r="V37" i="96"/>
  <c r="V41" i="96"/>
  <c r="V45" i="96"/>
  <c r="X48" i="96"/>
  <c r="Z48" i="96" s="1"/>
  <c r="F51" i="96"/>
  <c r="V53" i="96"/>
  <c r="Z56" i="96"/>
  <c r="F64" i="96"/>
  <c r="F70" i="96"/>
  <c r="J72" i="96"/>
  <c r="F76" i="96"/>
  <c r="Z88" i="96"/>
  <c r="J95" i="96"/>
  <c r="D12" i="99"/>
  <c r="L13" i="99"/>
  <c r="X13" i="95"/>
  <c r="Z13" i="95" s="1"/>
  <c r="J38" i="95"/>
  <c r="J42" i="95"/>
  <c r="J46" i="95"/>
  <c r="J56" i="95"/>
  <c r="J66" i="95"/>
  <c r="J74" i="95"/>
  <c r="J78" i="95"/>
  <c r="V18" i="96"/>
  <c r="J22" i="96"/>
  <c r="J24" i="96"/>
  <c r="J26" i="96"/>
  <c r="J30" i="96"/>
  <c r="J34" i="96"/>
  <c r="F39" i="96"/>
  <c r="F43" i="96"/>
  <c r="V46" i="96"/>
  <c r="F50" i="96"/>
  <c r="J51" i="96"/>
  <c r="V56" i="96"/>
  <c r="V68" i="96"/>
  <c r="N70" i="96"/>
  <c r="L76" i="96"/>
  <c r="N76" i="96" s="1"/>
  <c r="Z79" i="96"/>
  <c r="L95" i="96"/>
  <c r="N95" i="96" s="1"/>
  <c r="F98" i="96"/>
  <c r="R35" i="98"/>
  <c r="Z49" i="98"/>
  <c r="R65" i="98"/>
  <c r="L69" i="102"/>
  <c r="N69" i="102" s="1"/>
  <c r="F103" i="96"/>
  <c r="F91" i="96"/>
  <c r="F90" i="96"/>
  <c r="F59" i="96"/>
  <c r="F58" i="96"/>
  <c r="F74" i="96"/>
  <c r="F93" i="96"/>
  <c r="F92" i="96"/>
  <c r="F85" i="96"/>
  <c r="F81" i="96"/>
  <c r="F69" i="96"/>
  <c r="F61" i="96"/>
  <c r="F60" i="96"/>
  <c r="F96" i="96"/>
  <c r="F95" i="96"/>
  <c r="F72" i="96"/>
  <c r="F87" i="96"/>
  <c r="F83" i="96"/>
  <c r="F67" i="96"/>
  <c r="F66" i="96"/>
  <c r="F55" i="96"/>
  <c r="F99" i="96"/>
  <c r="F78" i="96"/>
  <c r="F20" i="96"/>
  <c r="J58" i="96"/>
  <c r="J64" i="96"/>
  <c r="F89" i="96"/>
  <c r="Z90" i="96"/>
  <c r="X90" i="96"/>
  <c r="J23" i="98"/>
  <c r="P23" i="98"/>
  <c r="R53" i="98"/>
  <c r="F56" i="98"/>
  <c r="R61" i="98"/>
  <c r="J28" i="95"/>
  <c r="J32" i="95"/>
  <c r="J64" i="95"/>
  <c r="J92" i="96"/>
  <c r="J74" i="96"/>
  <c r="J60" i="96"/>
  <c r="J93" i="96"/>
  <c r="J85" i="96"/>
  <c r="J81" i="96"/>
  <c r="J69" i="96"/>
  <c r="J61" i="96"/>
  <c r="J53" i="96"/>
  <c r="J70" i="96"/>
  <c r="J62" i="96"/>
  <c r="J75" i="96"/>
  <c r="J71" i="96"/>
  <c r="J87" i="96"/>
  <c r="J83" i="96"/>
  <c r="J67" i="96"/>
  <c r="J55" i="96"/>
  <c r="J99" i="96"/>
  <c r="J98" i="96"/>
  <c r="J88" i="96"/>
  <c r="J78" i="96"/>
  <c r="J56" i="96"/>
  <c r="J89" i="96"/>
  <c r="J79" i="96"/>
  <c r="J73" i="96"/>
  <c r="X13" i="96"/>
  <c r="J20" i="96"/>
  <c r="F29" i="96"/>
  <c r="F33" i="96"/>
  <c r="V36" i="96"/>
  <c r="V40" i="96"/>
  <c r="V44" i="96"/>
  <c r="F48" i="96"/>
  <c r="F49" i="96"/>
  <c r="J50" i="96"/>
  <c r="V55" i="96"/>
  <c r="F57" i="96"/>
  <c r="L58" i="96"/>
  <c r="N58" i="96" s="1"/>
  <c r="L64" i="96"/>
  <c r="N64" i="96" s="1"/>
  <c r="F80" i="96"/>
  <c r="V90" i="96"/>
  <c r="F94" i="96"/>
  <c r="R23" i="98"/>
  <c r="J37" i="95"/>
  <c r="J41" i="95"/>
  <c r="J45" i="95"/>
  <c r="J73" i="95"/>
  <c r="J77" i="95"/>
  <c r="L12" i="96"/>
  <c r="N12" i="96" s="1"/>
  <c r="J29" i="96"/>
  <c r="J33" i="96"/>
  <c r="F38" i="96"/>
  <c r="F42" i="96"/>
  <c r="J49" i="96"/>
  <c r="L50" i="96"/>
  <c r="V51" i="96"/>
  <c r="V52" i="96"/>
  <c r="F54" i="96"/>
  <c r="J57" i="96"/>
  <c r="F63" i="96"/>
  <c r="X76" i="96"/>
  <c r="Z76" i="96" s="1"/>
  <c r="J80" i="96"/>
  <c r="J94" i="96"/>
  <c r="V95" i="96"/>
  <c r="P98" i="96"/>
  <c r="X98" i="96" s="1"/>
  <c r="R31" i="98"/>
  <c r="F48" i="98"/>
  <c r="F70" i="98"/>
  <c r="J36" i="95"/>
  <c r="J54" i="95"/>
  <c r="J88" i="95"/>
  <c r="F19" i="96"/>
  <c r="V26" i="96"/>
  <c r="V30" i="96"/>
  <c r="V34" i="96"/>
  <c r="J38" i="96"/>
  <c r="J42" i="96"/>
  <c r="F46" i="96"/>
  <c r="F47" i="96"/>
  <c r="J48" i="96"/>
  <c r="J54" i="96"/>
  <c r="V61" i="96"/>
  <c r="J63" i="96"/>
  <c r="V67" i="96"/>
  <c r="V76" i="96"/>
  <c r="V78" i="96"/>
  <c r="F82" i="96"/>
  <c r="F84" i="96"/>
  <c r="J91" i="96"/>
  <c r="V92" i="96"/>
  <c r="F73" i="98"/>
  <c r="F84" i="98"/>
  <c r="F80" i="98"/>
  <c r="F86" i="98"/>
  <c r="F85" i="98"/>
  <c r="F62" i="98"/>
  <c r="F90" i="98"/>
  <c r="F89" i="98"/>
  <c r="F82" i="98"/>
  <c r="F78" i="98"/>
  <c r="F77" i="98"/>
  <c r="F92" i="98"/>
  <c r="F83" i="98"/>
  <c r="F79" i="98"/>
  <c r="F67" i="98"/>
  <c r="F66" i="98"/>
  <c r="F74" i="98"/>
  <c r="F58" i="98"/>
  <c r="F57" i="98"/>
  <c r="F50" i="98"/>
  <c r="F49" i="98"/>
  <c r="F34" i="98"/>
  <c r="F30" i="98"/>
  <c r="F88" i="98"/>
  <c r="F71" i="98"/>
  <c r="F68" i="98"/>
  <c r="F21" i="98"/>
  <c r="F75" i="98"/>
  <c r="F65" i="98"/>
  <c r="F60" i="98"/>
  <c r="F59" i="98"/>
  <c r="F52" i="98"/>
  <c r="F51" i="98"/>
  <c r="F44" i="98"/>
  <c r="F40" i="98"/>
  <c r="F35" i="98"/>
  <c r="F31" i="98"/>
  <c r="F27" i="98"/>
  <c r="F26" i="98"/>
  <c r="F61" i="98"/>
  <c r="F54" i="98"/>
  <c r="F53" i="98"/>
  <c r="F25" i="98"/>
  <c r="F72" i="98"/>
  <c r="F45" i="98"/>
  <c r="F41" i="98"/>
  <c r="F37" i="98"/>
  <c r="F36" i="98"/>
  <c r="D23" i="98"/>
  <c r="F69" i="98"/>
  <c r="F32" i="98"/>
  <c r="F28" i="98"/>
  <c r="L12" i="98"/>
  <c r="N12" i="98" s="1"/>
  <c r="F96" i="98"/>
  <c r="F76" i="98"/>
  <c r="F55" i="98"/>
  <c r="F19" i="98"/>
  <c r="F18" i="98"/>
  <c r="F63" i="98"/>
  <c r="F46" i="98"/>
  <c r="F42" i="98"/>
  <c r="F38" i="98"/>
  <c r="F64" i="98"/>
  <c r="F33" i="98"/>
  <c r="F29" i="98"/>
  <c r="N25" i="98"/>
  <c r="R68" i="98"/>
  <c r="J23" i="95"/>
  <c r="J25" i="95"/>
  <c r="J27" i="95"/>
  <c r="J31" i="95"/>
  <c r="J35" i="95"/>
  <c r="J53" i="95"/>
  <c r="J63" i="95"/>
  <c r="F28" i="96"/>
  <c r="F32" i="96"/>
  <c r="V35" i="96"/>
  <c r="V39" i="96"/>
  <c r="V43" i="96"/>
  <c r="J47" i="96"/>
  <c r="V64" i="96"/>
  <c r="J66" i="96"/>
  <c r="F73" i="96"/>
  <c r="F75" i="96"/>
  <c r="J82" i="96"/>
  <c r="J84" i="96"/>
  <c r="F86" i="96"/>
  <c r="J103" i="96"/>
  <c r="R40" i="98"/>
  <c r="R77" i="101"/>
  <c r="R68" i="101"/>
  <c r="R67" i="101"/>
  <c r="R63" i="101"/>
  <c r="R62" i="101"/>
  <c r="R55" i="101"/>
  <c r="R54" i="101"/>
  <c r="R69" i="101"/>
  <c r="R64" i="101"/>
  <c r="R56" i="101"/>
  <c r="R45" i="101"/>
  <c r="R44" i="101"/>
  <c r="R40" i="101"/>
  <c r="R36" i="101"/>
  <c r="R73" i="101"/>
  <c r="R72" i="101"/>
  <c r="R65" i="101"/>
  <c r="R58" i="101"/>
  <c r="R57" i="101"/>
  <c r="R49" i="101"/>
  <c r="R48" i="101"/>
  <c r="R32" i="101"/>
  <c r="R70" i="101"/>
  <c r="R51" i="101"/>
  <c r="R24" i="101"/>
  <c r="R61" i="101"/>
  <c r="R37" i="101"/>
  <c r="R34" i="101"/>
  <c r="R30" i="101"/>
  <c r="R26" i="101"/>
  <c r="P22" i="101"/>
  <c r="R22" i="101" s="1"/>
  <c r="R17" i="101"/>
  <c r="R66" i="101"/>
  <c r="R59" i="101"/>
  <c r="R47" i="101"/>
  <c r="R31" i="101"/>
  <c r="R27" i="101"/>
  <c r="R52" i="101"/>
  <c r="R38" i="101"/>
  <c r="R35" i="101"/>
  <c r="R18" i="101"/>
  <c r="R41" i="101"/>
  <c r="R28" i="101"/>
  <c r="R53" i="101"/>
  <c r="R19" i="101"/>
  <c r="R60" i="101"/>
  <c r="R42" i="101"/>
  <c r="R39" i="101"/>
  <c r="R29" i="101"/>
  <c r="R43" i="101"/>
  <c r="R20" i="101"/>
  <c r="R50" i="101"/>
  <c r="R46" i="101"/>
  <c r="R25" i="101"/>
  <c r="R33" i="101"/>
  <c r="X12" i="101"/>
  <c r="Z12" i="101" s="1"/>
  <c r="J40" i="95"/>
  <c r="J44" i="95"/>
  <c r="X47" i="95"/>
  <c r="Z47" i="95" s="1"/>
  <c r="J52" i="95"/>
  <c r="L53" i="95"/>
  <c r="N53" i="95" s="1"/>
  <c r="J62" i="95"/>
  <c r="J72" i="95"/>
  <c r="J76" i="95"/>
  <c r="J84" i="95"/>
  <c r="V94" i="96"/>
  <c r="V86" i="96"/>
  <c r="V82" i="96"/>
  <c r="V66" i="96"/>
  <c r="V77" i="96"/>
  <c r="V65" i="96"/>
  <c r="V98" i="96"/>
  <c r="V96" i="96"/>
  <c r="V88" i="96"/>
  <c r="V72" i="96"/>
  <c r="V101" i="96"/>
  <c r="V99" i="96"/>
  <c r="V87" i="96"/>
  <c r="V83" i="96"/>
  <c r="V79" i="96"/>
  <c r="V103" i="96"/>
  <c r="V91" i="96"/>
  <c r="V59" i="96"/>
  <c r="V74" i="96"/>
  <c r="V70" i="96"/>
  <c r="V62" i="96"/>
  <c r="V93" i="96"/>
  <c r="V85" i="96"/>
  <c r="V81" i="96"/>
  <c r="V69" i="96"/>
  <c r="V20" i="96"/>
  <c r="V22" i="96"/>
  <c r="V24" i="96"/>
  <c r="J28" i="96"/>
  <c r="J32" i="96"/>
  <c r="F37" i="96"/>
  <c r="F41" i="96"/>
  <c r="F45" i="96"/>
  <c r="J46" i="96"/>
  <c r="F56" i="96"/>
  <c r="V58" i="96"/>
  <c r="V63" i="96"/>
  <c r="X64" i="96"/>
  <c r="Z64" i="96" s="1"/>
  <c r="F71" i="96"/>
  <c r="F77" i="96"/>
  <c r="V80" i="96"/>
  <c r="J86" i="96"/>
  <c r="F88" i="96"/>
  <c r="J96" i="96"/>
  <c r="R27" i="98"/>
  <c r="X36" i="98"/>
  <c r="Z36" i="98" s="1"/>
  <c r="R44" i="98"/>
  <c r="R52" i="98"/>
  <c r="L57" i="98"/>
  <c r="R60" i="98"/>
  <c r="J21" i="95"/>
  <c r="J51" i="95"/>
  <c r="J61" i="95"/>
  <c r="F17" i="96"/>
  <c r="F18" i="96"/>
  <c r="V25" i="96"/>
  <c r="V29" i="96"/>
  <c r="V33" i="96"/>
  <c r="J37" i="96"/>
  <c r="J41" i="96"/>
  <c r="J45" i="96"/>
  <c r="V49" i="96"/>
  <c r="V50" i="96"/>
  <c r="F53" i="96"/>
  <c r="V54" i="96"/>
  <c r="V57" i="96"/>
  <c r="X58" i="96"/>
  <c r="Z58" i="96" s="1"/>
  <c r="L62" i="96"/>
  <c r="N62" i="96" s="1"/>
  <c r="V75" i="96"/>
  <c r="J77" i="96"/>
  <c r="L79" i="96"/>
  <c r="N79" i="96" s="1"/>
  <c r="V84" i="96"/>
  <c r="R25" i="98"/>
  <c r="R36" i="98"/>
  <c r="F39" i="98"/>
  <c r="T23" i="98"/>
  <c r="V36" i="98"/>
  <c r="V40" i="98"/>
  <c r="V44" i="98"/>
  <c r="J48" i="98"/>
  <c r="V52" i="98"/>
  <c r="J56" i="98"/>
  <c r="V60" i="98"/>
  <c r="J67" i="98"/>
  <c r="V71" i="98"/>
  <c r="V81" i="98"/>
  <c r="N87" i="98"/>
  <c r="R41" i="99"/>
  <c r="F39" i="100"/>
  <c r="V44" i="100"/>
  <c r="D50" i="100"/>
  <c r="L50" i="100" s="1"/>
  <c r="N50" i="100" s="1"/>
  <c r="L51" i="100"/>
  <c r="N51" i="100" s="1"/>
  <c r="T22" i="101"/>
  <c r="J44" i="101"/>
  <c r="V21" i="98"/>
  <c r="V23" i="98"/>
  <c r="V25" i="98"/>
  <c r="J29" i="98"/>
  <c r="J33" i="98"/>
  <c r="J47" i="98"/>
  <c r="V53" i="98"/>
  <c r="V61" i="98"/>
  <c r="J64" i="98"/>
  <c r="J70" i="98"/>
  <c r="V79" i="98"/>
  <c r="V83" i="98"/>
  <c r="V90" i="98"/>
  <c r="L30" i="99"/>
  <c r="R38" i="99"/>
  <c r="V28" i="100"/>
  <c r="Z17" i="101"/>
  <c r="X58" i="101"/>
  <c r="Z58" i="101" s="1"/>
  <c r="J84" i="98"/>
  <c r="J80" i="98"/>
  <c r="J74" i="98"/>
  <c r="J68" i="98"/>
  <c r="J85" i="98"/>
  <c r="J75" i="98"/>
  <c r="J87" i="98"/>
  <c r="J81" i="98"/>
  <c r="J69" i="98"/>
  <c r="J63" i="98"/>
  <c r="J90" i="98"/>
  <c r="J82" i="98"/>
  <c r="J78" i="98"/>
  <c r="J65" i="98"/>
  <c r="J94" i="98"/>
  <c r="J92" i="98"/>
  <c r="J96" i="98"/>
  <c r="V26" i="98"/>
  <c r="V30" i="98"/>
  <c r="V34" i="98"/>
  <c r="J38" i="98"/>
  <c r="J42" i="98"/>
  <c r="J46" i="98"/>
  <c r="V50" i="98"/>
  <c r="V58" i="98"/>
  <c r="L66" i="98"/>
  <c r="N66" i="98" s="1"/>
  <c r="V77" i="98"/>
  <c r="N19" i="99"/>
  <c r="H47" i="99"/>
  <c r="X30" i="99"/>
  <c r="D17" i="100"/>
  <c r="F41" i="100"/>
  <c r="F65" i="101"/>
  <c r="F57" i="101"/>
  <c r="F72" i="101"/>
  <c r="F59" i="101"/>
  <c r="F58" i="101"/>
  <c r="F75" i="101"/>
  <c r="F66" i="101"/>
  <c r="F50" i="101"/>
  <c r="F49" i="101"/>
  <c r="F42" i="101"/>
  <c r="F38" i="101"/>
  <c r="F77" i="101"/>
  <c r="F60" i="101"/>
  <c r="F52" i="101"/>
  <c r="F51" i="101"/>
  <c r="F67" i="101"/>
  <c r="F82" i="101"/>
  <c r="F79" i="101"/>
  <c r="F69" i="101"/>
  <c r="F68" i="101"/>
  <c r="F64" i="101"/>
  <c r="F63" i="101"/>
  <c r="F56" i="101"/>
  <c r="F55" i="101"/>
  <c r="F44" i="101"/>
  <c r="F40" i="101"/>
  <c r="F36" i="101"/>
  <c r="F53" i="101"/>
  <c r="F48" i="101"/>
  <c r="F39" i="101"/>
  <c r="F19" i="101"/>
  <c r="F45" i="101"/>
  <c r="L12" i="101"/>
  <c r="F54" i="101"/>
  <c r="F33" i="101"/>
  <c r="F20" i="101"/>
  <c r="F70" i="101"/>
  <c r="F61" i="101"/>
  <c r="F43" i="101"/>
  <c r="F37" i="101"/>
  <c r="F30" i="101"/>
  <c r="F26" i="101"/>
  <c r="F25" i="101"/>
  <c r="F46" i="101"/>
  <c r="F34" i="101"/>
  <c r="F24" i="101"/>
  <c r="F22" i="101"/>
  <c r="D22" i="101"/>
  <c r="F62" i="101"/>
  <c r="F35" i="101"/>
  <c r="F31" i="101"/>
  <c r="F27" i="101"/>
  <c r="F41" i="101"/>
  <c r="V51" i="98"/>
  <c r="J55" i="98"/>
  <c r="V59" i="98"/>
  <c r="V74" i="98"/>
  <c r="J76" i="98"/>
  <c r="Z48" i="103"/>
  <c r="X48" i="103"/>
  <c r="J18" i="98"/>
  <c r="J32" i="98"/>
  <c r="V48" i="98"/>
  <c r="V56" i="98"/>
  <c r="J66" i="98"/>
  <c r="V67" i="98"/>
  <c r="J89" i="98"/>
  <c r="F28" i="101"/>
  <c r="F32" i="101"/>
  <c r="T16" i="103"/>
  <c r="Z14" i="103"/>
  <c r="X14" i="103"/>
  <c r="Z86" i="104"/>
  <c r="L18" i="98"/>
  <c r="J86" i="98"/>
  <c r="F53" i="100"/>
  <c r="F40" i="100"/>
  <c r="F36" i="100"/>
  <c r="F32" i="100"/>
  <c r="L12" i="100"/>
  <c r="F55" i="100"/>
  <c r="F27" i="100"/>
  <c r="F23" i="100"/>
  <c r="F37" i="100"/>
  <c r="F33" i="100"/>
  <c r="F60" i="100"/>
  <c r="F57" i="100"/>
  <c r="F44" i="100"/>
  <c r="F43" i="100"/>
  <c r="F28" i="100"/>
  <c r="F24" i="100"/>
  <c r="F15" i="100"/>
  <c r="F14" i="100"/>
  <c r="F46" i="100"/>
  <c r="F45" i="100"/>
  <c r="F38" i="100"/>
  <c r="F34" i="100"/>
  <c r="F29" i="100"/>
  <c r="F25" i="100"/>
  <c r="F21" i="100"/>
  <c r="F20" i="100"/>
  <c r="F48" i="100"/>
  <c r="F47" i="100"/>
  <c r="F19" i="100"/>
  <c r="F17" i="100"/>
  <c r="F51" i="100"/>
  <c r="F26" i="100"/>
  <c r="F22" i="100"/>
  <c r="Z18" i="102"/>
  <c r="V88" i="98"/>
  <c r="V76" i="98"/>
  <c r="V64" i="98"/>
  <c r="V65" i="98"/>
  <c r="V96" i="98"/>
  <c r="V85" i="98"/>
  <c r="V73" i="98"/>
  <c r="V84" i="98"/>
  <c r="V86" i="98"/>
  <c r="V70" i="98"/>
  <c r="V62" i="98"/>
  <c r="N18" i="98"/>
  <c r="J36" i="98"/>
  <c r="V38" i="98"/>
  <c r="V42" i="98"/>
  <c r="V46" i="98"/>
  <c r="J54" i="98"/>
  <c r="V69" i="98"/>
  <c r="V80" i="98"/>
  <c r="V82" i="98"/>
  <c r="X35" i="99"/>
  <c r="Z24" i="101"/>
  <c r="Z34" i="101"/>
  <c r="V19" i="98"/>
  <c r="J27" i="98"/>
  <c r="J31" i="98"/>
  <c r="J35" i="98"/>
  <c r="V47" i="98"/>
  <c r="J53" i="98"/>
  <c r="V55" i="98"/>
  <c r="J61" i="98"/>
  <c r="V78" i="98"/>
  <c r="F31" i="100"/>
  <c r="N72" i="101"/>
  <c r="L72" i="101"/>
  <c r="Z12" i="98"/>
  <c r="J26" i="98"/>
  <c r="V28" i="98"/>
  <c r="V32" i="98"/>
  <c r="J40" i="98"/>
  <c r="J44" i="98"/>
  <c r="J52" i="98"/>
  <c r="J60" i="98"/>
  <c r="V63" i="98"/>
  <c r="Z66" i="98"/>
  <c r="V89" i="98"/>
  <c r="V92" i="98"/>
  <c r="R27" i="99"/>
  <c r="R23" i="99"/>
  <c r="P19" i="99"/>
  <c r="R28" i="99"/>
  <c r="R24" i="99"/>
  <c r="R43" i="99"/>
  <c r="R45" i="99"/>
  <c r="R35" i="99"/>
  <c r="R34" i="99"/>
  <c r="R30" i="99"/>
  <c r="R29" i="99"/>
  <c r="R25" i="99"/>
  <c r="R37" i="99"/>
  <c r="R36" i="99"/>
  <c r="X12" i="99"/>
  <c r="R49" i="99"/>
  <c r="R31" i="99"/>
  <c r="R16" i="99"/>
  <c r="R22" i="99"/>
  <c r="R17" i="99"/>
  <c r="R42" i="99"/>
  <c r="F42" i="100"/>
  <c r="Z43" i="100"/>
  <c r="F47" i="101"/>
  <c r="Z68" i="101"/>
  <c r="X68" i="101"/>
  <c r="Z72" i="102"/>
  <c r="Z18" i="103"/>
  <c r="J21" i="98"/>
  <c r="V37" i="98"/>
  <c r="V41" i="98"/>
  <c r="V45" i="98"/>
  <c r="J51" i="98"/>
  <c r="J59" i="98"/>
  <c r="V66" i="98"/>
  <c r="J71" i="98"/>
  <c r="V72" i="98"/>
  <c r="N77" i="98"/>
  <c r="L85" i="98"/>
  <c r="N85" i="98" s="1"/>
  <c r="J88" i="98"/>
  <c r="R39" i="99"/>
  <c r="V47" i="100"/>
  <c r="V19" i="100"/>
  <c r="V17" i="100"/>
  <c r="V15" i="100"/>
  <c r="V46" i="100"/>
  <c r="V38" i="100"/>
  <c r="V34" i="100"/>
  <c r="V30" i="100"/>
  <c r="T17" i="100"/>
  <c r="V50" i="100"/>
  <c r="V48" i="100"/>
  <c r="V53" i="100"/>
  <c r="V51" i="100"/>
  <c r="V39" i="100"/>
  <c r="V35" i="100"/>
  <c r="V31" i="100"/>
  <c r="V26" i="100"/>
  <c r="V22" i="100"/>
  <c r="V41" i="100"/>
  <c r="V40" i="100"/>
  <c r="V36" i="100"/>
  <c r="V32" i="100"/>
  <c r="Z12" i="100"/>
  <c r="V60" i="100"/>
  <c r="V57" i="100"/>
  <c r="V55" i="100"/>
  <c r="V43" i="100"/>
  <c r="V27" i="100"/>
  <c r="V23" i="100"/>
  <c r="X12" i="100"/>
  <c r="V45" i="100"/>
  <c r="V37" i="100"/>
  <c r="V33" i="100"/>
  <c r="Z19" i="100"/>
  <c r="Z47" i="100"/>
  <c r="Z50" i="100"/>
  <c r="J73" i="101"/>
  <c r="J72" i="101"/>
  <c r="J58" i="101"/>
  <c r="J48" i="101"/>
  <c r="J66" i="101"/>
  <c r="J50" i="101"/>
  <c r="J77" i="101"/>
  <c r="J51" i="101"/>
  <c r="J60" i="101"/>
  <c r="J82" i="101"/>
  <c r="J79" i="101"/>
  <c r="J67" i="101"/>
  <c r="J61" i="101"/>
  <c r="J53" i="101"/>
  <c r="J43" i="101"/>
  <c r="J39" i="101"/>
  <c r="J35" i="101"/>
  <c r="J68" i="101"/>
  <c r="J62" i="101"/>
  <c r="J54" i="101"/>
  <c r="J64" i="101"/>
  <c r="J56" i="101"/>
  <c r="J45" i="101"/>
  <c r="J36" i="101"/>
  <c r="N12" i="101"/>
  <c r="J65" i="101"/>
  <c r="J63" i="101"/>
  <c r="J42" i="101"/>
  <c r="J29" i="101"/>
  <c r="J70" i="101"/>
  <c r="J25" i="101"/>
  <c r="J37" i="101"/>
  <c r="J34" i="101"/>
  <c r="J30" i="101"/>
  <c r="J26" i="101"/>
  <c r="J24" i="101"/>
  <c r="J22" i="101"/>
  <c r="J49" i="101"/>
  <c r="J46" i="101"/>
  <c r="J40" i="101"/>
  <c r="H22" i="101"/>
  <c r="J59" i="101"/>
  <c r="J55" i="101"/>
  <c r="J47" i="101"/>
  <c r="J31" i="101"/>
  <c r="J27" i="101"/>
  <c r="J17" i="101"/>
  <c r="J75" i="101"/>
  <c r="J57" i="101"/>
  <c r="J52" i="101"/>
  <c r="J38" i="101"/>
  <c r="J18" i="101"/>
  <c r="J69" i="101"/>
  <c r="J32" i="101"/>
  <c r="J28" i="101"/>
  <c r="H98" i="102"/>
  <c r="N12" i="99"/>
  <c r="T19" i="99"/>
  <c r="J30" i="99"/>
  <c r="V32" i="99"/>
  <c r="J36" i="99"/>
  <c r="V40" i="99"/>
  <c r="R42" i="100"/>
  <c r="R43" i="100"/>
  <c r="J53" i="100"/>
  <c r="R57" i="100"/>
  <c r="R60" i="100"/>
  <c r="V68" i="101"/>
  <c r="V60" i="101"/>
  <c r="V52" i="101"/>
  <c r="V62" i="101"/>
  <c r="V54" i="101"/>
  <c r="V69" i="101"/>
  <c r="V45" i="101"/>
  <c r="V64" i="101"/>
  <c r="V56" i="101"/>
  <c r="V47" i="101"/>
  <c r="V72" i="101"/>
  <c r="V70" i="101"/>
  <c r="V58" i="101"/>
  <c r="V46" i="101"/>
  <c r="V73" i="101"/>
  <c r="V48" i="101"/>
  <c r="V59" i="101"/>
  <c r="V51" i="101"/>
  <c r="V20" i="101"/>
  <c r="V22" i="101"/>
  <c r="V24" i="101"/>
  <c r="V33" i="101"/>
  <c r="X45" i="101"/>
  <c r="Z45" i="101" s="1"/>
  <c r="V65" i="101"/>
  <c r="R54" i="102"/>
  <c r="V72" i="102"/>
  <c r="V81" i="102"/>
  <c r="V22" i="99"/>
  <c r="V26" i="99"/>
  <c r="J34" i="99"/>
  <c r="V38" i="99"/>
  <c r="J31" i="100"/>
  <c r="J35" i="100"/>
  <c r="R36" i="100"/>
  <c r="J39" i="100"/>
  <c r="R40" i="100"/>
  <c r="R41" i="100"/>
  <c r="V50" i="101"/>
  <c r="F89" i="102"/>
  <c r="F68" i="102"/>
  <c r="F52" i="102"/>
  <c r="F51" i="102"/>
  <c r="F44" i="102"/>
  <c r="F40" i="102"/>
  <c r="F70" i="102"/>
  <c r="F69" i="102"/>
  <c r="F54" i="102"/>
  <c r="F53" i="102"/>
  <c r="F25" i="102"/>
  <c r="F93" i="102"/>
  <c r="F81" i="102"/>
  <c r="F80" i="102"/>
  <c r="F45" i="102"/>
  <c r="F41" i="102"/>
  <c r="F37" i="102"/>
  <c r="F36" i="102"/>
  <c r="D23" i="102"/>
  <c r="F23" i="102" s="1"/>
  <c r="F76" i="102"/>
  <c r="F64" i="102"/>
  <c r="F32" i="102"/>
  <c r="F28" i="102"/>
  <c r="L12" i="102"/>
  <c r="F71" i="102"/>
  <c r="F55" i="102"/>
  <c r="F19" i="102"/>
  <c r="F18" i="102"/>
  <c r="F82" i="102"/>
  <c r="F46" i="102"/>
  <c r="F42" i="102"/>
  <c r="F38" i="102"/>
  <c r="F77" i="102"/>
  <c r="F73" i="102"/>
  <c r="F72" i="102"/>
  <c r="F65" i="102"/>
  <c r="F57" i="102"/>
  <c r="F56" i="102"/>
  <c r="F33" i="102"/>
  <c r="F29" i="102"/>
  <c r="F84" i="102"/>
  <c r="F83" i="102"/>
  <c r="F48" i="102"/>
  <c r="F47" i="102"/>
  <c r="F20" i="102"/>
  <c r="F67" i="102"/>
  <c r="F66" i="102"/>
  <c r="F59" i="102"/>
  <c r="F58" i="102"/>
  <c r="F43" i="102"/>
  <c r="F39" i="102"/>
  <c r="F21" i="102"/>
  <c r="V38" i="102"/>
  <c r="R56" i="102"/>
  <c r="F60" i="102"/>
  <c r="R71" i="102"/>
  <c r="V31" i="99"/>
  <c r="V39" i="99"/>
  <c r="J43" i="99"/>
  <c r="V49" i="99"/>
  <c r="V51" i="99"/>
  <c r="V54" i="99"/>
  <c r="H17" i="100"/>
  <c r="J30" i="100"/>
  <c r="J48" i="100"/>
  <c r="V32" i="101"/>
  <c r="F27" i="102"/>
  <c r="L51" i="102"/>
  <c r="N51" i="102" s="1"/>
  <c r="F78" i="102"/>
  <c r="Z12" i="99"/>
  <c r="V16" i="99"/>
  <c r="J24" i="99"/>
  <c r="J28" i="99"/>
  <c r="V36" i="99"/>
  <c r="J42" i="99"/>
  <c r="J17" i="100"/>
  <c r="J19" i="100"/>
  <c r="J21" i="100"/>
  <c r="J25" i="100"/>
  <c r="J29" i="100"/>
  <c r="J47" i="100"/>
  <c r="R53" i="100"/>
  <c r="F49" i="102"/>
  <c r="V56" i="102"/>
  <c r="V58" i="102"/>
  <c r="V93" i="102"/>
  <c r="J34" i="100"/>
  <c r="J38" i="100"/>
  <c r="J46" i="100"/>
  <c r="V41" i="101"/>
  <c r="V57" i="101"/>
  <c r="J91" i="102"/>
  <c r="R76" i="102"/>
  <c r="R64" i="102"/>
  <c r="R32" i="102"/>
  <c r="R28" i="102"/>
  <c r="X12" i="102"/>
  <c r="R83" i="102"/>
  <c r="R82" i="102"/>
  <c r="R47" i="102"/>
  <c r="R46" i="102"/>
  <c r="R42" i="102"/>
  <c r="R38" i="102"/>
  <c r="R77" i="102"/>
  <c r="R73" i="102"/>
  <c r="R66" i="102"/>
  <c r="R65" i="102"/>
  <c r="R58" i="102"/>
  <c r="R57" i="102"/>
  <c r="R33" i="102"/>
  <c r="R29" i="102"/>
  <c r="R85" i="102"/>
  <c r="R84" i="102"/>
  <c r="R49" i="102"/>
  <c r="R48" i="102"/>
  <c r="R20" i="102"/>
  <c r="R67" i="102"/>
  <c r="R60" i="102"/>
  <c r="R59" i="102"/>
  <c r="R43" i="102"/>
  <c r="R39" i="102"/>
  <c r="R86" i="102"/>
  <c r="R78" i="102"/>
  <c r="R74" i="102"/>
  <c r="R51" i="102"/>
  <c r="R50" i="102"/>
  <c r="R34" i="102"/>
  <c r="R30" i="102"/>
  <c r="R89" i="102"/>
  <c r="R88" i="102"/>
  <c r="R62" i="102"/>
  <c r="R61" i="102"/>
  <c r="R26" i="102"/>
  <c r="R21" i="102"/>
  <c r="R69" i="102"/>
  <c r="R68" i="102"/>
  <c r="R53" i="102"/>
  <c r="R52" i="102"/>
  <c r="R44" i="102"/>
  <c r="R40" i="102"/>
  <c r="R25" i="102"/>
  <c r="R80" i="102"/>
  <c r="R79" i="102"/>
  <c r="R75" i="102"/>
  <c r="R63" i="102"/>
  <c r="R36" i="102"/>
  <c r="R35" i="102"/>
  <c r="R31" i="102"/>
  <c r="R27" i="102"/>
  <c r="P23" i="102"/>
  <c r="R23" i="102" s="1"/>
  <c r="F30" i="102"/>
  <c r="V32" i="102"/>
  <c r="V45" i="102"/>
  <c r="J51" i="102"/>
  <c r="F62" i="102"/>
  <c r="F86" i="102"/>
  <c r="J45" i="100"/>
  <c r="L68" i="101"/>
  <c r="N68" i="101" s="1"/>
  <c r="V83" i="102"/>
  <c r="V71" i="102"/>
  <c r="V55" i="102"/>
  <c r="V47" i="102"/>
  <c r="V19" i="102"/>
  <c r="V85" i="102"/>
  <c r="V77" i="102"/>
  <c r="V73" i="102"/>
  <c r="V65" i="102"/>
  <c r="V57" i="102"/>
  <c r="V49" i="102"/>
  <c r="V33" i="102"/>
  <c r="V29" i="102"/>
  <c r="V84" i="102"/>
  <c r="V60" i="102"/>
  <c r="V48" i="102"/>
  <c r="V20" i="102"/>
  <c r="V67" i="102"/>
  <c r="V59" i="102"/>
  <c r="V51" i="102"/>
  <c r="V43" i="102"/>
  <c r="V39" i="102"/>
  <c r="V88" i="102"/>
  <c r="V86" i="102"/>
  <c r="V78" i="102"/>
  <c r="V74" i="102"/>
  <c r="V62" i="102"/>
  <c r="V50" i="102"/>
  <c r="V34" i="102"/>
  <c r="V30" i="102"/>
  <c r="V26" i="102"/>
  <c r="V89" i="102"/>
  <c r="V69" i="102"/>
  <c r="V61" i="102"/>
  <c r="V53" i="102"/>
  <c r="V25" i="102"/>
  <c r="V21" i="102"/>
  <c r="V80" i="102"/>
  <c r="V68" i="102"/>
  <c r="V52" i="102"/>
  <c r="V44" i="102"/>
  <c r="V40" i="102"/>
  <c r="V36" i="102"/>
  <c r="T23" i="102"/>
  <c r="V79" i="102"/>
  <c r="V75" i="102"/>
  <c r="V63" i="102"/>
  <c r="V35" i="102"/>
  <c r="V31" i="102"/>
  <c r="V27" i="102"/>
  <c r="V70" i="102"/>
  <c r="V54" i="102"/>
  <c r="V18" i="102"/>
  <c r="N62" i="102"/>
  <c r="R52" i="103"/>
  <c r="R36" i="103"/>
  <c r="R32" i="103"/>
  <c r="R65" i="103"/>
  <c r="R44" i="103"/>
  <c r="R43" i="103"/>
  <c r="R27" i="103"/>
  <c r="R23" i="103"/>
  <c r="R70" i="103"/>
  <c r="R67" i="103"/>
  <c r="R54" i="103"/>
  <c r="R53" i="103"/>
  <c r="R46" i="103"/>
  <c r="R45" i="103"/>
  <c r="R37" i="103"/>
  <c r="R33" i="103"/>
  <c r="R56" i="103"/>
  <c r="R55" i="103"/>
  <c r="R48" i="103"/>
  <c r="R47" i="103"/>
  <c r="R38" i="103"/>
  <c r="R34" i="103"/>
  <c r="R30" i="103"/>
  <c r="R58" i="103"/>
  <c r="R57" i="103"/>
  <c r="R50" i="103"/>
  <c r="R49" i="103"/>
  <c r="R25" i="103"/>
  <c r="R21" i="103"/>
  <c r="R59" i="103"/>
  <c r="R51" i="103"/>
  <c r="R40" i="103"/>
  <c r="R39" i="103"/>
  <c r="R35" i="103"/>
  <c r="R31" i="103"/>
  <c r="R41" i="103"/>
  <c r="R29" i="103"/>
  <c r="R63" i="103"/>
  <c r="R18" i="103"/>
  <c r="R16" i="103"/>
  <c r="R14" i="103"/>
  <c r="P16" i="103"/>
  <c r="R42" i="103"/>
  <c r="R20" i="103"/>
  <c r="R61" i="103"/>
  <c r="R28" i="103"/>
  <c r="R26" i="103"/>
  <c r="J19" i="99"/>
  <c r="J21" i="99"/>
  <c r="J23" i="99"/>
  <c r="J27" i="99"/>
  <c r="V35" i="99"/>
  <c r="V43" i="99"/>
  <c r="V45" i="99"/>
  <c r="V47" i="99"/>
  <c r="J14" i="100"/>
  <c r="P17" i="100"/>
  <c r="R21" i="100"/>
  <c r="J24" i="100"/>
  <c r="R25" i="100"/>
  <c r="J28" i="100"/>
  <c r="R29" i="100"/>
  <c r="R30" i="100"/>
  <c r="J44" i="100"/>
  <c r="V27" i="101"/>
  <c r="V31" i="101"/>
  <c r="Z47" i="101"/>
  <c r="V66" i="101"/>
  <c r="V77" i="101"/>
  <c r="Z12" i="102"/>
  <c r="F26" i="102"/>
  <c r="V41" i="102"/>
  <c r="L89" i="102"/>
  <c r="R19" i="103"/>
  <c r="R24" i="103"/>
  <c r="R46" i="105"/>
  <c r="R45" i="105"/>
  <c r="R41" i="105"/>
  <c r="R37" i="105"/>
  <c r="R56" i="105"/>
  <c r="R32" i="105"/>
  <c r="R28" i="105"/>
  <c r="R48" i="105"/>
  <c r="R47" i="105"/>
  <c r="R42" i="105"/>
  <c r="R38" i="105"/>
  <c r="R58" i="105"/>
  <c r="R57" i="105"/>
  <c r="R50" i="105"/>
  <c r="R49" i="105"/>
  <c r="R33" i="105"/>
  <c r="R29" i="105"/>
  <c r="R59" i="105"/>
  <c r="R52" i="105"/>
  <c r="R51" i="105"/>
  <c r="R43" i="105"/>
  <c r="R39" i="105"/>
  <c r="R61" i="105"/>
  <c r="R54" i="105"/>
  <c r="R53" i="105"/>
  <c r="R26" i="105"/>
  <c r="R21" i="105"/>
  <c r="R65" i="105"/>
  <c r="R40" i="105"/>
  <c r="R31" i="105"/>
  <c r="R36" i="105"/>
  <c r="R27" i="105"/>
  <c r="R55" i="105"/>
  <c r="P23" i="105"/>
  <c r="R18" i="105"/>
  <c r="X12" i="105"/>
  <c r="R34" i="105"/>
  <c r="R25" i="105"/>
  <c r="R19" i="105"/>
  <c r="R30" i="105"/>
  <c r="R35" i="105"/>
  <c r="R20" i="105"/>
  <c r="R44" i="105"/>
  <c r="V33" i="99"/>
  <c r="J39" i="99"/>
  <c r="V41" i="99"/>
  <c r="J51" i="99"/>
  <c r="J54" i="99"/>
  <c r="J42" i="100"/>
  <c r="V43" i="101"/>
  <c r="V49" i="101"/>
  <c r="X51" i="101"/>
  <c r="Z51" i="101" s="1"/>
  <c r="X18" i="102"/>
  <c r="V37" i="102"/>
  <c r="F61" i="102"/>
  <c r="V64" i="102"/>
  <c r="F79" i="102"/>
  <c r="F88" i="102"/>
  <c r="J16" i="99"/>
  <c r="J26" i="99"/>
  <c r="J23" i="100"/>
  <c r="J27" i="100"/>
  <c r="J41" i="100"/>
  <c r="R44" i="100"/>
  <c r="V37" i="101"/>
  <c r="R18" i="102"/>
  <c r="V28" i="102"/>
  <c r="F31" i="102"/>
  <c r="F50" i="102"/>
  <c r="R72" i="102"/>
  <c r="F85" i="102"/>
  <c r="Z29" i="103"/>
  <c r="J30" i="102"/>
  <c r="J34" i="102"/>
  <c r="J50" i="102"/>
  <c r="J60" i="102"/>
  <c r="J74" i="102"/>
  <c r="J78" i="102"/>
  <c r="J86" i="102"/>
  <c r="D16" i="103"/>
  <c r="F23" i="103"/>
  <c r="F49" i="103"/>
  <c r="Z50" i="103"/>
  <c r="J55" i="103"/>
  <c r="X56" i="103"/>
  <c r="Z56" i="103" s="1"/>
  <c r="N37" i="104"/>
  <c r="Z48" i="104"/>
  <c r="J39" i="102"/>
  <c r="J43" i="102"/>
  <c r="J49" i="102"/>
  <c r="J59" i="102"/>
  <c r="J67" i="102"/>
  <c r="J85" i="102"/>
  <c r="F14" i="103"/>
  <c r="F16" i="103"/>
  <c r="F18" i="103"/>
  <c r="V21" i="103"/>
  <c r="J23" i="103"/>
  <c r="F25" i="103"/>
  <c r="F30" i="103"/>
  <c r="F32" i="103"/>
  <c r="F34" i="103"/>
  <c r="F36" i="103"/>
  <c r="F38" i="103"/>
  <c r="V47" i="103"/>
  <c r="J49" i="103"/>
  <c r="J48" i="102"/>
  <c r="J58" i="102"/>
  <c r="J66" i="102"/>
  <c r="J84" i="102"/>
  <c r="H16" i="103"/>
  <c r="F19" i="103"/>
  <c r="F20" i="103"/>
  <c r="J25" i="103"/>
  <c r="F57" i="103"/>
  <c r="Z58" i="103"/>
  <c r="J29" i="102"/>
  <c r="J33" i="102"/>
  <c r="J47" i="102"/>
  <c r="J57" i="102"/>
  <c r="J65" i="102"/>
  <c r="J73" i="102"/>
  <c r="J77" i="102"/>
  <c r="J83" i="102"/>
  <c r="J14" i="103"/>
  <c r="J16" i="103"/>
  <c r="J18" i="103"/>
  <c r="J27" i="103"/>
  <c r="N42" i="103"/>
  <c r="V55" i="103"/>
  <c r="N68" i="104"/>
  <c r="X72" i="101"/>
  <c r="X25" i="102"/>
  <c r="Z25" i="102" s="1"/>
  <c r="J38" i="102"/>
  <c r="J42" i="102"/>
  <c r="J46" i="102"/>
  <c r="L47" i="102"/>
  <c r="N47" i="102" s="1"/>
  <c r="X53" i="102"/>
  <c r="Z53" i="102" s="1"/>
  <c r="J56" i="102"/>
  <c r="X69" i="102"/>
  <c r="Z69" i="102" s="1"/>
  <c r="J72" i="102"/>
  <c r="J82" i="102"/>
  <c r="L83" i="102"/>
  <c r="F59" i="103"/>
  <c r="F58" i="103"/>
  <c r="F51" i="103"/>
  <c r="F50" i="103"/>
  <c r="F39" i="103"/>
  <c r="F35" i="103"/>
  <c r="F31" i="103"/>
  <c r="F41" i="103"/>
  <c r="F40" i="103"/>
  <c r="F65" i="103"/>
  <c r="F43" i="103"/>
  <c r="F42" i="103"/>
  <c r="F27" i="103"/>
  <c r="F53" i="103"/>
  <c r="F45" i="103"/>
  <c r="F44" i="103"/>
  <c r="F37" i="103"/>
  <c r="F33" i="103"/>
  <c r="F55" i="103"/>
  <c r="F54" i="103"/>
  <c r="F47" i="103"/>
  <c r="F46" i="103"/>
  <c r="L14" i="103"/>
  <c r="L18" i="103"/>
  <c r="N18" i="103" s="1"/>
  <c r="V32" i="103"/>
  <c r="V36" i="103"/>
  <c r="X40" i="103"/>
  <c r="Z40" i="103" s="1"/>
  <c r="N44" i="103"/>
  <c r="V61" i="103"/>
  <c r="D12" i="104"/>
  <c r="L13" i="104"/>
  <c r="F53" i="105"/>
  <c r="F52" i="105"/>
  <c r="F61" i="105"/>
  <c r="F44" i="105"/>
  <c r="F40" i="105"/>
  <c r="F36" i="105"/>
  <c r="F35" i="105"/>
  <c r="F65" i="105"/>
  <c r="F55" i="105"/>
  <c r="F54" i="105"/>
  <c r="F31" i="105"/>
  <c r="F27" i="105"/>
  <c r="F26" i="105"/>
  <c r="F45" i="105"/>
  <c r="F41" i="105"/>
  <c r="F37" i="105"/>
  <c r="F56" i="105"/>
  <c r="F47" i="105"/>
  <c r="F46" i="105"/>
  <c r="F57" i="105"/>
  <c r="F49" i="105"/>
  <c r="F48" i="105"/>
  <c r="F33" i="105"/>
  <c r="F29" i="105"/>
  <c r="F58" i="105"/>
  <c r="F50" i="105"/>
  <c r="F20" i="105"/>
  <c r="F42" i="105"/>
  <c r="F21" i="105"/>
  <c r="F38" i="105"/>
  <c r="F59" i="105"/>
  <c r="F51" i="105"/>
  <c r="D23" i="105"/>
  <c r="F43" i="105"/>
  <c r="F34" i="105"/>
  <c r="F32" i="105"/>
  <c r="L12" i="105"/>
  <c r="T70" i="105"/>
  <c r="V67" i="105"/>
  <c r="J55" i="102"/>
  <c r="J71" i="102"/>
  <c r="J95" i="102"/>
  <c r="J98" i="102"/>
  <c r="J59" i="103"/>
  <c r="J51" i="103"/>
  <c r="J39" i="103"/>
  <c r="J35" i="103"/>
  <c r="J31" i="103"/>
  <c r="J40" i="103"/>
  <c r="J26" i="103"/>
  <c r="J22" i="103"/>
  <c r="J63" i="103"/>
  <c r="J61" i="103"/>
  <c r="J41" i="103"/>
  <c r="J52" i="103"/>
  <c r="J42" i="103"/>
  <c r="J36" i="103"/>
  <c r="J32" i="103"/>
  <c r="J44" i="103"/>
  <c r="J70" i="103"/>
  <c r="J67" i="103"/>
  <c r="J53" i="103"/>
  <c r="J45" i="103"/>
  <c r="J37" i="103"/>
  <c r="J33" i="103"/>
  <c r="J54" i="103"/>
  <c r="J46" i="103"/>
  <c r="J28" i="103"/>
  <c r="J24" i="103"/>
  <c r="J20" i="103"/>
  <c r="J56" i="103"/>
  <c r="J48" i="103"/>
  <c r="J38" i="103"/>
  <c r="J34" i="103"/>
  <c r="J30" i="103"/>
  <c r="F22" i="103"/>
  <c r="V25" i="103"/>
  <c r="F29" i="103"/>
  <c r="N46" i="103"/>
  <c r="V51" i="103"/>
  <c r="F63" i="103"/>
  <c r="N60" i="104"/>
  <c r="J61" i="105"/>
  <c r="J53" i="105"/>
  <c r="J54" i="105"/>
  <c r="J44" i="105"/>
  <c r="J40" i="105"/>
  <c r="J36" i="105"/>
  <c r="J26" i="105"/>
  <c r="J65" i="105"/>
  <c r="J55" i="105"/>
  <c r="J31" i="105"/>
  <c r="J27" i="105"/>
  <c r="J25" i="105"/>
  <c r="J45" i="105"/>
  <c r="J41" i="105"/>
  <c r="J37" i="105"/>
  <c r="J56" i="105"/>
  <c r="J46" i="105"/>
  <c r="J32" i="105"/>
  <c r="J28" i="105"/>
  <c r="J47" i="105"/>
  <c r="J48" i="105"/>
  <c r="J42" i="105"/>
  <c r="J38" i="105"/>
  <c r="J57" i="105"/>
  <c r="J49" i="105"/>
  <c r="J58" i="105"/>
  <c r="J50" i="105"/>
  <c r="J20" i="105"/>
  <c r="J35" i="105"/>
  <c r="J33" i="105"/>
  <c r="J21" i="105"/>
  <c r="J29" i="105"/>
  <c r="J59" i="105"/>
  <c r="H23" i="105"/>
  <c r="J51" i="105"/>
  <c r="J43" i="105"/>
  <c r="J34" i="105"/>
  <c r="J18" i="105"/>
  <c r="N12" i="105"/>
  <c r="J30" i="105"/>
  <c r="J19" i="105"/>
  <c r="F18" i="105"/>
  <c r="N12" i="102"/>
  <c r="J18" i="102"/>
  <c r="J28" i="102"/>
  <c r="J32" i="102"/>
  <c r="J64" i="102"/>
  <c r="J76" i="102"/>
  <c r="L12" i="103"/>
  <c r="V20" i="103"/>
  <c r="Z42" i="103"/>
  <c r="F48" i="103"/>
  <c r="L54" i="103"/>
  <c r="F70" i="103"/>
  <c r="P12" i="104"/>
  <c r="N58" i="104"/>
  <c r="J60" i="104"/>
  <c r="F25" i="105"/>
  <c r="J37" i="102"/>
  <c r="J41" i="102"/>
  <c r="J45" i="102"/>
  <c r="J81" i="102"/>
  <c r="J93" i="102"/>
  <c r="F24" i="103"/>
  <c r="J29" i="103"/>
  <c r="Z44" i="103"/>
  <c r="N54" i="103"/>
  <c r="T23" i="104"/>
  <c r="X18" i="104"/>
  <c r="Z18" i="104" s="1"/>
  <c r="N73" i="104"/>
  <c r="L73" i="104"/>
  <c r="N58" i="105"/>
  <c r="L58" i="105"/>
  <c r="J23" i="102"/>
  <c r="J25" i="102"/>
  <c r="J27" i="102"/>
  <c r="J31" i="102"/>
  <c r="J35" i="102"/>
  <c r="J53" i="102"/>
  <c r="J63" i="102"/>
  <c r="J69" i="102"/>
  <c r="J75" i="102"/>
  <c r="J79" i="102"/>
  <c r="V70" i="103"/>
  <c r="V67" i="103"/>
  <c r="V65" i="103"/>
  <c r="V43" i="103"/>
  <c r="V27" i="103"/>
  <c r="V23" i="103"/>
  <c r="V54" i="103"/>
  <c r="V46" i="103"/>
  <c r="V53" i="103"/>
  <c r="V45" i="103"/>
  <c r="V37" i="103"/>
  <c r="V33" i="103"/>
  <c r="V56" i="103"/>
  <c r="V48" i="103"/>
  <c r="V28" i="103"/>
  <c r="V24" i="103"/>
  <c r="V58" i="103"/>
  <c r="V50" i="103"/>
  <c r="V38" i="103"/>
  <c r="V34" i="103"/>
  <c r="V30" i="103"/>
  <c r="V57" i="103"/>
  <c r="V49" i="103"/>
  <c r="V40" i="103"/>
  <c r="V42" i="103"/>
  <c r="V26" i="103"/>
  <c r="V14" i="103"/>
  <c r="V16" i="103"/>
  <c r="V18" i="103"/>
  <c r="V22" i="103"/>
  <c r="V31" i="103"/>
  <c r="V35" i="103"/>
  <c r="V39" i="103"/>
  <c r="J50" i="103"/>
  <c r="F52" i="103"/>
  <c r="N56" i="103"/>
  <c r="J65" i="103"/>
  <c r="Z25" i="104"/>
  <c r="N48" i="104"/>
  <c r="Z54" i="104"/>
  <c r="F87" i="106"/>
  <c r="F86" i="106"/>
  <c r="F71" i="106"/>
  <c r="F70" i="106"/>
  <c r="F63" i="106"/>
  <c r="F62" i="106"/>
  <c r="F51" i="106"/>
  <c r="F50" i="106"/>
  <c r="F35" i="106"/>
  <c r="F31" i="106"/>
  <c r="F27" i="106"/>
  <c r="F26" i="106"/>
  <c r="F25" i="106"/>
  <c r="F89" i="106"/>
  <c r="F88" i="106"/>
  <c r="F81" i="106"/>
  <c r="F77" i="106"/>
  <c r="F65" i="106"/>
  <c r="F64" i="106"/>
  <c r="F53" i="106"/>
  <c r="F52" i="106"/>
  <c r="F45" i="106"/>
  <c r="F41" i="106"/>
  <c r="D23" i="106"/>
  <c r="F23" i="106" s="1"/>
  <c r="F72" i="106"/>
  <c r="F36" i="106"/>
  <c r="F32" i="106"/>
  <c r="F28" i="106"/>
  <c r="L12" i="106"/>
  <c r="N12" i="106" s="1"/>
  <c r="F67" i="106"/>
  <c r="F66" i="106"/>
  <c r="F55" i="106"/>
  <c r="F54" i="106"/>
  <c r="F19" i="106"/>
  <c r="F18" i="106"/>
  <c r="F91" i="106"/>
  <c r="F82" i="106"/>
  <c r="F78" i="106"/>
  <c r="F46" i="106"/>
  <c r="F42" i="106"/>
  <c r="F38" i="106"/>
  <c r="F37" i="106"/>
  <c r="F95" i="106"/>
  <c r="F73" i="106"/>
  <c r="F57" i="106"/>
  <c r="F56" i="106"/>
  <c r="F33" i="106"/>
  <c r="F29" i="106"/>
  <c r="F68" i="106"/>
  <c r="F20" i="106"/>
  <c r="F83" i="106"/>
  <c r="F79" i="106"/>
  <c r="F59" i="106"/>
  <c r="F58" i="106"/>
  <c r="F47" i="106"/>
  <c r="F43" i="106"/>
  <c r="F39" i="106"/>
  <c r="F74" i="106"/>
  <c r="F34" i="106"/>
  <c r="F30" i="106"/>
  <c r="F61" i="106"/>
  <c r="F49" i="106"/>
  <c r="F40" i="106"/>
  <c r="F85" i="106"/>
  <c r="F76" i="106"/>
  <c r="F44" i="106"/>
  <c r="F69" i="106"/>
  <c r="F21" i="106"/>
  <c r="F80" i="106"/>
  <c r="F60" i="106"/>
  <c r="F48" i="106"/>
  <c r="V27" i="104"/>
  <c r="V31" i="104"/>
  <c r="V35" i="104"/>
  <c r="J39" i="104"/>
  <c r="J43" i="104"/>
  <c r="J47" i="104"/>
  <c r="V51" i="104"/>
  <c r="J59" i="104"/>
  <c r="V63" i="104"/>
  <c r="J67" i="104"/>
  <c r="J73" i="104"/>
  <c r="V75" i="104"/>
  <c r="V79" i="104"/>
  <c r="J83" i="104"/>
  <c r="V87" i="104"/>
  <c r="L50" i="106"/>
  <c r="L62" i="106"/>
  <c r="N75" i="106"/>
  <c r="N84" i="106"/>
  <c r="Z25" i="108"/>
  <c r="V40" i="104"/>
  <c r="V44" i="104"/>
  <c r="V52" i="104"/>
  <c r="J58" i="104"/>
  <c r="V64" i="104"/>
  <c r="J72" i="104"/>
  <c r="J82" i="104"/>
  <c r="J94" i="104"/>
  <c r="Z35" i="105"/>
  <c r="P12" i="106"/>
  <c r="N50" i="106"/>
  <c r="N62" i="106"/>
  <c r="V21" i="104"/>
  <c r="V23" i="104"/>
  <c r="V25" i="104"/>
  <c r="J29" i="104"/>
  <c r="J33" i="104"/>
  <c r="V49" i="104"/>
  <c r="J57" i="104"/>
  <c r="V61" i="104"/>
  <c r="V69" i="104"/>
  <c r="J77" i="104"/>
  <c r="J81" i="104"/>
  <c r="V85" i="104"/>
  <c r="X26" i="105"/>
  <c r="Z26" i="105" s="1"/>
  <c r="Z91" i="106"/>
  <c r="X91" i="106"/>
  <c r="V26" i="104"/>
  <c r="V30" i="104"/>
  <c r="V34" i="104"/>
  <c r="J38" i="104"/>
  <c r="J42" i="104"/>
  <c r="J46" i="104"/>
  <c r="V50" i="104"/>
  <c r="J56" i="104"/>
  <c r="V62" i="104"/>
  <c r="J66" i="104"/>
  <c r="V74" i="104"/>
  <c r="V78" i="104"/>
  <c r="V86" i="104"/>
  <c r="J90" i="104"/>
  <c r="V45" i="105"/>
  <c r="V56" i="105"/>
  <c r="V48" i="105"/>
  <c r="V32" i="105"/>
  <c r="V28" i="105"/>
  <c r="V47" i="105"/>
  <c r="V58" i="105"/>
  <c r="V50" i="105"/>
  <c r="V42" i="105"/>
  <c r="V38" i="105"/>
  <c r="V57" i="105"/>
  <c r="V49" i="105"/>
  <c r="V33" i="105"/>
  <c r="V29" i="105"/>
  <c r="V52" i="105"/>
  <c r="V63" i="105"/>
  <c r="V61" i="105"/>
  <c r="V59" i="105"/>
  <c r="V51" i="105"/>
  <c r="V54" i="105"/>
  <c r="V34" i="105"/>
  <c r="V30" i="105"/>
  <c r="V26" i="105"/>
  <c r="V53" i="105"/>
  <c r="V44" i="105"/>
  <c r="V40" i="105"/>
  <c r="V36" i="105"/>
  <c r="V70" i="105"/>
  <c r="Z25" i="106"/>
  <c r="N37" i="106"/>
  <c r="X56" i="106"/>
  <c r="Z56" i="106" s="1"/>
  <c r="H46" i="109"/>
  <c r="N16" i="109"/>
  <c r="J19" i="104"/>
  <c r="J37" i="104"/>
  <c r="V39" i="104"/>
  <c r="V43" i="104"/>
  <c r="V47" i="104"/>
  <c r="X50" i="104"/>
  <c r="Z50" i="104" s="1"/>
  <c r="J55" i="104"/>
  <c r="L56" i="104"/>
  <c r="N56" i="104" s="1"/>
  <c r="V59" i="104"/>
  <c r="X62" i="104"/>
  <c r="Z62" i="104" s="1"/>
  <c r="V67" i="104"/>
  <c r="J71" i="104"/>
  <c r="V83" i="104"/>
  <c r="X86" i="104"/>
  <c r="L90" i="104"/>
  <c r="V43" i="105"/>
  <c r="Z66" i="106"/>
  <c r="J28" i="104"/>
  <c r="J32" i="104"/>
  <c r="J36" i="104"/>
  <c r="V48" i="104"/>
  <c r="J54" i="104"/>
  <c r="V60" i="104"/>
  <c r="V68" i="104"/>
  <c r="V72" i="104"/>
  <c r="J76" i="104"/>
  <c r="J80" i="104"/>
  <c r="V84" i="104"/>
  <c r="J88" i="104"/>
  <c r="V94" i="104"/>
  <c r="Z12" i="105"/>
  <c r="V25" i="105"/>
  <c r="V29" i="104"/>
  <c r="V33" i="104"/>
  <c r="J41" i="104"/>
  <c r="J45" i="104"/>
  <c r="J53" i="104"/>
  <c r="V57" i="104"/>
  <c r="J65" i="104"/>
  <c r="V73" i="104"/>
  <c r="V77" i="104"/>
  <c r="V81" i="104"/>
  <c r="V55" i="105"/>
  <c r="N26" i="106"/>
  <c r="Z37" i="106"/>
  <c r="R90" i="108"/>
  <c r="R71" i="108"/>
  <c r="R70" i="108"/>
  <c r="R63" i="108"/>
  <c r="R62" i="108"/>
  <c r="R82" i="108"/>
  <c r="R81" i="108"/>
  <c r="R77" i="108"/>
  <c r="R45" i="108"/>
  <c r="R41" i="108"/>
  <c r="R94" i="108"/>
  <c r="R72" i="108"/>
  <c r="R65" i="108"/>
  <c r="R64" i="108"/>
  <c r="R53" i="108"/>
  <c r="R52" i="108"/>
  <c r="R37" i="108"/>
  <c r="R36" i="108"/>
  <c r="R32" i="108"/>
  <c r="R28" i="108"/>
  <c r="R84" i="108"/>
  <c r="R83" i="108"/>
  <c r="R78" i="108"/>
  <c r="R67" i="108"/>
  <c r="R66" i="108"/>
  <c r="R55" i="108"/>
  <c r="R54" i="108"/>
  <c r="R46" i="108"/>
  <c r="R42" i="108"/>
  <c r="R38" i="108"/>
  <c r="R86" i="108"/>
  <c r="R85" i="108"/>
  <c r="R73" i="108"/>
  <c r="R33" i="108"/>
  <c r="R29" i="108"/>
  <c r="R68" i="108"/>
  <c r="R57" i="108"/>
  <c r="R56" i="108"/>
  <c r="R87" i="108"/>
  <c r="R79" i="108"/>
  <c r="R48" i="108"/>
  <c r="R47" i="108"/>
  <c r="R43" i="108"/>
  <c r="R39" i="108"/>
  <c r="R75" i="108"/>
  <c r="R74" i="108"/>
  <c r="R59" i="108"/>
  <c r="R58" i="108"/>
  <c r="R34" i="108"/>
  <c r="R30" i="108"/>
  <c r="R69" i="108"/>
  <c r="R76" i="108"/>
  <c r="R20" i="108"/>
  <c r="R35" i="108"/>
  <c r="R50" i="108"/>
  <c r="R31" i="108"/>
  <c r="R26" i="108"/>
  <c r="R21" i="108"/>
  <c r="R60" i="108"/>
  <c r="R40" i="108"/>
  <c r="R25" i="108"/>
  <c r="R23" i="108"/>
  <c r="R44" i="108"/>
  <c r="P23" i="108"/>
  <c r="R27" i="108"/>
  <c r="R80" i="108"/>
  <c r="R18" i="108"/>
  <c r="R61" i="108"/>
  <c r="X12" i="108"/>
  <c r="R19" i="108"/>
  <c r="H23" i="104"/>
  <c r="V38" i="104"/>
  <c r="V42" i="104"/>
  <c r="V46" i="104"/>
  <c r="J52" i="104"/>
  <c r="V58" i="104"/>
  <c r="J64" i="104"/>
  <c r="V66" i="104"/>
  <c r="J70" i="104"/>
  <c r="V82" i="104"/>
  <c r="H97" i="106"/>
  <c r="V19" i="104"/>
  <c r="J23" i="104"/>
  <c r="J25" i="104"/>
  <c r="J27" i="104"/>
  <c r="J31" i="104"/>
  <c r="J35" i="104"/>
  <c r="J51" i="104"/>
  <c r="V55" i="104"/>
  <c r="J63" i="104"/>
  <c r="V71" i="104"/>
  <c r="J75" i="104"/>
  <c r="J79" i="104"/>
  <c r="J87" i="104"/>
  <c r="V23" i="105"/>
  <c r="V31" i="105"/>
  <c r="N46" i="105"/>
  <c r="N48" i="105"/>
  <c r="N70" i="106"/>
  <c r="N61" i="108"/>
  <c r="J26" i="104"/>
  <c r="V28" i="104"/>
  <c r="V32" i="104"/>
  <c r="V36" i="104"/>
  <c r="J40" i="104"/>
  <c r="J44" i="104"/>
  <c r="J50" i="104"/>
  <c r="V56" i="104"/>
  <c r="J62" i="104"/>
  <c r="V76" i="104"/>
  <c r="V80" i="104"/>
  <c r="V88" i="104"/>
  <c r="V90" i="104"/>
  <c r="N50" i="105"/>
  <c r="N52" i="105"/>
  <c r="V65" i="105"/>
  <c r="N86" i="106"/>
  <c r="L86" i="106"/>
  <c r="D12" i="108"/>
  <c r="N25" i="108"/>
  <c r="J21" i="106"/>
  <c r="V37" i="106"/>
  <c r="V41" i="106"/>
  <c r="V45" i="106"/>
  <c r="J49" i="106"/>
  <c r="V53" i="106"/>
  <c r="J61" i="106"/>
  <c r="V65" i="106"/>
  <c r="J69" i="106"/>
  <c r="J75" i="106"/>
  <c r="V77" i="106"/>
  <c r="V81" i="106"/>
  <c r="J85" i="106"/>
  <c r="V89" i="106"/>
  <c r="V91" i="106"/>
  <c r="V82" i="108"/>
  <c r="V70" i="108"/>
  <c r="V62" i="108"/>
  <c r="V81" i="108"/>
  <c r="V77" i="108"/>
  <c r="V65" i="108"/>
  <c r="V53" i="108"/>
  <c r="V45" i="108"/>
  <c r="V41" i="108"/>
  <c r="V37" i="108"/>
  <c r="V94" i="108"/>
  <c r="V84" i="108"/>
  <c r="V72" i="108"/>
  <c r="V64" i="108"/>
  <c r="V52" i="108"/>
  <c r="V36" i="108"/>
  <c r="V83" i="108"/>
  <c r="V67" i="108"/>
  <c r="V55" i="108"/>
  <c r="V86" i="108"/>
  <c r="V78" i="108"/>
  <c r="V66" i="108"/>
  <c r="V54" i="108"/>
  <c r="V46" i="108"/>
  <c r="V85" i="108"/>
  <c r="V73" i="108"/>
  <c r="V57" i="108"/>
  <c r="V68" i="108"/>
  <c r="V56" i="108"/>
  <c r="V48" i="108"/>
  <c r="V87" i="108"/>
  <c r="V79" i="108"/>
  <c r="V75" i="108"/>
  <c r="V59" i="108"/>
  <c r="V47" i="108"/>
  <c r="V74" i="108"/>
  <c r="V58" i="108"/>
  <c r="V50" i="108"/>
  <c r="V34" i="108"/>
  <c r="V69" i="108"/>
  <c r="V61" i="108"/>
  <c r="V49" i="108"/>
  <c r="V90" i="108"/>
  <c r="V88" i="108"/>
  <c r="V80" i="108"/>
  <c r="V76" i="108"/>
  <c r="H96" i="108"/>
  <c r="J96" i="108" s="1"/>
  <c r="V30" i="108"/>
  <c r="J34" i="108"/>
  <c r="V51" i="108"/>
  <c r="X61" i="108"/>
  <c r="N82" i="108"/>
  <c r="Z86" i="108"/>
  <c r="J30" i="106"/>
  <c r="J34" i="106"/>
  <c r="J48" i="106"/>
  <c r="V54" i="106"/>
  <c r="J60" i="106"/>
  <c r="V66" i="106"/>
  <c r="J74" i="106"/>
  <c r="J84" i="106"/>
  <c r="V32" i="108"/>
  <c r="V63" i="108"/>
  <c r="N57" i="110"/>
  <c r="L13" i="106"/>
  <c r="V27" i="106"/>
  <c r="V31" i="106"/>
  <c r="V35" i="106"/>
  <c r="J39" i="106"/>
  <c r="J43" i="106"/>
  <c r="J47" i="106"/>
  <c r="V51" i="106"/>
  <c r="J59" i="106"/>
  <c r="V63" i="106"/>
  <c r="V71" i="106"/>
  <c r="J79" i="106"/>
  <c r="J83" i="106"/>
  <c r="V87" i="106"/>
  <c r="J97" i="106"/>
  <c r="Z12" i="108"/>
  <c r="J26" i="108"/>
  <c r="J56" i="108"/>
  <c r="Z61" i="108"/>
  <c r="J87" i="108"/>
  <c r="T23" i="106"/>
  <c r="V40" i="106"/>
  <c r="V44" i="106"/>
  <c r="V52" i="106"/>
  <c r="J58" i="106"/>
  <c r="V64" i="106"/>
  <c r="J68" i="106"/>
  <c r="V76" i="106"/>
  <c r="V80" i="106"/>
  <c r="V88" i="106"/>
  <c r="J21" i="108"/>
  <c r="V42" i="108"/>
  <c r="J48" i="108"/>
  <c r="Z90" i="108"/>
  <c r="X90" i="108"/>
  <c r="V21" i="106"/>
  <c r="V23" i="106"/>
  <c r="V25" i="106"/>
  <c r="J29" i="106"/>
  <c r="J33" i="106"/>
  <c r="V49" i="106"/>
  <c r="J57" i="106"/>
  <c r="V61" i="106"/>
  <c r="V69" i="106"/>
  <c r="J73" i="106"/>
  <c r="V85" i="106"/>
  <c r="J95" i="106"/>
  <c r="V38" i="108"/>
  <c r="L18" i="109"/>
  <c r="N18" i="109" s="1"/>
  <c r="X13" i="106"/>
  <c r="V26" i="106"/>
  <c r="V30" i="106"/>
  <c r="V34" i="106"/>
  <c r="J38" i="106"/>
  <c r="J42" i="106"/>
  <c r="J46" i="106"/>
  <c r="V50" i="106"/>
  <c r="J56" i="106"/>
  <c r="V62" i="106"/>
  <c r="V70" i="106"/>
  <c r="V74" i="106"/>
  <c r="J78" i="106"/>
  <c r="J82" i="106"/>
  <c r="V86" i="106"/>
  <c r="L13" i="108"/>
  <c r="V29" i="108"/>
  <c r="V44" i="108"/>
  <c r="Z19" i="110"/>
  <c r="J19" i="106"/>
  <c r="X26" i="106"/>
  <c r="Z26" i="106" s="1"/>
  <c r="J37" i="106"/>
  <c r="V39" i="106"/>
  <c r="V43" i="106"/>
  <c r="V47" i="106"/>
  <c r="X50" i="106"/>
  <c r="Z50" i="106" s="1"/>
  <c r="J55" i="106"/>
  <c r="V59" i="106"/>
  <c r="X62" i="106"/>
  <c r="Z62" i="106" s="1"/>
  <c r="J67" i="106"/>
  <c r="V75" i="106"/>
  <c r="V79" i="106"/>
  <c r="V83" i="106"/>
  <c r="X86" i="106"/>
  <c r="Z86" i="106" s="1"/>
  <c r="J91" i="106"/>
  <c r="J93" i="106"/>
  <c r="J20" i="108"/>
  <c r="T23" i="108"/>
  <c r="V40" i="108"/>
  <c r="V60" i="108"/>
  <c r="P40" i="109"/>
  <c r="X40" i="109" s="1"/>
  <c r="X13" i="110"/>
  <c r="Z13" i="110" s="1"/>
  <c r="P12" i="110"/>
  <c r="V20" i="106"/>
  <c r="J28" i="106"/>
  <c r="J32" i="106"/>
  <c r="J36" i="106"/>
  <c r="V48" i="106"/>
  <c r="J54" i="106"/>
  <c r="V60" i="106"/>
  <c r="J66" i="106"/>
  <c r="V68" i="106"/>
  <c r="J72" i="106"/>
  <c r="V84" i="106"/>
  <c r="V21" i="108"/>
  <c r="V23" i="108"/>
  <c r="V25" i="108"/>
  <c r="V31" i="108"/>
  <c r="N14" i="109"/>
  <c r="L14" i="109"/>
  <c r="V29" i="106"/>
  <c r="V33" i="106"/>
  <c r="J41" i="106"/>
  <c r="J45" i="106"/>
  <c r="J53" i="106"/>
  <c r="V57" i="106"/>
  <c r="J65" i="106"/>
  <c r="V73" i="106"/>
  <c r="J77" i="106"/>
  <c r="J81" i="106"/>
  <c r="J89" i="106"/>
  <c r="V95" i="106"/>
  <c r="J74" i="108"/>
  <c r="J58" i="108"/>
  <c r="J75" i="108"/>
  <c r="J69" i="108"/>
  <c r="J59" i="108"/>
  <c r="J49" i="108"/>
  <c r="J88" i="108"/>
  <c r="J80" i="108"/>
  <c r="J76" i="108"/>
  <c r="J60" i="108"/>
  <c r="J50" i="108"/>
  <c r="J44" i="108"/>
  <c r="J40" i="108"/>
  <c r="J61" i="108"/>
  <c r="J51" i="108"/>
  <c r="J35" i="108"/>
  <c r="J31" i="108"/>
  <c r="J27" i="108"/>
  <c r="J92" i="108"/>
  <c r="J90" i="108"/>
  <c r="J70" i="108"/>
  <c r="J62" i="108"/>
  <c r="J81" i="108"/>
  <c r="J77" i="108"/>
  <c r="J71" i="108"/>
  <c r="J63" i="108"/>
  <c r="J45" i="108"/>
  <c r="J41" i="108"/>
  <c r="J94" i="108"/>
  <c r="J82" i="108"/>
  <c r="J72" i="108"/>
  <c r="J64" i="108"/>
  <c r="J52" i="108"/>
  <c r="J36" i="108"/>
  <c r="J32" i="108"/>
  <c r="J28" i="108"/>
  <c r="J83" i="108"/>
  <c r="J65" i="108"/>
  <c r="J53" i="108"/>
  <c r="J84" i="108"/>
  <c r="J78" i="108"/>
  <c r="J66" i="108"/>
  <c r="J54" i="108"/>
  <c r="J46" i="108"/>
  <c r="J42" i="108"/>
  <c r="J38" i="108"/>
  <c r="J85" i="108"/>
  <c r="J73" i="108"/>
  <c r="J67" i="108"/>
  <c r="J55" i="108"/>
  <c r="J33" i="108"/>
  <c r="J29" i="108"/>
  <c r="J86" i="108"/>
  <c r="J68" i="108"/>
  <c r="V26" i="108"/>
  <c r="V33" i="108"/>
  <c r="J37" i="108"/>
  <c r="Z40" i="109"/>
  <c r="V38" i="106"/>
  <c r="V42" i="106"/>
  <c r="V46" i="106"/>
  <c r="J52" i="106"/>
  <c r="V58" i="106"/>
  <c r="J64" i="106"/>
  <c r="V78" i="106"/>
  <c r="J19" i="108"/>
  <c r="J30" i="108"/>
  <c r="V35" i="108"/>
  <c r="J39" i="108"/>
  <c r="N53" i="108"/>
  <c r="N57" i="108"/>
  <c r="N67" i="108"/>
  <c r="V71" i="108"/>
  <c r="L86" i="108"/>
  <c r="N86" i="108" s="1"/>
  <c r="F56" i="110"/>
  <c r="F55" i="110"/>
  <c r="F44" i="110"/>
  <c r="F43" i="110"/>
  <c r="F28" i="110"/>
  <c r="F24" i="110"/>
  <c r="F58" i="110"/>
  <c r="F57" i="110"/>
  <c r="F46" i="110"/>
  <c r="F45" i="110"/>
  <c r="F38" i="110"/>
  <c r="F34" i="110"/>
  <c r="F64" i="110"/>
  <c r="F59" i="110"/>
  <c r="F39" i="110"/>
  <c r="F35" i="110"/>
  <c r="F31" i="110"/>
  <c r="F30" i="110"/>
  <c r="F66" i="110"/>
  <c r="F65" i="110"/>
  <c r="F50" i="110"/>
  <c r="F49" i="110"/>
  <c r="F47" i="110"/>
  <c r="F52" i="110"/>
  <c r="V65" i="110"/>
  <c r="R30" i="109"/>
  <c r="R34" i="109"/>
  <c r="R38" i="109"/>
  <c r="F46" i="109"/>
  <c r="X20" i="110"/>
  <c r="Z20" i="110" s="1"/>
  <c r="V22" i="110"/>
  <c r="F26" i="110"/>
  <c r="N47" i="110"/>
  <c r="F54" i="110"/>
  <c r="F60" i="110"/>
  <c r="X67" i="110"/>
  <c r="Z67" i="110" s="1"/>
  <c r="J44" i="109"/>
  <c r="J53" i="109"/>
  <c r="J50" i="109"/>
  <c r="F23" i="109"/>
  <c r="F27" i="109"/>
  <c r="J28" i="109"/>
  <c r="V30" i="109"/>
  <c r="V34" i="109"/>
  <c r="V38" i="109"/>
  <c r="V40" i="109"/>
  <c r="F53" i="109"/>
  <c r="L12" i="110"/>
  <c r="N12" i="110" s="1"/>
  <c r="F15" i="110"/>
  <c r="V19" i="110"/>
  <c r="F36" i="110"/>
  <c r="F41" i="110"/>
  <c r="V75" i="110"/>
  <c r="L12" i="109"/>
  <c r="P16" i="109"/>
  <c r="R20" i="109"/>
  <c r="J23" i="109"/>
  <c r="R24" i="109"/>
  <c r="J27" i="109"/>
  <c r="F32" i="109"/>
  <c r="F36" i="109"/>
  <c r="J46" i="109"/>
  <c r="F21" i="110"/>
  <c r="N41" i="110"/>
  <c r="F62" i="110"/>
  <c r="N12" i="109"/>
  <c r="R14" i="109"/>
  <c r="R16" i="109"/>
  <c r="R18" i="109"/>
  <c r="V20" i="109"/>
  <c r="V24" i="109"/>
  <c r="R29" i="109"/>
  <c r="J32" i="109"/>
  <c r="R33" i="109"/>
  <c r="J36" i="109"/>
  <c r="R37" i="109"/>
  <c r="F44" i="109"/>
  <c r="T17" i="110"/>
  <c r="V26" i="110"/>
  <c r="L30" i="110"/>
  <c r="N30" i="110" s="1"/>
  <c r="F33" i="110"/>
  <c r="V34" i="110"/>
  <c r="J41" i="110"/>
  <c r="V64" i="110"/>
  <c r="F68" i="110"/>
  <c r="F71" i="110"/>
  <c r="T16" i="109"/>
  <c r="R19" i="109"/>
  <c r="F22" i="109"/>
  <c r="F26" i="109"/>
  <c r="V29" i="109"/>
  <c r="V33" i="109"/>
  <c r="V37" i="109"/>
  <c r="F43" i="109"/>
  <c r="R46" i="109"/>
  <c r="F50" i="109"/>
  <c r="V67" i="110"/>
  <c r="V59" i="110"/>
  <c r="V51" i="110"/>
  <c r="V39" i="110"/>
  <c r="V35" i="110"/>
  <c r="V31" i="110"/>
  <c r="V61" i="110"/>
  <c r="V53" i="110"/>
  <c r="V41" i="110"/>
  <c r="V70" i="110"/>
  <c r="V68" i="110"/>
  <c r="V60" i="110"/>
  <c r="V52" i="110"/>
  <c r="V40" i="110"/>
  <c r="V36" i="110"/>
  <c r="V71" i="110"/>
  <c r="V55" i="110"/>
  <c r="V62" i="110"/>
  <c r="V54" i="110"/>
  <c r="V42" i="110"/>
  <c r="V57" i="110"/>
  <c r="V45" i="110"/>
  <c r="V37" i="110"/>
  <c r="V56" i="110"/>
  <c r="V44" i="110"/>
  <c r="V28" i="110"/>
  <c r="V24" i="110"/>
  <c r="V20" i="110"/>
  <c r="V58" i="110"/>
  <c r="V17" i="110"/>
  <c r="F23" i="110"/>
  <c r="Z47" i="110"/>
  <c r="F51" i="110"/>
  <c r="L71" i="110"/>
  <c r="N71" i="110" s="1"/>
  <c r="V14" i="109"/>
  <c r="V16" i="109"/>
  <c r="V18" i="109"/>
  <c r="J22" i="109"/>
  <c r="R23" i="109"/>
  <c r="J26" i="109"/>
  <c r="R27" i="109"/>
  <c r="R28" i="109"/>
  <c r="F31" i="109"/>
  <c r="F35" i="109"/>
  <c r="F40" i="109"/>
  <c r="F42" i="109"/>
  <c r="J43" i="109"/>
  <c r="F20" i="110"/>
  <c r="V21" i="110"/>
  <c r="F25" i="110"/>
  <c r="J30" i="110"/>
  <c r="F40" i="110"/>
  <c r="V47" i="110"/>
  <c r="X49" i="110"/>
  <c r="Z49" i="110" s="1"/>
  <c r="F53" i="110"/>
  <c r="X12" i="109"/>
  <c r="V23" i="109"/>
  <c r="V27" i="109"/>
  <c r="J31" i="109"/>
  <c r="R32" i="109"/>
  <c r="J35" i="109"/>
  <c r="R36" i="109"/>
  <c r="F41" i="109"/>
  <c r="J42" i="109"/>
  <c r="V46" i="109"/>
  <c r="R53" i="109"/>
  <c r="F63" i="110"/>
  <c r="X55" i="108"/>
  <c r="Z55" i="108" s="1"/>
  <c r="F21" i="109"/>
  <c r="F25" i="109"/>
  <c r="V28" i="109"/>
  <c r="V32" i="109"/>
  <c r="V36" i="109"/>
  <c r="J40" i="109"/>
  <c r="J41" i="109"/>
  <c r="R44" i="109"/>
  <c r="V15" i="110"/>
  <c r="F19" i="110"/>
  <c r="F27" i="110"/>
  <c r="V33" i="110"/>
  <c r="V38" i="110"/>
  <c r="V46" i="110"/>
  <c r="F48" i="110"/>
  <c r="V49" i="110"/>
  <c r="L57" i="110"/>
  <c r="F61" i="110"/>
  <c r="F70" i="110"/>
  <c r="H73" i="110"/>
  <c r="D16" i="109"/>
  <c r="R22" i="109"/>
  <c r="R26" i="109"/>
  <c r="F30" i="109"/>
  <c r="F34" i="109"/>
  <c r="F38" i="109"/>
  <c r="V23" i="110"/>
  <c r="V25" i="110"/>
  <c r="F29" i="110"/>
  <c r="F32" i="110"/>
  <c r="F37" i="110"/>
  <c r="L45" i="110"/>
  <c r="N45" i="110" s="1"/>
  <c r="X51" i="110"/>
  <c r="Z51" i="110" s="1"/>
  <c r="N61" i="110"/>
  <c r="F67" i="110"/>
  <c r="N70" i="110"/>
  <c r="D17" i="110"/>
  <c r="L19" i="110"/>
  <c r="N19" i="110" s="1"/>
  <c r="F22" i="110"/>
  <c r="Z30" i="110"/>
  <c r="F42" i="110"/>
  <c r="V43" i="110"/>
  <c r="Z53" i="110"/>
  <c r="V63" i="110"/>
  <c r="X65" i="110"/>
  <c r="Z65" i="110" s="1"/>
  <c r="J54" i="110"/>
  <c r="J62" i="110"/>
  <c r="J70" i="110"/>
  <c r="J71" i="110"/>
  <c r="J32" i="110"/>
  <c r="J36" i="110"/>
  <c r="J40" i="110"/>
  <c r="J52" i="110"/>
  <c r="J60" i="110"/>
  <c r="J68" i="110"/>
  <c r="J51" i="110"/>
  <c r="J67" i="110"/>
  <c r="J22" i="110"/>
  <c r="J26" i="110"/>
  <c r="J50" i="110"/>
  <c r="J66" i="110"/>
  <c r="J59" i="110"/>
  <c r="J65" i="110"/>
  <c r="J48" i="110"/>
  <c r="J64" i="110"/>
  <c r="J15" i="110"/>
  <c r="J17" i="110"/>
  <c r="J19" i="110"/>
  <c r="J21" i="110"/>
  <c r="J25" i="110"/>
  <c r="J29" i="110"/>
  <c r="J47" i="110"/>
  <c r="J45" i="110"/>
  <c r="J57" i="110"/>
  <c r="J63" i="110"/>
  <c r="J122" i="69" l="1"/>
  <c r="H88" i="73"/>
  <c r="J88" i="73" s="1"/>
  <c r="H129" i="69"/>
  <c r="J129" i="69" s="1"/>
  <c r="F264" i="15"/>
  <c r="F245" i="15"/>
  <c r="F244" i="15"/>
  <c r="F229" i="15"/>
  <c r="F228" i="15"/>
  <c r="F217" i="15"/>
  <c r="F216" i="15"/>
  <c r="F197" i="15"/>
  <c r="F169" i="15"/>
  <c r="F165" i="15"/>
  <c r="F265" i="15"/>
  <c r="F252" i="15"/>
  <c r="F240" i="15"/>
  <c r="F224" i="15"/>
  <c r="F223" i="15"/>
  <c r="F192" i="15"/>
  <c r="F184" i="15"/>
  <c r="F183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54" i="15"/>
  <c r="F253" i="15"/>
  <c r="F246" i="15"/>
  <c r="F230" i="15"/>
  <c r="F186" i="15"/>
  <c r="F185" i="15"/>
  <c r="F170" i="15"/>
  <c r="F166" i="15"/>
  <c r="F162" i="15"/>
  <c r="F161" i="15"/>
  <c r="F257" i="15"/>
  <c r="F248" i="15"/>
  <c r="F247" i="15"/>
  <c r="F220" i="15"/>
  <c r="F200" i="15"/>
  <c r="F180" i="15"/>
  <c r="F259" i="15"/>
  <c r="F250" i="15"/>
  <c r="F249" i="15"/>
  <c r="F242" i="15"/>
  <c r="F238" i="15"/>
  <c r="F226" i="15"/>
  <c r="F202" i="15"/>
  <c r="F201" i="15"/>
  <c r="F194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106" i="15"/>
  <c r="F105" i="15"/>
  <c r="F261" i="15"/>
  <c r="F232" i="15"/>
  <c r="F204" i="15"/>
  <c r="F203" i="15"/>
  <c r="F196" i="15"/>
  <c r="F195" i="15"/>
  <c r="F168" i="15"/>
  <c r="F164" i="15"/>
  <c r="F173" i="15"/>
  <c r="F167" i="15"/>
  <c r="D158" i="15"/>
  <c r="F210" i="15"/>
  <c r="F155" i="15"/>
  <c r="F143" i="15"/>
  <c r="F131" i="15"/>
  <c r="F119" i="15"/>
  <c r="F107" i="15"/>
  <c r="F256" i="15"/>
  <c r="F251" i="15"/>
  <c r="F233" i="15"/>
  <c r="F205" i="15"/>
  <c r="F191" i="15"/>
  <c r="F178" i="15"/>
  <c r="L12" i="15"/>
  <c r="N12" i="15" s="1"/>
  <c r="F193" i="15"/>
  <c r="F176" i="15"/>
  <c r="F153" i="15"/>
  <c r="F141" i="15"/>
  <c r="F129" i="15"/>
  <c r="F117" i="15"/>
  <c r="F269" i="15"/>
  <c r="F262" i="15"/>
  <c r="F236" i="15"/>
  <c r="F231" i="15"/>
  <c r="F214" i="15"/>
  <c r="F211" i="15"/>
  <c r="F208" i="15"/>
  <c r="F188" i="15"/>
  <c r="F163" i="15"/>
  <c r="F160" i="15"/>
  <c r="F260" i="15"/>
  <c r="F189" i="15"/>
  <c r="F151" i="15"/>
  <c r="F139" i="15"/>
  <c r="F127" i="15"/>
  <c r="F115" i="15"/>
  <c r="F222" i="15"/>
  <c r="F198" i="15"/>
  <c r="F181" i="15"/>
  <c r="F179" i="15"/>
  <c r="F174" i="15"/>
  <c r="F237" i="15"/>
  <c r="F234" i="15"/>
  <c r="F215" i="15"/>
  <c r="F209" i="15"/>
  <c r="F206" i="15"/>
  <c r="F199" i="15"/>
  <c r="F171" i="15"/>
  <c r="F149" i="15"/>
  <c r="F137" i="15"/>
  <c r="F125" i="15"/>
  <c r="F113" i="15"/>
  <c r="F263" i="15"/>
  <c r="F239" i="15"/>
  <c r="F225" i="15"/>
  <c r="F177" i="15"/>
  <c r="F243" i="15"/>
  <c r="F218" i="15"/>
  <c r="F213" i="15"/>
  <c r="F175" i="15"/>
  <c r="F182" i="15"/>
  <c r="F227" i="15"/>
  <c r="F207" i="15"/>
  <c r="F123" i="15"/>
  <c r="F121" i="15"/>
  <c r="F258" i="15"/>
  <c r="F241" i="15"/>
  <c r="F235" i="15"/>
  <c r="F219" i="15"/>
  <c r="F172" i="15"/>
  <c r="F135" i="15"/>
  <c r="F133" i="15"/>
  <c r="F221" i="15"/>
  <c r="F187" i="15"/>
  <c r="F212" i="15"/>
  <c r="F190" i="15"/>
  <c r="F147" i="15"/>
  <c r="F145" i="15"/>
  <c r="F111" i="15"/>
  <c r="F109" i="15"/>
  <c r="Z18" i="32"/>
  <c r="T27" i="32"/>
  <c r="Z18" i="5"/>
  <c r="T27" i="5"/>
  <c r="T75" i="101"/>
  <c r="D88" i="94"/>
  <c r="T81" i="80"/>
  <c r="R104" i="77"/>
  <c r="R96" i="77"/>
  <c r="R85" i="77"/>
  <c r="R84" i="77"/>
  <c r="R107" i="77"/>
  <c r="R106" i="77"/>
  <c r="R109" i="77"/>
  <c r="R98" i="77"/>
  <c r="R97" i="77"/>
  <c r="R114" i="77"/>
  <c r="R101" i="77"/>
  <c r="R90" i="77"/>
  <c r="R87" i="77"/>
  <c r="R52" i="77"/>
  <c r="R48" i="77"/>
  <c r="R44" i="77"/>
  <c r="X12" i="77"/>
  <c r="Z12" i="77" s="1"/>
  <c r="R110" i="77"/>
  <c r="R95" i="77"/>
  <c r="R75" i="77"/>
  <c r="R71" i="77"/>
  <c r="R40" i="77"/>
  <c r="R91" i="77"/>
  <c r="R83" i="77"/>
  <c r="R79" i="77"/>
  <c r="R66" i="77"/>
  <c r="R62" i="77"/>
  <c r="R102" i="77"/>
  <c r="R53" i="77"/>
  <c r="R49" i="77"/>
  <c r="R45" i="77"/>
  <c r="R41" i="77"/>
  <c r="R88" i="77"/>
  <c r="R72" i="77"/>
  <c r="R103" i="77"/>
  <c r="R76" i="77"/>
  <c r="R67" i="77"/>
  <c r="R63" i="77"/>
  <c r="R108" i="77"/>
  <c r="R99" i="77"/>
  <c r="R92" i="77"/>
  <c r="R80" i="77"/>
  <c r="R59" i="77"/>
  <c r="R54" i="77"/>
  <c r="R50" i="77"/>
  <c r="R46" i="77"/>
  <c r="R42" i="77"/>
  <c r="R89" i="77"/>
  <c r="R73" i="77"/>
  <c r="R58" i="77"/>
  <c r="R93" i="77"/>
  <c r="R81" i="77"/>
  <c r="R77" i="77"/>
  <c r="R68" i="77"/>
  <c r="R64" i="77"/>
  <c r="R60" i="77"/>
  <c r="P56" i="77"/>
  <c r="R51" i="77"/>
  <c r="R47" i="77"/>
  <c r="R43" i="77"/>
  <c r="R82" i="77"/>
  <c r="R86" i="77"/>
  <c r="R78" i="77"/>
  <c r="R70" i="77"/>
  <c r="R61" i="77"/>
  <c r="R100" i="77"/>
  <c r="R74" i="77"/>
  <c r="R94" i="77"/>
  <c r="R65" i="77"/>
  <c r="R69" i="77"/>
  <c r="H79" i="70"/>
  <c r="T78" i="57"/>
  <c r="Z16" i="57"/>
  <c r="H80" i="48"/>
  <c r="J77" i="48"/>
  <c r="T109" i="45"/>
  <c r="V106" i="45"/>
  <c r="T154" i="30"/>
  <c r="V66" i="30"/>
  <c r="F131" i="36"/>
  <c r="R120" i="30"/>
  <c r="R119" i="30"/>
  <c r="R100" i="30"/>
  <c r="R99" i="30"/>
  <c r="R92" i="30"/>
  <c r="R91" i="30"/>
  <c r="R63" i="30"/>
  <c r="R59" i="30"/>
  <c r="R55" i="30"/>
  <c r="R51" i="30"/>
  <c r="R47" i="30"/>
  <c r="R43" i="30"/>
  <c r="R126" i="30"/>
  <c r="R111" i="30"/>
  <c r="R110" i="30"/>
  <c r="R113" i="30"/>
  <c r="R112" i="30"/>
  <c r="R69" i="30"/>
  <c r="R64" i="30"/>
  <c r="R60" i="30"/>
  <c r="R56" i="30"/>
  <c r="R52" i="30"/>
  <c r="R48" i="30"/>
  <c r="R44" i="30"/>
  <c r="R147" i="30"/>
  <c r="R139" i="30"/>
  <c r="R128" i="30"/>
  <c r="R127" i="30"/>
  <c r="R150" i="30"/>
  <c r="R149" i="30"/>
  <c r="R134" i="30"/>
  <c r="R122" i="30"/>
  <c r="R115" i="30"/>
  <c r="R114" i="30"/>
  <c r="R95" i="30"/>
  <c r="R94" i="30"/>
  <c r="R79" i="30"/>
  <c r="R78" i="30"/>
  <c r="R74" i="30"/>
  <c r="R70" i="30"/>
  <c r="P66" i="30"/>
  <c r="R151" i="30"/>
  <c r="R129" i="30"/>
  <c r="R105" i="30"/>
  <c r="R61" i="30"/>
  <c r="R57" i="30"/>
  <c r="R53" i="30"/>
  <c r="R49" i="30"/>
  <c r="R45" i="30"/>
  <c r="R152" i="30"/>
  <c r="R141" i="30"/>
  <c r="R140" i="30"/>
  <c r="R117" i="30"/>
  <c r="R116" i="30"/>
  <c r="R97" i="30"/>
  <c r="R96" i="30"/>
  <c r="R88" i="30"/>
  <c r="R84" i="30"/>
  <c r="R80" i="30"/>
  <c r="R136" i="30"/>
  <c r="R103" i="30"/>
  <c r="R85" i="30"/>
  <c r="R72" i="30"/>
  <c r="R118" i="30"/>
  <c r="R58" i="30"/>
  <c r="R46" i="30"/>
  <c r="X12" i="30"/>
  <c r="Z12" i="30" s="1"/>
  <c r="R132" i="30"/>
  <c r="R123" i="30"/>
  <c r="R108" i="30"/>
  <c r="R77" i="30"/>
  <c r="R75" i="30"/>
  <c r="R146" i="30"/>
  <c r="R130" i="30"/>
  <c r="R83" i="30"/>
  <c r="R124" i="30"/>
  <c r="R106" i="30"/>
  <c r="R104" i="30"/>
  <c r="R98" i="30"/>
  <c r="R86" i="30"/>
  <c r="R81" i="30"/>
  <c r="R68" i="30"/>
  <c r="R144" i="30"/>
  <c r="R121" i="30"/>
  <c r="R109" i="30"/>
  <c r="R101" i="30"/>
  <c r="R71" i="30"/>
  <c r="R54" i="30"/>
  <c r="R42" i="30"/>
  <c r="R137" i="30"/>
  <c r="R135" i="30"/>
  <c r="R89" i="30"/>
  <c r="R73" i="30"/>
  <c r="R142" i="30"/>
  <c r="R131" i="30"/>
  <c r="R107" i="30"/>
  <c r="R102" i="30"/>
  <c r="R93" i="30"/>
  <c r="R90" i="30"/>
  <c r="R156" i="30"/>
  <c r="R133" i="30"/>
  <c r="R76" i="30"/>
  <c r="R138" i="30"/>
  <c r="R125" i="30"/>
  <c r="R143" i="30"/>
  <c r="R145" i="30"/>
  <c r="R87" i="30"/>
  <c r="R82" i="30"/>
  <c r="R50" i="30"/>
  <c r="R62" i="30"/>
  <c r="T143" i="24"/>
  <c r="X196" i="3"/>
  <c r="P320" i="3"/>
  <c r="L18" i="113"/>
  <c r="D27" i="113"/>
  <c r="T27" i="52"/>
  <c r="Z18" i="52"/>
  <c r="T27" i="46"/>
  <c r="Z18" i="46"/>
  <c r="X18" i="46"/>
  <c r="P27" i="46"/>
  <c r="T27" i="50"/>
  <c r="Z18" i="50"/>
  <c r="H27" i="38"/>
  <c r="N18" i="38"/>
  <c r="H27" i="32"/>
  <c r="N18" i="32"/>
  <c r="L18" i="28"/>
  <c r="D27" i="28"/>
  <c r="Z18" i="10"/>
  <c r="T27" i="10"/>
  <c r="L18" i="35"/>
  <c r="D27" i="35"/>
  <c r="T27" i="26"/>
  <c r="Z18" i="26"/>
  <c r="X18" i="17"/>
  <c r="P27" i="17"/>
  <c r="N18" i="19"/>
  <c r="H27" i="19"/>
  <c r="L18" i="7"/>
  <c r="D27" i="7"/>
  <c r="T93" i="106"/>
  <c r="D93" i="106"/>
  <c r="L23" i="106"/>
  <c r="N23" i="106" s="1"/>
  <c r="R65" i="104"/>
  <c r="R54" i="104"/>
  <c r="R53" i="104"/>
  <c r="R45" i="104"/>
  <c r="R41" i="104"/>
  <c r="R18" i="104"/>
  <c r="R88" i="104"/>
  <c r="R80" i="104"/>
  <c r="R76" i="104"/>
  <c r="R37" i="104"/>
  <c r="R36" i="104"/>
  <c r="R32" i="104"/>
  <c r="R28" i="104"/>
  <c r="X12" i="104"/>
  <c r="Z12" i="104" s="1"/>
  <c r="R90" i="104"/>
  <c r="R71" i="104"/>
  <c r="R56" i="104"/>
  <c r="R55" i="104"/>
  <c r="R19" i="104"/>
  <c r="R66" i="104"/>
  <c r="R46" i="104"/>
  <c r="R42" i="104"/>
  <c r="R38" i="104"/>
  <c r="R82" i="104"/>
  <c r="R81" i="104"/>
  <c r="R77" i="104"/>
  <c r="R58" i="104"/>
  <c r="R57" i="104"/>
  <c r="R33" i="104"/>
  <c r="R29" i="104"/>
  <c r="R94" i="104"/>
  <c r="R73" i="104"/>
  <c r="R72" i="104"/>
  <c r="R20" i="104"/>
  <c r="R84" i="104"/>
  <c r="R83" i="104"/>
  <c r="R68" i="104"/>
  <c r="R67" i="104"/>
  <c r="R60" i="104"/>
  <c r="R59" i="104"/>
  <c r="R48" i="104"/>
  <c r="R47" i="104"/>
  <c r="R43" i="104"/>
  <c r="R39" i="104"/>
  <c r="R78" i="104"/>
  <c r="R74" i="104"/>
  <c r="R34" i="104"/>
  <c r="R30" i="104"/>
  <c r="R86" i="104"/>
  <c r="R85" i="104"/>
  <c r="R69" i="104"/>
  <c r="R62" i="104"/>
  <c r="R61" i="104"/>
  <c r="R50" i="104"/>
  <c r="R49" i="104"/>
  <c r="R26" i="104"/>
  <c r="R21" i="104"/>
  <c r="R44" i="104"/>
  <c r="R40" i="104"/>
  <c r="R25" i="104"/>
  <c r="R23" i="104"/>
  <c r="R75" i="104"/>
  <c r="R27" i="104"/>
  <c r="R64" i="104"/>
  <c r="R79" i="104"/>
  <c r="R31" i="104"/>
  <c r="P23" i="104"/>
  <c r="R87" i="104"/>
  <c r="R70" i="104"/>
  <c r="R51" i="104"/>
  <c r="R35" i="104"/>
  <c r="R63" i="104"/>
  <c r="R52" i="104"/>
  <c r="T91" i="102"/>
  <c r="H101" i="98"/>
  <c r="T96" i="84"/>
  <c r="T28" i="83"/>
  <c r="P22" i="78"/>
  <c r="X16" i="78"/>
  <c r="R69" i="81"/>
  <c r="R68" i="81"/>
  <c r="R44" i="81"/>
  <c r="R40" i="81"/>
  <c r="R36" i="81"/>
  <c r="R17" i="81"/>
  <c r="R63" i="81"/>
  <c r="R31" i="81"/>
  <c r="R27" i="81"/>
  <c r="R75" i="81"/>
  <c r="R74" i="81"/>
  <c r="R70" i="81"/>
  <c r="R55" i="81"/>
  <c r="R54" i="81"/>
  <c r="R18" i="81"/>
  <c r="R46" i="81"/>
  <c r="R45" i="81"/>
  <c r="R41" i="81"/>
  <c r="R37" i="81"/>
  <c r="R77" i="81"/>
  <c r="R76" i="81"/>
  <c r="R65" i="81"/>
  <c r="R64" i="81"/>
  <c r="R57" i="81"/>
  <c r="R56" i="81"/>
  <c r="R32" i="81"/>
  <c r="R28" i="81"/>
  <c r="R71" i="81"/>
  <c r="R48" i="81"/>
  <c r="R47" i="81"/>
  <c r="R19" i="81"/>
  <c r="R78" i="81"/>
  <c r="R66" i="81"/>
  <c r="R59" i="81"/>
  <c r="R58" i="81"/>
  <c r="R42" i="81"/>
  <c r="R38" i="81"/>
  <c r="X12" i="81"/>
  <c r="Z12" i="81" s="1"/>
  <c r="R80" i="81"/>
  <c r="R50" i="81"/>
  <c r="R49" i="81"/>
  <c r="R33" i="81"/>
  <c r="R29" i="81"/>
  <c r="R72" i="81"/>
  <c r="R61" i="81"/>
  <c r="R60" i="81"/>
  <c r="R25" i="81"/>
  <c r="R20" i="81"/>
  <c r="R53" i="81"/>
  <c r="R51" i="81"/>
  <c r="R26" i="81"/>
  <c r="R24" i="81"/>
  <c r="R62" i="81"/>
  <c r="R34" i="81"/>
  <c r="R30" i="81"/>
  <c r="R52" i="81"/>
  <c r="R84" i="81"/>
  <c r="R73" i="81"/>
  <c r="R35" i="81"/>
  <c r="R67" i="81"/>
  <c r="R43" i="81"/>
  <c r="R39" i="81"/>
  <c r="P22" i="81"/>
  <c r="F26" i="83"/>
  <c r="F24" i="83"/>
  <c r="F22" i="83"/>
  <c r="F30" i="83"/>
  <c r="D22" i="83"/>
  <c r="F18" i="83"/>
  <c r="F17" i="83"/>
  <c r="F19" i="83"/>
  <c r="L12" i="83"/>
  <c r="N12" i="83" s="1"/>
  <c r="F20" i="83"/>
  <c r="R95" i="74"/>
  <c r="R57" i="74"/>
  <c r="R52" i="74"/>
  <c r="R48" i="74"/>
  <c r="R44" i="74"/>
  <c r="R40" i="74"/>
  <c r="R84" i="74"/>
  <c r="R83" i="74"/>
  <c r="R75" i="74"/>
  <c r="R71" i="74"/>
  <c r="R67" i="74"/>
  <c r="R56" i="74"/>
  <c r="R54" i="74"/>
  <c r="R36" i="74"/>
  <c r="R62" i="74"/>
  <c r="R58" i="74"/>
  <c r="P54" i="74"/>
  <c r="R99" i="74"/>
  <c r="R86" i="74"/>
  <c r="R85" i="74"/>
  <c r="R49" i="74"/>
  <c r="R45" i="74"/>
  <c r="R41" i="74"/>
  <c r="R37" i="74"/>
  <c r="R77" i="74"/>
  <c r="R76" i="74"/>
  <c r="R72" i="74"/>
  <c r="R68" i="74"/>
  <c r="R88" i="74"/>
  <c r="R87" i="74"/>
  <c r="R63" i="74"/>
  <c r="R59" i="74"/>
  <c r="R79" i="74"/>
  <c r="R78" i="74"/>
  <c r="R50" i="74"/>
  <c r="R46" i="74"/>
  <c r="R42" i="74"/>
  <c r="R38" i="74"/>
  <c r="R90" i="74"/>
  <c r="R89" i="74"/>
  <c r="R73" i="74"/>
  <c r="R69" i="74"/>
  <c r="R80" i="74"/>
  <c r="R64" i="74"/>
  <c r="R60" i="74"/>
  <c r="X12" i="74"/>
  <c r="Z12" i="74" s="1"/>
  <c r="R74" i="74"/>
  <c r="R70" i="74"/>
  <c r="R92" i="74"/>
  <c r="R81" i="74"/>
  <c r="R66" i="74"/>
  <c r="R51" i="74"/>
  <c r="R93" i="74"/>
  <c r="R47" i="74"/>
  <c r="R43" i="74"/>
  <c r="R39" i="74"/>
  <c r="R61" i="74"/>
  <c r="R82" i="74"/>
  <c r="R91" i="74"/>
  <c r="R65" i="74"/>
  <c r="F19" i="59"/>
  <c r="F17" i="59"/>
  <c r="F15" i="59"/>
  <c r="F63" i="59"/>
  <c r="F62" i="59"/>
  <c r="F55" i="59"/>
  <c r="F39" i="59"/>
  <c r="F35" i="59"/>
  <c r="F73" i="59"/>
  <c r="F71" i="59"/>
  <c r="F46" i="59"/>
  <c r="F30" i="59"/>
  <c r="F26" i="59"/>
  <c r="F22" i="59"/>
  <c r="L12" i="59"/>
  <c r="F75" i="59"/>
  <c r="F64" i="59"/>
  <c r="F56" i="59"/>
  <c r="F48" i="59"/>
  <c r="F47" i="59"/>
  <c r="F40" i="59"/>
  <c r="F36" i="59"/>
  <c r="F32" i="59"/>
  <c r="F31" i="59"/>
  <c r="F27" i="59"/>
  <c r="F23" i="59"/>
  <c r="F80" i="59"/>
  <c r="F77" i="59"/>
  <c r="F66" i="59"/>
  <c r="F65" i="59"/>
  <c r="F50" i="59"/>
  <c r="F49" i="59"/>
  <c r="F69" i="59"/>
  <c r="F51" i="59"/>
  <c r="F28" i="59"/>
  <c r="F21" i="59"/>
  <c r="F54" i="59"/>
  <c r="F42" i="59"/>
  <c r="F67" i="59"/>
  <c r="F59" i="59"/>
  <c r="D17" i="59"/>
  <c r="F43" i="59"/>
  <c r="F38" i="59"/>
  <c r="F24" i="59"/>
  <c r="F52" i="59"/>
  <c r="F29" i="59"/>
  <c r="F57" i="59"/>
  <c r="F34" i="59"/>
  <c r="F61" i="59"/>
  <c r="F45" i="59"/>
  <c r="F68" i="59"/>
  <c r="F53" i="59"/>
  <c r="F33" i="59"/>
  <c r="F20" i="59"/>
  <c r="F58" i="59"/>
  <c r="F25" i="59"/>
  <c r="F44" i="59"/>
  <c r="F41" i="59"/>
  <c r="F37" i="59"/>
  <c r="F60" i="59"/>
  <c r="P22" i="54"/>
  <c r="X16" i="54"/>
  <c r="H102" i="45"/>
  <c r="R67" i="51"/>
  <c r="R63" i="51"/>
  <c r="R107" i="51"/>
  <c r="R106" i="51"/>
  <c r="R109" i="51"/>
  <c r="R98" i="51"/>
  <c r="R97" i="51"/>
  <c r="R101" i="51"/>
  <c r="R100" i="51"/>
  <c r="R87" i="51"/>
  <c r="R58" i="51"/>
  <c r="R56" i="51"/>
  <c r="R93" i="51"/>
  <c r="R92" i="51"/>
  <c r="R82" i="51"/>
  <c r="R60" i="51"/>
  <c r="P56" i="51"/>
  <c r="R108" i="51"/>
  <c r="R88" i="51"/>
  <c r="R78" i="51"/>
  <c r="R71" i="51"/>
  <c r="R51" i="51"/>
  <c r="R47" i="51"/>
  <c r="R43" i="51"/>
  <c r="R102" i="51"/>
  <c r="R83" i="51"/>
  <c r="R64" i="51"/>
  <c r="R94" i="51"/>
  <c r="R89" i="51"/>
  <c r="R75" i="51"/>
  <c r="R61" i="51"/>
  <c r="R103" i="51"/>
  <c r="R72" i="51"/>
  <c r="R52" i="51"/>
  <c r="R48" i="51"/>
  <c r="R44" i="51"/>
  <c r="X12" i="51"/>
  <c r="Z12" i="51" s="1"/>
  <c r="R114" i="51"/>
  <c r="R95" i="51"/>
  <c r="R84" i="51"/>
  <c r="R68" i="51"/>
  <c r="R40" i="51"/>
  <c r="R85" i="51"/>
  <c r="R79" i="51"/>
  <c r="R76" i="51"/>
  <c r="R65" i="51"/>
  <c r="R69" i="51"/>
  <c r="R42" i="51"/>
  <c r="R49" i="51"/>
  <c r="R62" i="51"/>
  <c r="R104" i="51"/>
  <c r="R74" i="51"/>
  <c r="R45" i="51"/>
  <c r="R80" i="51"/>
  <c r="R70" i="51"/>
  <c r="R66" i="51"/>
  <c r="R81" i="51"/>
  <c r="R50" i="51"/>
  <c r="R96" i="51"/>
  <c r="R91" i="51"/>
  <c r="R110" i="51"/>
  <c r="R90" i="51"/>
  <c r="R59" i="51"/>
  <c r="R53" i="51"/>
  <c r="R86" i="51"/>
  <c r="R99" i="51"/>
  <c r="R73" i="51"/>
  <c r="R46" i="51"/>
  <c r="R77" i="51"/>
  <c r="R54" i="51"/>
  <c r="R41" i="51"/>
  <c r="T110" i="33"/>
  <c r="F129" i="24"/>
  <c r="F128" i="24"/>
  <c r="F101" i="24"/>
  <c r="F100" i="24"/>
  <c r="F73" i="24"/>
  <c r="F69" i="24"/>
  <c r="F65" i="24"/>
  <c r="F61" i="24"/>
  <c r="F57" i="24"/>
  <c r="F53" i="24"/>
  <c r="F120" i="24"/>
  <c r="F112" i="24"/>
  <c r="F111" i="24"/>
  <c r="F96" i="24"/>
  <c r="F92" i="24"/>
  <c r="L12" i="24"/>
  <c r="N12" i="24" s="1"/>
  <c r="F131" i="24"/>
  <c r="F130" i="24"/>
  <c r="F103" i="24"/>
  <c r="F102" i="24"/>
  <c r="F87" i="24"/>
  <c r="F83" i="24"/>
  <c r="F122" i="24"/>
  <c r="F121" i="24"/>
  <c r="F114" i="24"/>
  <c r="F113" i="24"/>
  <c r="F74" i="24"/>
  <c r="F70" i="24"/>
  <c r="F66" i="24"/>
  <c r="F62" i="24"/>
  <c r="F58" i="24"/>
  <c r="F54" i="24"/>
  <c r="F134" i="24"/>
  <c r="F105" i="24"/>
  <c r="F104" i="24"/>
  <c r="F97" i="24"/>
  <c r="F93" i="24"/>
  <c r="F133" i="24"/>
  <c r="F124" i="24"/>
  <c r="F123" i="24"/>
  <c r="F116" i="24"/>
  <c r="F115" i="24"/>
  <c r="F88" i="24"/>
  <c r="F78" i="24"/>
  <c r="F76" i="24"/>
  <c r="F71" i="24"/>
  <c r="F67" i="24"/>
  <c r="F63" i="24"/>
  <c r="F59" i="24"/>
  <c r="F55" i="24"/>
  <c r="F51" i="24"/>
  <c r="F50" i="24"/>
  <c r="F138" i="24"/>
  <c r="F106" i="24"/>
  <c r="F98" i="24"/>
  <c r="F94" i="24"/>
  <c r="F90" i="24"/>
  <c r="F89" i="24"/>
  <c r="D76" i="24"/>
  <c r="F127" i="24"/>
  <c r="F126" i="24"/>
  <c r="F119" i="24"/>
  <c r="F118" i="24"/>
  <c r="F99" i="24"/>
  <c r="F95" i="24"/>
  <c r="F91" i="24"/>
  <c r="F109" i="24"/>
  <c r="F86" i="24"/>
  <c r="F84" i="24"/>
  <c r="F64" i="24"/>
  <c r="F52" i="24"/>
  <c r="F107" i="24"/>
  <c r="F110" i="24"/>
  <c r="F81" i="24"/>
  <c r="F72" i="24"/>
  <c r="F60" i="24"/>
  <c r="F117" i="24"/>
  <c r="F125" i="24"/>
  <c r="F85" i="24"/>
  <c r="F108" i="24"/>
  <c r="F79" i="24"/>
  <c r="F68" i="24"/>
  <c r="F56" i="24"/>
  <c r="F80" i="24"/>
  <c r="F82" i="24"/>
  <c r="T137" i="36"/>
  <c r="H280" i="12"/>
  <c r="H116" i="21"/>
  <c r="H136" i="24"/>
  <c r="T101" i="9"/>
  <c r="V17" i="9"/>
  <c r="F305" i="3"/>
  <c r="L18" i="43"/>
  <c r="D27" i="43"/>
  <c r="T27" i="40"/>
  <c r="Z18" i="40"/>
  <c r="H27" i="29"/>
  <c r="N18" i="29"/>
  <c r="P27" i="35"/>
  <c r="X18" i="35"/>
  <c r="L18" i="26"/>
  <c r="D27" i="26"/>
  <c r="N18" i="5"/>
  <c r="H27" i="5"/>
  <c r="H27" i="13"/>
  <c r="N18" i="13"/>
  <c r="Z18" i="22"/>
  <c r="T27" i="22"/>
  <c r="H27" i="28"/>
  <c r="N18" i="28"/>
  <c r="H27" i="20"/>
  <c r="N18" i="20"/>
  <c r="R67" i="106"/>
  <c r="R56" i="106"/>
  <c r="R55" i="106"/>
  <c r="R19" i="106"/>
  <c r="R82" i="106"/>
  <c r="R78" i="106"/>
  <c r="R46" i="106"/>
  <c r="R42" i="106"/>
  <c r="R38" i="106"/>
  <c r="R95" i="106"/>
  <c r="R73" i="106"/>
  <c r="R58" i="106"/>
  <c r="R57" i="106"/>
  <c r="R33" i="106"/>
  <c r="R29" i="106"/>
  <c r="R68" i="106"/>
  <c r="R20" i="106"/>
  <c r="R84" i="106"/>
  <c r="R83" i="106"/>
  <c r="R79" i="106"/>
  <c r="R60" i="106"/>
  <c r="R59" i="106"/>
  <c r="R48" i="106"/>
  <c r="R47" i="106"/>
  <c r="R43" i="106"/>
  <c r="R39" i="106"/>
  <c r="R75" i="106"/>
  <c r="R74" i="106"/>
  <c r="R34" i="106"/>
  <c r="R30" i="106"/>
  <c r="R86" i="106"/>
  <c r="R85" i="106"/>
  <c r="R70" i="106"/>
  <c r="R69" i="106"/>
  <c r="R62" i="106"/>
  <c r="R61" i="106"/>
  <c r="R50" i="106"/>
  <c r="R49" i="106"/>
  <c r="R26" i="106"/>
  <c r="R21" i="106"/>
  <c r="R80" i="106"/>
  <c r="R76" i="106"/>
  <c r="R44" i="106"/>
  <c r="R40" i="106"/>
  <c r="R25" i="106"/>
  <c r="R88" i="106"/>
  <c r="R87" i="106"/>
  <c r="R71" i="106"/>
  <c r="R64" i="106"/>
  <c r="R63" i="106"/>
  <c r="R52" i="106"/>
  <c r="R51" i="106"/>
  <c r="R35" i="106"/>
  <c r="R31" i="106"/>
  <c r="R27" i="106"/>
  <c r="P23" i="106"/>
  <c r="R23" i="106" s="1"/>
  <c r="R81" i="106"/>
  <c r="R65" i="106"/>
  <c r="R53" i="106"/>
  <c r="R72" i="106"/>
  <c r="X12" i="106"/>
  <c r="Z12" i="106" s="1"/>
  <c r="R89" i="106"/>
  <c r="R37" i="106"/>
  <c r="R28" i="106"/>
  <c r="R54" i="106"/>
  <c r="R66" i="106"/>
  <c r="R41" i="106"/>
  <c r="R91" i="106"/>
  <c r="R77" i="106"/>
  <c r="R32" i="106"/>
  <c r="R18" i="106"/>
  <c r="R36" i="106"/>
  <c r="R45" i="106"/>
  <c r="L23" i="105"/>
  <c r="D63" i="105"/>
  <c r="D75" i="101"/>
  <c r="L22" i="101"/>
  <c r="F82" i="95"/>
  <c r="F81" i="95"/>
  <c r="F70" i="95"/>
  <c r="F69" i="95"/>
  <c r="F50" i="95"/>
  <c r="F49" i="95"/>
  <c r="F34" i="95"/>
  <c r="F30" i="95"/>
  <c r="F61" i="95"/>
  <c r="F60" i="95"/>
  <c r="F21" i="95"/>
  <c r="F76" i="95"/>
  <c r="F72" i="95"/>
  <c r="F71" i="95"/>
  <c r="F52" i="95"/>
  <c r="F51" i="95"/>
  <c r="F44" i="95"/>
  <c r="F40" i="95"/>
  <c r="F84" i="95"/>
  <c r="F63" i="95"/>
  <c r="F62" i="95"/>
  <c r="F35" i="95"/>
  <c r="F31" i="95"/>
  <c r="F27" i="95"/>
  <c r="F26" i="95"/>
  <c r="F88" i="95"/>
  <c r="F54" i="95"/>
  <c r="F53" i="95"/>
  <c r="F25" i="95"/>
  <c r="F77" i="95"/>
  <c r="F73" i="95"/>
  <c r="F45" i="95"/>
  <c r="F41" i="95"/>
  <c r="F37" i="95"/>
  <c r="F36" i="95"/>
  <c r="D23" i="95"/>
  <c r="F64" i="95"/>
  <c r="F55" i="95"/>
  <c r="F19" i="95"/>
  <c r="F18" i="95"/>
  <c r="F78" i="95"/>
  <c r="F74" i="95"/>
  <c r="F66" i="95"/>
  <c r="F65" i="95"/>
  <c r="F46" i="95"/>
  <c r="F42" i="95"/>
  <c r="F38" i="95"/>
  <c r="F57" i="95"/>
  <c r="F56" i="95"/>
  <c r="F33" i="95"/>
  <c r="F29" i="95"/>
  <c r="F80" i="95"/>
  <c r="F79" i="95"/>
  <c r="F68" i="95"/>
  <c r="F67" i="95"/>
  <c r="F48" i="95"/>
  <c r="F47" i="95"/>
  <c r="F20" i="95"/>
  <c r="F58" i="95"/>
  <c r="F75" i="95"/>
  <c r="F28" i="95"/>
  <c r="F39" i="95"/>
  <c r="F32" i="95"/>
  <c r="F43" i="95"/>
  <c r="L12" i="95"/>
  <c r="N12" i="95" s="1"/>
  <c r="F59" i="95"/>
  <c r="L16" i="92"/>
  <c r="D95" i="92"/>
  <c r="R22" i="86"/>
  <c r="R20" i="86"/>
  <c r="R25" i="86"/>
  <c r="R24" i="86"/>
  <c r="P20" i="86"/>
  <c r="R27" i="86"/>
  <c r="R26" i="86"/>
  <c r="R28" i="86"/>
  <c r="X12" i="86"/>
  <c r="Z12" i="86" s="1"/>
  <c r="R30" i="86"/>
  <c r="R16" i="86"/>
  <c r="R34" i="86"/>
  <c r="R18" i="86"/>
  <c r="R23" i="86"/>
  <c r="R17" i="86"/>
  <c r="L22" i="81"/>
  <c r="D82" i="81"/>
  <c r="Z16" i="78"/>
  <c r="T22" i="78"/>
  <c r="X16" i="68"/>
  <c r="P65" i="68"/>
  <c r="P62" i="61"/>
  <c r="X16" i="61"/>
  <c r="T122" i="69"/>
  <c r="V68" i="69"/>
  <c r="X16" i="58"/>
  <c r="P76" i="58"/>
  <c r="T126" i="71"/>
  <c r="V60" i="71"/>
  <c r="X16" i="57"/>
  <c r="Z26" i="54"/>
  <c r="T31" i="54"/>
  <c r="R98" i="33"/>
  <c r="R97" i="33"/>
  <c r="R75" i="33"/>
  <c r="R74" i="33"/>
  <c r="R58" i="33"/>
  <c r="R54" i="33"/>
  <c r="R99" i="33"/>
  <c r="R89" i="33"/>
  <c r="R66" i="33"/>
  <c r="R65" i="33"/>
  <c r="R49" i="33"/>
  <c r="R45" i="33"/>
  <c r="R101" i="33"/>
  <c r="R68" i="33"/>
  <c r="R67" i="33"/>
  <c r="R59" i="33"/>
  <c r="R55" i="33"/>
  <c r="R40" i="33"/>
  <c r="R102" i="33"/>
  <c r="R91" i="33"/>
  <c r="R90" i="33"/>
  <c r="R86" i="33"/>
  <c r="R79" i="33"/>
  <c r="R78" i="33"/>
  <c r="R51" i="33"/>
  <c r="R50" i="33"/>
  <c r="R46" i="33"/>
  <c r="R42" i="33"/>
  <c r="P38" i="33"/>
  <c r="R38" i="33" s="1"/>
  <c r="R103" i="33"/>
  <c r="R70" i="33"/>
  <c r="R69" i="33"/>
  <c r="R33" i="33"/>
  <c r="R104" i="33"/>
  <c r="R92" i="33"/>
  <c r="R80" i="33"/>
  <c r="R60" i="33"/>
  <c r="R56" i="33"/>
  <c r="R52" i="33"/>
  <c r="R87" i="33"/>
  <c r="R72" i="33"/>
  <c r="R71" i="33"/>
  <c r="R47" i="33"/>
  <c r="R43" i="33"/>
  <c r="R94" i="33"/>
  <c r="R93" i="33"/>
  <c r="R82" i="33"/>
  <c r="R81" i="33"/>
  <c r="R73" i="33"/>
  <c r="R62" i="33"/>
  <c r="R61" i="33"/>
  <c r="R57" i="33"/>
  <c r="R53" i="33"/>
  <c r="R30" i="33"/>
  <c r="R100" i="33"/>
  <c r="R77" i="33"/>
  <c r="R48" i="33"/>
  <c r="R44" i="33"/>
  <c r="R31" i="33"/>
  <c r="R84" i="33"/>
  <c r="R95" i="33"/>
  <c r="R36" i="33"/>
  <c r="R34" i="33"/>
  <c r="R85" i="33"/>
  <c r="R32" i="33"/>
  <c r="X12" i="33"/>
  <c r="Z12" i="33" s="1"/>
  <c r="R76" i="33"/>
  <c r="R108" i="33"/>
  <c r="R88" i="33"/>
  <c r="R83" i="33"/>
  <c r="R41" i="33"/>
  <c r="R64" i="33"/>
  <c r="R35" i="33"/>
  <c r="R63" i="33"/>
  <c r="X16" i="6"/>
  <c r="P22" i="6"/>
  <c r="H27" i="113"/>
  <c r="N18" i="113"/>
  <c r="X18" i="47"/>
  <c r="P27" i="47"/>
  <c r="L18" i="47"/>
  <c r="D27" i="47"/>
  <c r="L18" i="46"/>
  <c r="D27" i="46"/>
  <c r="T27" i="49"/>
  <c r="Z18" i="49"/>
  <c r="H27" i="43"/>
  <c r="N18" i="43"/>
  <c r="L18" i="40"/>
  <c r="D27" i="40"/>
  <c r="T27" i="41"/>
  <c r="Z18" i="41"/>
  <c r="X18" i="22"/>
  <c r="P27" i="22"/>
  <c r="T27" i="25"/>
  <c r="Z18" i="25"/>
  <c r="T27" i="35"/>
  <c r="Z18" i="35"/>
  <c r="X18" i="19"/>
  <c r="P27" i="19"/>
  <c r="H27" i="10"/>
  <c r="N18" i="10"/>
  <c r="H27" i="7"/>
  <c r="N18" i="7"/>
  <c r="R68" i="79"/>
  <c r="R67" i="79"/>
  <c r="R57" i="79"/>
  <c r="R56" i="79"/>
  <c r="R48" i="79"/>
  <c r="R44" i="79"/>
  <c r="R40" i="79"/>
  <c r="R29" i="79"/>
  <c r="R27" i="79"/>
  <c r="R69" i="79"/>
  <c r="R35" i="79"/>
  <c r="R31" i="79"/>
  <c r="P27" i="79"/>
  <c r="R70" i="79"/>
  <c r="R71" i="79"/>
  <c r="R50" i="79"/>
  <c r="R49" i="79"/>
  <c r="R45" i="79"/>
  <c r="R41" i="79"/>
  <c r="R72" i="79"/>
  <c r="R61" i="79"/>
  <c r="R60" i="79"/>
  <c r="R54" i="79"/>
  <c r="R53" i="79"/>
  <c r="R37" i="79"/>
  <c r="R33" i="79"/>
  <c r="R24" i="79"/>
  <c r="R63" i="79"/>
  <c r="R51" i="79"/>
  <c r="R43" i="79"/>
  <c r="R30" i="79"/>
  <c r="R52" i="79"/>
  <c r="R21" i="79"/>
  <c r="R46" i="79"/>
  <c r="R38" i="79"/>
  <c r="R76" i="79"/>
  <c r="R64" i="79"/>
  <c r="R58" i="79"/>
  <c r="R55" i="79"/>
  <c r="R25" i="79"/>
  <c r="R22" i="79"/>
  <c r="R59" i="79"/>
  <c r="R39" i="79"/>
  <c r="R36" i="79"/>
  <c r="R19" i="79"/>
  <c r="X12" i="79"/>
  <c r="Z12" i="79" s="1"/>
  <c r="R62" i="79"/>
  <c r="R47" i="79"/>
  <c r="R42" i="79"/>
  <c r="R34" i="79"/>
  <c r="R23" i="79"/>
  <c r="R32" i="79"/>
  <c r="R20" i="79"/>
  <c r="R65" i="79"/>
  <c r="T27" i="47"/>
  <c r="Z18" i="47"/>
  <c r="D73" i="110"/>
  <c r="L17" i="110"/>
  <c r="N17" i="110" s="1"/>
  <c r="F17" i="110"/>
  <c r="D53" i="100"/>
  <c r="L17" i="100"/>
  <c r="D94" i="98"/>
  <c r="L23" i="98"/>
  <c r="N23" i="98" s="1"/>
  <c r="H101" i="96"/>
  <c r="P85" i="93"/>
  <c r="X22" i="93"/>
  <c r="Z22" i="93" s="1"/>
  <c r="T87" i="89"/>
  <c r="Z23" i="89"/>
  <c r="P87" i="89"/>
  <c r="X23" i="89"/>
  <c r="R108" i="85"/>
  <c r="R107" i="85"/>
  <c r="R92" i="85"/>
  <c r="R91" i="85"/>
  <c r="R80" i="85"/>
  <c r="R79" i="85"/>
  <c r="R64" i="85"/>
  <c r="R122" i="85"/>
  <c r="R102" i="85"/>
  <c r="R46" i="85"/>
  <c r="R42" i="85"/>
  <c r="R38" i="85"/>
  <c r="R124" i="85"/>
  <c r="R114" i="85"/>
  <c r="R113" i="85"/>
  <c r="R109" i="85"/>
  <c r="R94" i="85"/>
  <c r="R93" i="85"/>
  <c r="R82" i="85"/>
  <c r="R81" i="85"/>
  <c r="R73" i="85"/>
  <c r="R69" i="85"/>
  <c r="R65" i="85"/>
  <c r="R128" i="85"/>
  <c r="R98" i="85"/>
  <c r="R97" i="85"/>
  <c r="R119" i="85"/>
  <c r="R118" i="85"/>
  <c r="R106" i="85"/>
  <c r="R78" i="85"/>
  <c r="R62" i="85"/>
  <c r="R58" i="85"/>
  <c r="R66" i="85"/>
  <c r="R57" i="85"/>
  <c r="R53" i="85"/>
  <c r="R47" i="85"/>
  <c r="R44" i="85"/>
  <c r="R34" i="85"/>
  <c r="R101" i="85"/>
  <c r="R96" i="85"/>
  <c r="R84" i="85"/>
  <c r="R74" i="85"/>
  <c r="R63" i="85"/>
  <c r="R60" i="85"/>
  <c r="R54" i="85"/>
  <c r="R116" i="85"/>
  <c r="R104" i="85"/>
  <c r="R90" i="85"/>
  <c r="R75" i="85"/>
  <c r="R35" i="85"/>
  <c r="R121" i="85"/>
  <c r="R48" i="85"/>
  <c r="R111" i="85"/>
  <c r="R87" i="85"/>
  <c r="R72" i="85"/>
  <c r="R55" i="85"/>
  <c r="R45" i="85"/>
  <c r="R117" i="85"/>
  <c r="R105" i="85"/>
  <c r="R99" i="85"/>
  <c r="R67" i="85"/>
  <c r="R61" i="85"/>
  <c r="R88" i="85"/>
  <c r="R39" i="85"/>
  <c r="R36" i="85"/>
  <c r="R85" i="85"/>
  <c r="R76" i="85"/>
  <c r="R70" i="85"/>
  <c r="R49" i="85"/>
  <c r="R56" i="85"/>
  <c r="R115" i="85"/>
  <c r="R112" i="85"/>
  <c r="R103" i="85"/>
  <c r="R77" i="85"/>
  <c r="R59" i="85"/>
  <c r="R43" i="85"/>
  <c r="R40" i="85"/>
  <c r="R120" i="85"/>
  <c r="R83" i="85"/>
  <c r="X12" i="85"/>
  <c r="Z12" i="85" s="1"/>
  <c r="R68" i="85"/>
  <c r="P51" i="85"/>
  <c r="R110" i="85"/>
  <c r="R89" i="85"/>
  <c r="R37" i="85"/>
  <c r="R100" i="85"/>
  <c r="R41" i="85"/>
  <c r="R86" i="85"/>
  <c r="R71" i="85"/>
  <c r="R95" i="85"/>
  <c r="H102" i="88"/>
  <c r="T116" i="77"/>
  <c r="F98" i="75"/>
  <c r="F90" i="75"/>
  <c r="F89" i="75"/>
  <c r="F74" i="75"/>
  <c r="F70" i="75"/>
  <c r="F113" i="75"/>
  <c r="F112" i="75"/>
  <c r="F105" i="75"/>
  <c r="F81" i="75"/>
  <c r="F65" i="75"/>
  <c r="F61" i="75"/>
  <c r="F57" i="75"/>
  <c r="F56" i="75"/>
  <c r="F100" i="75"/>
  <c r="F99" i="75"/>
  <c r="F92" i="75"/>
  <c r="F91" i="75"/>
  <c r="F83" i="75"/>
  <c r="F82" i="75"/>
  <c r="F75" i="75"/>
  <c r="F71" i="75"/>
  <c r="F67" i="75"/>
  <c r="F66" i="75"/>
  <c r="F101" i="75"/>
  <c r="F85" i="75"/>
  <c r="F84" i="75"/>
  <c r="F49" i="75"/>
  <c r="F45" i="75"/>
  <c r="F41" i="75"/>
  <c r="F37" i="75"/>
  <c r="F117" i="75"/>
  <c r="F96" i="75"/>
  <c r="F95" i="75"/>
  <c r="F76" i="75"/>
  <c r="F72" i="75"/>
  <c r="F68" i="75"/>
  <c r="F119" i="75"/>
  <c r="F86" i="75"/>
  <c r="F78" i="75"/>
  <c r="F77" i="75"/>
  <c r="F50" i="75"/>
  <c r="F46" i="75"/>
  <c r="F109" i="75"/>
  <c r="F108" i="75"/>
  <c r="F87" i="75"/>
  <c r="F69" i="75"/>
  <c r="F43" i="75"/>
  <c r="F114" i="75"/>
  <c r="F104" i="75"/>
  <c r="F97" i="75"/>
  <c r="F63" i="75"/>
  <c r="F59" i="75"/>
  <c r="F53" i="75"/>
  <c r="F44" i="75"/>
  <c r="F110" i="75"/>
  <c r="F93" i="75"/>
  <c r="D53" i="75"/>
  <c r="F102" i="75"/>
  <c r="F88" i="75"/>
  <c r="F47" i="75"/>
  <c r="F38" i="75"/>
  <c r="F106" i="75"/>
  <c r="F79" i="75"/>
  <c r="F123" i="75"/>
  <c r="F118" i="75"/>
  <c r="F35" i="75"/>
  <c r="F55" i="75"/>
  <c r="F39" i="75"/>
  <c r="F111" i="75"/>
  <c r="F62" i="75"/>
  <c r="L12" i="75"/>
  <c r="N12" i="75" s="1"/>
  <c r="F73" i="75"/>
  <c r="F40" i="75"/>
  <c r="F36" i="75"/>
  <c r="F42" i="75"/>
  <c r="F48" i="75"/>
  <c r="F107" i="75"/>
  <c r="F60" i="75"/>
  <c r="F103" i="75"/>
  <c r="F80" i="75"/>
  <c r="F58" i="75"/>
  <c r="F94" i="75"/>
  <c r="F116" i="75"/>
  <c r="F51" i="75"/>
  <c r="F64" i="75"/>
  <c r="T107" i="64"/>
  <c r="Z16" i="64"/>
  <c r="X16" i="64"/>
  <c r="P79" i="70"/>
  <c r="X22" i="70"/>
  <c r="T73" i="59"/>
  <c r="H61" i="60"/>
  <c r="N16" i="60"/>
  <c r="P82" i="57"/>
  <c r="X78" i="57"/>
  <c r="H33" i="55"/>
  <c r="N16" i="55"/>
  <c r="T116" i="51"/>
  <c r="R128" i="27"/>
  <c r="R122" i="27"/>
  <c r="R123" i="27"/>
  <c r="R118" i="27"/>
  <c r="R111" i="27"/>
  <c r="R110" i="27"/>
  <c r="R87" i="27"/>
  <c r="R86" i="27"/>
  <c r="R63" i="27"/>
  <c r="R58" i="27"/>
  <c r="R54" i="27"/>
  <c r="R50" i="27"/>
  <c r="R46" i="27"/>
  <c r="R81" i="27"/>
  <c r="R77" i="27"/>
  <c r="R62" i="27"/>
  <c r="R42" i="27"/>
  <c r="R121" i="27"/>
  <c r="R120" i="27"/>
  <c r="R112" i="27"/>
  <c r="R105" i="27"/>
  <c r="R104" i="27"/>
  <c r="R97" i="27"/>
  <c r="R96" i="27"/>
  <c r="R88" i="27"/>
  <c r="R72" i="27"/>
  <c r="R68" i="27"/>
  <c r="R64" i="27"/>
  <c r="P60" i="27"/>
  <c r="X12" i="27"/>
  <c r="Z12" i="27" s="1"/>
  <c r="R55" i="27"/>
  <c r="R51" i="27"/>
  <c r="R47" i="27"/>
  <c r="R43" i="27"/>
  <c r="R107" i="27"/>
  <c r="R106" i="27"/>
  <c r="R99" i="27"/>
  <c r="R98" i="27"/>
  <c r="R82" i="27"/>
  <c r="R78" i="27"/>
  <c r="R114" i="27"/>
  <c r="R113" i="27"/>
  <c r="R90" i="27"/>
  <c r="R89" i="27"/>
  <c r="R74" i="27"/>
  <c r="R73" i="27"/>
  <c r="R69" i="27"/>
  <c r="R65" i="27"/>
  <c r="R108" i="27"/>
  <c r="R101" i="27"/>
  <c r="R100" i="27"/>
  <c r="R56" i="27"/>
  <c r="R52" i="27"/>
  <c r="R48" i="27"/>
  <c r="R44" i="27"/>
  <c r="R116" i="27"/>
  <c r="R115" i="27"/>
  <c r="R92" i="27"/>
  <c r="R91" i="27"/>
  <c r="R83" i="27"/>
  <c r="R79" i="27"/>
  <c r="R75" i="27"/>
  <c r="R124" i="27"/>
  <c r="R85" i="27"/>
  <c r="R84" i="27"/>
  <c r="R80" i="27"/>
  <c r="R76" i="27"/>
  <c r="R49" i="27"/>
  <c r="R95" i="27"/>
  <c r="R45" i="27"/>
  <c r="R66" i="27"/>
  <c r="R117" i="27"/>
  <c r="R109" i="27"/>
  <c r="R93" i="27"/>
  <c r="R71" i="27"/>
  <c r="R94" i="27"/>
  <c r="R102" i="27"/>
  <c r="R67" i="27"/>
  <c r="R57" i="27"/>
  <c r="R53" i="27"/>
  <c r="R70" i="27"/>
  <c r="R103" i="27"/>
  <c r="R107" i="21"/>
  <c r="R106" i="21"/>
  <c r="R90" i="21"/>
  <c r="R75" i="21"/>
  <c r="R74" i="21"/>
  <c r="R63" i="21"/>
  <c r="R62" i="21"/>
  <c r="R55" i="21"/>
  <c r="R54" i="21"/>
  <c r="R101" i="21"/>
  <c r="R97" i="21"/>
  <c r="R49" i="21"/>
  <c r="R45" i="21"/>
  <c r="R109" i="21"/>
  <c r="R108" i="21"/>
  <c r="R85" i="21"/>
  <c r="R84" i="21"/>
  <c r="R91" i="21"/>
  <c r="R32" i="21"/>
  <c r="R27" i="21"/>
  <c r="R111" i="21"/>
  <c r="R110" i="21"/>
  <c r="R102" i="21"/>
  <c r="R98" i="21"/>
  <c r="R86" i="21"/>
  <c r="R79" i="21"/>
  <c r="R78" i="21"/>
  <c r="R67" i="21"/>
  <c r="R66" i="21"/>
  <c r="R59" i="21"/>
  <c r="R58" i="21"/>
  <c r="R50" i="21"/>
  <c r="R46" i="21"/>
  <c r="R31" i="21"/>
  <c r="R112" i="21"/>
  <c r="R92" i="21"/>
  <c r="R81" i="21"/>
  <c r="R80" i="21"/>
  <c r="R69" i="21"/>
  <c r="R68" i="21"/>
  <c r="R60" i="21"/>
  <c r="R118" i="21"/>
  <c r="R105" i="21"/>
  <c r="R104" i="21"/>
  <c r="R100" i="21"/>
  <c r="R73" i="21"/>
  <c r="R72" i="21"/>
  <c r="R53" i="21"/>
  <c r="R52" i="21"/>
  <c r="R48" i="21"/>
  <c r="R44" i="21"/>
  <c r="R96" i="21"/>
  <c r="R93" i="21"/>
  <c r="R87" i="21"/>
  <c r="R64" i="21"/>
  <c r="R38" i="21"/>
  <c r="R24" i="21"/>
  <c r="R41" i="21"/>
  <c r="R70" i="21"/>
  <c r="R65" i="21"/>
  <c r="R103" i="21"/>
  <c r="R99" i="21"/>
  <c r="R94" i="21"/>
  <c r="R88" i="21"/>
  <c r="R83" i="21"/>
  <c r="R39" i="21"/>
  <c r="R71" i="21"/>
  <c r="R51" i="21"/>
  <c r="R47" i="21"/>
  <c r="R56" i="21"/>
  <c r="R34" i="21"/>
  <c r="P29" i="21"/>
  <c r="R25" i="21"/>
  <c r="R76" i="21"/>
  <c r="R43" i="21"/>
  <c r="R37" i="21"/>
  <c r="R61" i="21"/>
  <c r="R95" i="21"/>
  <c r="R57" i="21"/>
  <c r="R40" i="21"/>
  <c r="X12" i="21"/>
  <c r="Z12" i="21" s="1"/>
  <c r="R82" i="21"/>
  <c r="R26" i="21"/>
  <c r="R114" i="21"/>
  <c r="R77" i="21"/>
  <c r="R36" i="21"/>
  <c r="R42" i="21"/>
  <c r="R89" i="21"/>
  <c r="R35" i="21"/>
  <c r="R33" i="21"/>
  <c r="H320" i="3"/>
  <c r="R269" i="15"/>
  <c r="R257" i="15"/>
  <c r="R256" i="15"/>
  <c r="R241" i="15"/>
  <c r="R237" i="15"/>
  <c r="R225" i="15"/>
  <c r="R210" i="15"/>
  <c r="R209" i="15"/>
  <c r="R193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58" i="15"/>
  <c r="R249" i="15"/>
  <c r="R248" i="15"/>
  <c r="R220" i="15"/>
  <c r="R201" i="15"/>
  <c r="R200" i="15"/>
  <c r="R180" i="15"/>
  <c r="R176" i="15"/>
  <c r="R105" i="15"/>
  <c r="R260" i="15"/>
  <c r="R250" i="15"/>
  <c r="R242" i="15"/>
  <c r="R238" i="15"/>
  <c r="R226" i="15"/>
  <c r="R203" i="15"/>
  <c r="R202" i="15"/>
  <c r="R195" i="15"/>
  <c r="R194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62" i="15"/>
  <c r="R233" i="15"/>
  <c r="R232" i="15"/>
  <c r="R205" i="15"/>
  <c r="R204" i="15"/>
  <c r="R196" i="15"/>
  <c r="R264" i="15"/>
  <c r="R234" i="15"/>
  <c r="R223" i="15"/>
  <c r="R222" i="15"/>
  <c r="R206" i="15"/>
  <c r="R183" i="15"/>
  <c r="R182" i="15"/>
  <c r="R178" i="15"/>
  <c r="R174" i="15"/>
  <c r="R253" i="15"/>
  <c r="R252" i="15"/>
  <c r="R240" i="15"/>
  <c r="R224" i="15"/>
  <c r="R192" i="15"/>
  <c r="R185" i="15"/>
  <c r="R184" i="15"/>
  <c r="R161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51" i="15"/>
  <c r="R246" i="15"/>
  <c r="R244" i="15"/>
  <c r="R236" i="15"/>
  <c r="R208" i="15"/>
  <c r="R191" i="15"/>
  <c r="R170" i="15"/>
  <c r="R160" i="15"/>
  <c r="R265" i="15"/>
  <c r="R198" i="15"/>
  <c r="R168" i="15"/>
  <c r="R163" i="15"/>
  <c r="R231" i="15"/>
  <c r="R229" i="15"/>
  <c r="R217" i="15"/>
  <c r="R211" i="15"/>
  <c r="R151" i="15"/>
  <c r="R139" i="15"/>
  <c r="R127" i="15"/>
  <c r="R115" i="15"/>
  <c r="R247" i="15"/>
  <c r="R212" i="15"/>
  <c r="R189" i="15"/>
  <c r="R181" i="15"/>
  <c r="R179" i="15"/>
  <c r="R263" i="15"/>
  <c r="R199" i="15"/>
  <c r="R186" i="15"/>
  <c r="R171" i="15"/>
  <c r="R245" i="15"/>
  <c r="R218" i="15"/>
  <c r="R215" i="15"/>
  <c r="R177" i="15"/>
  <c r="R172" i="15"/>
  <c r="R166" i="15"/>
  <c r="R254" i="15"/>
  <c r="R239" i="15"/>
  <c r="R227" i="15"/>
  <c r="R190" i="15"/>
  <c r="R169" i="15"/>
  <c r="R164" i="15"/>
  <c r="R147" i="15"/>
  <c r="R135" i="15"/>
  <c r="R123" i="15"/>
  <c r="R111" i="15"/>
  <c r="R175" i="15"/>
  <c r="R261" i="15"/>
  <c r="R243" i="15"/>
  <c r="R235" i="15"/>
  <c r="R219" i="15"/>
  <c r="R213" i="15"/>
  <c r="R207" i="15"/>
  <c r="R167" i="15"/>
  <c r="R158" i="15"/>
  <c r="R259" i="15"/>
  <c r="R188" i="15"/>
  <c r="R155" i="15"/>
  <c r="R143" i="15"/>
  <c r="R131" i="15"/>
  <c r="R119" i="15"/>
  <c r="R107" i="15"/>
  <c r="X12" i="15"/>
  <c r="Z12" i="15" s="1"/>
  <c r="P158" i="15"/>
  <c r="R228" i="15"/>
  <c r="R221" i="15"/>
  <c r="R187" i="15"/>
  <c r="R230" i="15"/>
  <c r="R165" i="15"/>
  <c r="R173" i="15"/>
  <c r="R214" i="15"/>
  <c r="R216" i="15"/>
  <c r="R162" i="15"/>
  <c r="R197" i="15"/>
  <c r="P27" i="112"/>
  <c r="X18" i="112"/>
  <c r="X18" i="52"/>
  <c r="P27" i="52"/>
  <c r="L18" i="52"/>
  <c r="D27" i="52"/>
  <c r="H27" i="50"/>
  <c r="N18" i="50"/>
  <c r="L18" i="50"/>
  <c r="D27" i="50"/>
  <c r="L18" i="37"/>
  <c r="D27" i="37"/>
  <c r="X18" i="34"/>
  <c r="P27" i="34"/>
  <c r="T27" i="31"/>
  <c r="Z18" i="31"/>
  <c r="L18" i="29"/>
  <c r="D27" i="29"/>
  <c r="D27" i="19"/>
  <c r="L18" i="19"/>
  <c r="H27" i="16"/>
  <c r="N18" i="16"/>
  <c r="H27" i="11"/>
  <c r="N18" i="11"/>
  <c r="X18" i="8"/>
  <c r="P27" i="8"/>
  <c r="F120" i="42"/>
  <c r="F108" i="42"/>
  <c r="F104" i="42"/>
  <c r="F122" i="42"/>
  <c r="F121" i="42"/>
  <c r="F114" i="42"/>
  <c r="F94" i="42"/>
  <c r="F125" i="42"/>
  <c r="F116" i="42"/>
  <c r="F115" i="42"/>
  <c r="F100" i="42"/>
  <c r="F126" i="42"/>
  <c r="F124" i="42"/>
  <c r="F127" i="42"/>
  <c r="F118" i="42"/>
  <c r="F117" i="42"/>
  <c r="F110" i="42"/>
  <c r="F106" i="42"/>
  <c r="F102" i="42"/>
  <c r="F101" i="42"/>
  <c r="F113" i="42"/>
  <c r="F95" i="42"/>
  <c r="F76" i="42"/>
  <c r="F75" i="42"/>
  <c r="F60" i="42"/>
  <c r="F59" i="42"/>
  <c r="F52" i="42"/>
  <c r="F48" i="42"/>
  <c r="D30" i="42"/>
  <c r="F91" i="42"/>
  <c r="F67" i="42"/>
  <c r="F66" i="42"/>
  <c r="F43" i="42"/>
  <c r="F39" i="42"/>
  <c r="F35" i="42"/>
  <c r="F119" i="42"/>
  <c r="F98" i="42"/>
  <c r="F111" i="42"/>
  <c r="F93" i="42"/>
  <c r="F80" i="42"/>
  <c r="F79" i="42"/>
  <c r="F40" i="42"/>
  <c r="F36" i="42"/>
  <c r="F109" i="42"/>
  <c r="F96" i="42"/>
  <c r="F82" i="42"/>
  <c r="F81" i="42"/>
  <c r="F54" i="42"/>
  <c r="F50" i="42"/>
  <c r="F46" i="42"/>
  <c r="F107" i="42"/>
  <c r="F89" i="42"/>
  <c r="F88" i="42"/>
  <c r="F73" i="42"/>
  <c r="F72" i="42"/>
  <c r="F41" i="42"/>
  <c r="F37" i="42"/>
  <c r="F132" i="42"/>
  <c r="F128" i="42"/>
  <c r="F112" i="42"/>
  <c r="F97" i="42"/>
  <c r="F90" i="42"/>
  <c r="F74" i="42"/>
  <c r="F58" i="42"/>
  <c r="F57" i="42"/>
  <c r="F42" i="42"/>
  <c r="F38" i="42"/>
  <c r="F34" i="42"/>
  <c r="F33" i="42"/>
  <c r="F103" i="42"/>
  <c r="F83" i="42"/>
  <c r="F78" i="42"/>
  <c r="F70" i="42"/>
  <c r="F63" i="42"/>
  <c r="F45" i="42"/>
  <c r="F25" i="42"/>
  <c r="F65" i="42"/>
  <c r="F32" i="42"/>
  <c r="L12" i="42"/>
  <c r="N12" i="42" s="1"/>
  <c r="F105" i="42"/>
  <c r="F92" i="42"/>
  <c r="F71" i="42"/>
  <c r="F61" i="42"/>
  <c r="F56" i="42"/>
  <c r="F53" i="42"/>
  <c r="F84" i="42"/>
  <c r="F28" i="42"/>
  <c r="F26" i="42"/>
  <c r="F86" i="42"/>
  <c r="F68" i="42"/>
  <c r="F51" i="42"/>
  <c r="F62" i="42"/>
  <c r="F85" i="42"/>
  <c r="F30" i="42"/>
  <c r="F27" i="42"/>
  <c r="F64" i="42"/>
  <c r="F47" i="42"/>
  <c r="F49" i="42"/>
  <c r="F55" i="42"/>
  <c r="F44" i="42"/>
  <c r="F77" i="42"/>
  <c r="F69" i="42"/>
  <c r="F99" i="42"/>
  <c r="F87" i="42"/>
  <c r="T320" i="3"/>
  <c r="Z196" i="3"/>
  <c r="N18" i="17"/>
  <c r="H27" i="17"/>
  <c r="F23" i="105"/>
  <c r="F85" i="104"/>
  <c r="F84" i="104"/>
  <c r="F69" i="104"/>
  <c r="F68" i="104"/>
  <c r="F61" i="104"/>
  <c r="F60" i="104"/>
  <c r="F49" i="104"/>
  <c r="F48" i="104"/>
  <c r="F21" i="104"/>
  <c r="F44" i="104"/>
  <c r="F40" i="104"/>
  <c r="F87" i="104"/>
  <c r="F86" i="104"/>
  <c r="F79" i="104"/>
  <c r="F75" i="104"/>
  <c r="F63" i="104"/>
  <c r="F62" i="104"/>
  <c r="F51" i="104"/>
  <c r="F50" i="104"/>
  <c r="F35" i="104"/>
  <c r="F31" i="104"/>
  <c r="F27" i="104"/>
  <c r="F26" i="104"/>
  <c r="F70" i="104"/>
  <c r="F25" i="104"/>
  <c r="F65" i="104"/>
  <c r="F64" i="104"/>
  <c r="F53" i="104"/>
  <c r="F52" i="104"/>
  <c r="F45" i="104"/>
  <c r="F41" i="104"/>
  <c r="F88" i="104"/>
  <c r="F80" i="104"/>
  <c r="F76" i="104"/>
  <c r="F36" i="104"/>
  <c r="F32" i="104"/>
  <c r="F28" i="104"/>
  <c r="L12" i="104"/>
  <c r="N12" i="104" s="1"/>
  <c r="F71" i="104"/>
  <c r="F55" i="104"/>
  <c r="F54" i="104"/>
  <c r="F19" i="104"/>
  <c r="F18" i="104"/>
  <c r="F66" i="104"/>
  <c r="F46" i="104"/>
  <c r="F42" i="104"/>
  <c r="F38" i="104"/>
  <c r="F37" i="104"/>
  <c r="F90" i="104"/>
  <c r="F81" i="104"/>
  <c r="F77" i="104"/>
  <c r="F57" i="104"/>
  <c r="F56" i="104"/>
  <c r="F33" i="104"/>
  <c r="F29" i="104"/>
  <c r="F94" i="104"/>
  <c r="F72" i="104"/>
  <c r="F20" i="104"/>
  <c r="F78" i="104"/>
  <c r="F67" i="104"/>
  <c r="F30" i="104"/>
  <c r="F82" i="104"/>
  <c r="F73" i="104"/>
  <c r="F43" i="104"/>
  <c r="F34" i="104"/>
  <c r="F58" i="104"/>
  <c r="F47" i="104"/>
  <c r="D23" i="104"/>
  <c r="F23" i="104" s="1"/>
  <c r="F83" i="104"/>
  <c r="F74" i="104"/>
  <c r="F39" i="104"/>
  <c r="F59" i="104"/>
  <c r="P53" i="100"/>
  <c r="X17" i="100"/>
  <c r="D91" i="102"/>
  <c r="L23" i="102"/>
  <c r="N23" i="102" s="1"/>
  <c r="T47" i="99"/>
  <c r="Z19" i="99"/>
  <c r="T63" i="103"/>
  <c r="Z16" i="103"/>
  <c r="T94" i="98"/>
  <c r="F49" i="99"/>
  <c r="F31" i="99"/>
  <c r="F30" i="99"/>
  <c r="F38" i="99"/>
  <c r="F37" i="99"/>
  <c r="F26" i="99"/>
  <c r="F40" i="99"/>
  <c r="F39" i="99"/>
  <c r="F32" i="99"/>
  <c r="F41" i="99"/>
  <c r="F33" i="99"/>
  <c r="D19" i="99"/>
  <c r="F28" i="99"/>
  <c r="F24" i="99"/>
  <c r="F43" i="99"/>
  <c r="F42" i="99"/>
  <c r="F29" i="99"/>
  <c r="F25" i="99"/>
  <c r="F36" i="99"/>
  <c r="F21" i="99"/>
  <c r="L12" i="99"/>
  <c r="F22" i="99"/>
  <c r="F17" i="99"/>
  <c r="F45" i="99"/>
  <c r="F34" i="99"/>
  <c r="F27" i="99"/>
  <c r="F23" i="99"/>
  <c r="F19" i="99"/>
  <c r="F35" i="99"/>
  <c r="F16" i="99"/>
  <c r="R76" i="96"/>
  <c r="R75" i="96"/>
  <c r="R71" i="96"/>
  <c r="R64" i="96"/>
  <c r="R63" i="96"/>
  <c r="R95" i="96"/>
  <c r="R94" i="96"/>
  <c r="R86" i="96"/>
  <c r="R82" i="96"/>
  <c r="R54" i="96"/>
  <c r="R77" i="96"/>
  <c r="R66" i="96"/>
  <c r="R65" i="96"/>
  <c r="R96" i="96"/>
  <c r="R72" i="96"/>
  <c r="R84" i="96"/>
  <c r="R80" i="96"/>
  <c r="R68" i="96"/>
  <c r="R103" i="96"/>
  <c r="R92" i="96"/>
  <c r="R91" i="96"/>
  <c r="R60" i="96"/>
  <c r="R59" i="96"/>
  <c r="R52" i="96"/>
  <c r="R51" i="96"/>
  <c r="R74" i="96"/>
  <c r="R42" i="96"/>
  <c r="R38" i="96"/>
  <c r="X12" i="96"/>
  <c r="Z12" i="96" s="1"/>
  <c r="R69" i="96"/>
  <c r="R57" i="96"/>
  <c r="R49" i="96"/>
  <c r="R33" i="96"/>
  <c r="R29" i="96"/>
  <c r="R50" i="96"/>
  <c r="R25" i="96"/>
  <c r="R20" i="96"/>
  <c r="R98" i="96"/>
  <c r="R89" i="96"/>
  <c r="R58" i="96"/>
  <c r="R43" i="96"/>
  <c r="R39" i="96"/>
  <c r="R24" i="96"/>
  <c r="R78" i="96"/>
  <c r="R67" i="96"/>
  <c r="R61" i="96"/>
  <c r="R35" i="96"/>
  <c r="R34" i="96"/>
  <c r="R30" i="96"/>
  <c r="R26" i="96"/>
  <c r="P22" i="96"/>
  <c r="R22" i="96" s="1"/>
  <c r="R87" i="96"/>
  <c r="R70" i="96"/>
  <c r="R85" i="96"/>
  <c r="R83" i="96"/>
  <c r="R55" i="96"/>
  <c r="R44" i="96"/>
  <c r="R40" i="96"/>
  <c r="R36" i="96"/>
  <c r="R17" i="96"/>
  <c r="R90" i="96"/>
  <c r="R81" i="96"/>
  <c r="R31" i="96"/>
  <c r="R27" i="96"/>
  <c r="R79" i="96"/>
  <c r="R62" i="96"/>
  <c r="R18" i="96"/>
  <c r="R99" i="96"/>
  <c r="R93" i="96"/>
  <c r="R88" i="96"/>
  <c r="R56" i="96"/>
  <c r="R53" i="96"/>
  <c r="R46" i="96"/>
  <c r="R45" i="96"/>
  <c r="R41" i="96"/>
  <c r="R37" i="96"/>
  <c r="R32" i="96"/>
  <c r="R28" i="96"/>
  <c r="R47" i="96"/>
  <c r="R73" i="96"/>
  <c r="R19" i="96"/>
  <c r="R48" i="96"/>
  <c r="H86" i="95"/>
  <c r="R83" i="94"/>
  <c r="R72" i="94"/>
  <c r="R71" i="94"/>
  <c r="R67" i="94"/>
  <c r="R73" i="94"/>
  <c r="R75" i="94"/>
  <c r="R74" i="94"/>
  <c r="R79" i="94"/>
  <c r="R36" i="94"/>
  <c r="R35" i="94"/>
  <c r="R31" i="94"/>
  <c r="R27" i="94"/>
  <c r="P23" i="94"/>
  <c r="R63" i="94"/>
  <c r="R62" i="94"/>
  <c r="R55" i="94"/>
  <c r="R54" i="94"/>
  <c r="R76" i="94"/>
  <c r="R70" i="94"/>
  <c r="R45" i="94"/>
  <c r="R41" i="94"/>
  <c r="R37" i="94"/>
  <c r="R18" i="94"/>
  <c r="R68" i="94"/>
  <c r="R64" i="94"/>
  <c r="R57" i="94"/>
  <c r="R56" i="94"/>
  <c r="R32" i="94"/>
  <c r="R28" i="94"/>
  <c r="X12" i="94"/>
  <c r="Z12" i="94" s="1"/>
  <c r="R65" i="94"/>
  <c r="R19" i="94"/>
  <c r="R59" i="94"/>
  <c r="R58" i="94"/>
  <c r="R47" i="94"/>
  <c r="R46" i="94"/>
  <c r="R42" i="94"/>
  <c r="R38" i="94"/>
  <c r="R60" i="94"/>
  <c r="R49" i="94"/>
  <c r="R48" i="94"/>
  <c r="R20" i="94"/>
  <c r="R61" i="94"/>
  <c r="R26" i="94"/>
  <c r="R21" i="94"/>
  <c r="R30" i="94"/>
  <c r="R43" i="94"/>
  <c r="R34" i="94"/>
  <c r="R39" i="94"/>
  <c r="R78" i="94"/>
  <c r="R69" i="94"/>
  <c r="R52" i="94"/>
  <c r="R29" i="94"/>
  <c r="R33" i="94"/>
  <c r="R25" i="94"/>
  <c r="R50" i="94"/>
  <c r="R44" i="94"/>
  <c r="R66" i="94"/>
  <c r="R51" i="94"/>
  <c r="R40" i="94"/>
  <c r="R23" i="94"/>
  <c r="R53" i="94"/>
  <c r="F68" i="89"/>
  <c r="F52" i="89"/>
  <c r="F51" i="89"/>
  <c r="F44" i="89"/>
  <c r="F40" i="89"/>
  <c r="F74" i="89"/>
  <c r="F81" i="89"/>
  <c r="F80" i="89"/>
  <c r="F69" i="89"/>
  <c r="F83" i="89"/>
  <c r="F82" i="89"/>
  <c r="F89" i="89"/>
  <c r="F67" i="89"/>
  <c r="F66" i="89"/>
  <c r="F59" i="89"/>
  <c r="F58" i="89"/>
  <c r="F43" i="89"/>
  <c r="F39" i="89"/>
  <c r="F77" i="89"/>
  <c r="F71" i="89"/>
  <c r="F27" i="89"/>
  <c r="F30" i="89"/>
  <c r="F60" i="89"/>
  <c r="F56" i="89"/>
  <c r="F46" i="89"/>
  <c r="F36" i="89"/>
  <c r="F33" i="89"/>
  <c r="F78" i="89"/>
  <c r="F64" i="89"/>
  <c r="F20" i="89"/>
  <c r="F72" i="89"/>
  <c r="F61" i="89"/>
  <c r="F57" i="89"/>
  <c r="F47" i="89"/>
  <c r="F37" i="89"/>
  <c r="F75" i="89"/>
  <c r="F48" i="89"/>
  <c r="F31" i="89"/>
  <c r="F28" i="89"/>
  <c r="F53" i="89"/>
  <c r="F34" i="89"/>
  <c r="F21" i="89"/>
  <c r="F62" i="89"/>
  <c r="F54" i="89"/>
  <c r="F49" i="89"/>
  <c r="F35" i="89"/>
  <c r="F32" i="89"/>
  <c r="F29" i="89"/>
  <c r="D23" i="89"/>
  <c r="F18" i="89"/>
  <c r="F55" i="89"/>
  <c r="F45" i="89"/>
  <c r="F42" i="89"/>
  <c r="F26" i="89"/>
  <c r="F25" i="89"/>
  <c r="F19" i="89"/>
  <c r="F73" i="89"/>
  <c r="F23" i="89"/>
  <c r="F38" i="89"/>
  <c r="F79" i="89"/>
  <c r="F70" i="89"/>
  <c r="F63" i="89"/>
  <c r="F65" i="89"/>
  <c r="F76" i="89"/>
  <c r="F41" i="89"/>
  <c r="F85" i="89"/>
  <c r="F50" i="89"/>
  <c r="L12" i="89"/>
  <c r="N12" i="89" s="1"/>
  <c r="P95" i="92"/>
  <c r="X16" i="92"/>
  <c r="F94" i="88"/>
  <c r="F93" i="88"/>
  <c r="F77" i="88"/>
  <c r="F76" i="88"/>
  <c r="F69" i="88"/>
  <c r="F61" i="88"/>
  <c r="F60" i="88"/>
  <c r="F53" i="88"/>
  <c r="F52" i="88"/>
  <c r="F24" i="88"/>
  <c r="F100" i="88"/>
  <c r="F44" i="88"/>
  <c r="F40" i="88"/>
  <c r="F36" i="88"/>
  <c r="F35" i="88"/>
  <c r="D22" i="88"/>
  <c r="F22" i="88" s="1"/>
  <c r="F87" i="88"/>
  <c r="F83" i="88"/>
  <c r="F71" i="88"/>
  <c r="F70" i="88"/>
  <c r="F63" i="88"/>
  <c r="F62" i="88"/>
  <c r="F31" i="88"/>
  <c r="F27" i="88"/>
  <c r="F78" i="88"/>
  <c r="F54" i="88"/>
  <c r="F18" i="88"/>
  <c r="F17" i="88"/>
  <c r="F73" i="88"/>
  <c r="F72" i="88"/>
  <c r="F65" i="88"/>
  <c r="F64" i="88"/>
  <c r="F45" i="88"/>
  <c r="F41" i="88"/>
  <c r="F37" i="88"/>
  <c r="F88" i="88"/>
  <c r="F84" i="88"/>
  <c r="F80" i="88"/>
  <c r="F79" i="88"/>
  <c r="F32" i="88"/>
  <c r="F28" i="88"/>
  <c r="F67" i="88"/>
  <c r="F66" i="88"/>
  <c r="F55" i="88"/>
  <c r="F47" i="88"/>
  <c r="F46" i="88"/>
  <c r="F19" i="88"/>
  <c r="F91" i="88"/>
  <c r="F68" i="88"/>
  <c r="F20" i="88"/>
  <c r="F86" i="88"/>
  <c r="F82" i="88"/>
  <c r="F50" i="88"/>
  <c r="F42" i="88"/>
  <c r="F38" i="88"/>
  <c r="F96" i="88"/>
  <c r="F59" i="88"/>
  <c r="F48" i="88"/>
  <c r="F89" i="88"/>
  <c r="F57" i="88"/>
  <c r="F34" i="88"/>
  <c r="F30" i="88"/>
  <c r="F26" i="88"/>
  <c r="F85" i="88"/>
  <c r="F74" i="88"/>
  <c r="F81" i="88"/>
  <c r="F51" i="88"/>
  <c r="L12" i="88"/>
  <c r="N12" i="88" s="1"/>
  <c r="F49" i="88"/>
  <c r="F43" i="88"/>
  <c r="F39" i="88"/>
  <c r="F92" i="88"/>
  <c r="F90" i="88"/>
  <c r="F33" i="88"/>
  <c r="F29" i="88"/>
  <c r="F75" i="88"/>
  <c r="F56" i="88"/>
  <c r="F25" i="88"/>
  <c r="F58" i="88"/>
  <c r="T126" i="85"/>
  <c r="H32" i="86"/>
  <c r="T96" i="76"/>
  <c r="V93" i="76"/>
  <c r="H78" i="79"/>
  <c r="J74" i="79"/>
  <c r="F80" i="74"/>
  <c r="F79" i="74"/>
  <c r="F64" i="74"/>
  <c r="F60" i="74"/>
  <c r="L12" i="74"/>
  <c r="N12" i="74" s="1"/>
  <c r="F91" i="74"/>
  <c r="F90" i="74"/>
  <c r="F51" i="74"/>
  <c r="F47" i="74"/>
  <c r="F43" i="74"/>
  <c r="F39" i="74"/>
  <c r="F74" i="74"/>
  <c r="F70" i="74"/>
  <c r="F93" i="74"/>
  <c r="F92" i="74"/>
  <c r="F81" i="74"/>
  <c r="F65" i="74"/>
  <c r="F61" i="74"/>
  <c r="F52" i="74"/>
  <c r="F48" i="74"/>
  <c r="F44" i="74"/>
  <c r="F40" i="74"/>
  <c r="F83" i="74"/>
  <c r="F82" i="74"/>
  <c r="F75" i="74"/>
  <c r="F71" i="74"/>
  <c r="F67" i="74"/>
  <c r="F66" i="74"/>
  <c r="F95" i="74"/>
  <c r="F62" i="74"/>
  <c r="F58" i="74"/>
  <c r="F57" i="74"/>
  <c r="F99" i="74"/>
  <c r="F85" i="74"/>
  <c r="F84" i="74"/>
  <c r="F56" i="74"/>
  <c r="F54" i="74"/>
  <c r="F49" i="74"/>
  <c r="F45" i="74"/>
  <c r="F41" i="74"/>
  <c r="F37" i="74"/>
  <c r="F36" i="74"/>
  <c r="F76" i="74"/>
  <c r="F72" i="74"/>
  <c r="F68" i="74"/>
  <c r="D54" i="74"/>
  <c r="F78" i="74"/>
  <c r="F77" i="74"/>
  <c r="F50" i="74"/>
  <c r="F46" i="74"/>
  <c r="F42" i="74"/>
  <c r="F38" i="74"/>
  <c r="F87" i="74"/>
  <c r="F69" i="74"/>
  <c r="F73" i="74"/>
  <c r="F88" i="74"/>
  <c r="F63" i="74"/>
  <c r="F86" i="74"/>
  <c r="F89" i="74"/>
  <c r="F59" i="74"/>
  <c r="T65" i="60"/>
  <c r="D78" i="57"/>
  <c r="L16" i="57"/>
  <c r="H81" i="56"/>
  <c r="N16" i="56"/>
  <c r="L31" i="36"/>
  <c r="N31" i="36" s="1"/>
  <c r="D137" i="36"/>
  <c r="T133" i="27"/>
  <c r="V130" i="27"/>
  <c r="H295" i="18"/>
  <c r="H27" i="112"/>
  <c r="N18" i="112"/>
  <c r="X18" i="111"/>
  <c r="P27" i="111"/>
  <c r="H27" i="49"/>
  <c r="N18" i="49"/>
  <c r="H27" i="34"/>
  <c r="N18" i="34"/>
  <c r="H27" i="31"/>
  <c r="N18" i="31"/>
  <c r="X18" i="29"/>
  <c r="P27" i="29"/>
  <c r="X18" i="26"/>
  <c r="P27" i="26"/>
  <c r="P27" i="37"/>
  <c r="X18" i="37"/>
  <c r="L18" i="20"/>
  <c r="D27" i="20"/>
  <c r="L18" i="17"/>
  <c r="D27" i="17"/>
  <c r="P27" i="11"/>
  <c r="X18" i="11"/>
  <c r="T27" i="34"/>
  <c r="Z18" i="34"/>
  <c r="D27" i="5"/>
  <c r="L18" i="5"/>
  <c r="L22" i="80"/>
  <c r="N22" i="80" s="1"/>
  <c r="D81" i="80"/>
  <c r="F119" i="69"/>
  <c r="F110" i="69"/>
  <c r="F102" i="69"/>
  <c r="F101" i="69"/>
  <c r="F78" i="69"/>
  <c r="F74" i="69"/>
  <c r="L12" i="69"/>
  <c r="N12" i="69" s="1"/>
  <c r="F93" i="69"/>
  <c r="F92" i="69"/>
  <c r="F65" i="69"/>
  <c r="F61" i="69"/>
  <c r="F57" i="69"/>
  <c r="F53" i="69"/>
  <c r="F49" i="69"/>
  <c r="F124" i="69"/>
  <c r="F112" i="69"/>
  <c r="F111" i="69"/>
  <c r="F104" i="69"/>
  <c r="F103" i="69"/>
  <c r="F95" i="69"/>
  <c r="F94" i="69"/>
  <c r="F79" i="69"/>
  <c r="F75" i="69"/>
  <c r="F106" i="69"/>
  <c r="F105" i="69"/>
  <c r="F66" i="69"/>
  <c r="F62" i="69"/>
  <c r="F58" i="69"/>
  <c r="F54" i="69"/>
  <c r="F50" i="69"/>
  <c r="F46" i="69"/>
  <c r="F45" i="69"/>
  <c r="F113" i="69"/>
  <c r="F97" i="69"/>
  <c r="F96" i="69"/>
  <c r="F89" i="69"/>
  <c r="F85" i="69"/>
  <c r="F80" i="69"/>
  <c r="F76" i="69"/>
  <c r="F72" i="69"/>
  <c r="F71" i="69"/>
  <c r="F115" i="69"/>
  <c r="F114" i="69"/>
  <c r="F107" i="69"/>
  <c r="F70" i="69"/>
  <c r="F63" i="69"/>
  <c r="F59" i="69"/>
  <c r="F55" i="69"/>
  <c r="F51" i="69"/>
  <c r="F47" i="69"/>
  <c r="F100" i="69"/>
  <c r="F99" i="69"/>
  <c r="F64" i="69"/>
  <c r="F60" i="69"/>
  <c r="F56" i="69"/>
  <c r="F52" i="69"/>
  <c r="F48" i="69"/>
  <c r="F109" i="69"/>
  <c r="F91" i="69"/>
  <c r="F98" i="69"/>
  <c r="F77" i="69"/>
  <c r="F82" i="69"/>
  <c r="F73" i="69"/>
  <c r="F116" i="69"/>
  <c r="F88" i="69"/>
  <c r="F86" i="69"/>
  <c r="F84" i="69"/>
  <c r="D68" i="69"/>
  <c r="F68" i="69" s="1"/>
  <c r="F108" i="69"/>
  <c r="F90" i="69"/>
  <c r="F120" i="69"/>
  <c r="F117" i="69"/>
  <c r="F83" i="69"/>
  <c r="F87" i="69"/>
  <c r="F81" i="69"/>
  <c r="F87" i="108"/>
  <c r="F86" i="108"/>
  <c r="F79" i="108"/>
  <c r="F74" i="108"/>
  <c r="F58" i="108"/>
  <c r="F57" i="108"/>
  <c r="F34" i="108"/>
  <c r="F69" i="108"/>
  <c r="F49" i="108"/>
  <c r="F48" i="108"/>
  <c r="F88" i="108"/>
  <c r="F80" i="108"/>
  <c r="F76" i="108"/>
  <c r="F75" i="108"/>
  <c r="F60" i="108"/>
  <c r="F59" i="108"/>
  <c r="F44" i="108"/>
  <c r="F40" i="108"/>
  <c r="F51" i="108"/>
  <c r="F50" i="108"/>
  <c r="F70" i="108"/>
  <c r="F62" i="108"/>
  <c r="F61" i="108"/>
  <c r="F90" i="108"/>
  <c r="F81" i="108"/>
  <c r="F77" i="108"/>
  <c r="F45" i="108"/>
  <c r="F41" i="108"/>
  <c r="F94" i="108"/>
  <c r="F72" i="108"/>
  <c r="F71" i="108"/>
  <c r="F64" i="108"/>
  <c r="F63" i="108"/>
  <c r="F52" i="108"/>
  <c r="F83" i="108"/>
  <c r="F82" i="108"/>
  <c r="F78" i="108"/>
  <c r="F66" i="108"/>
  <c r="F65" i="108"/>
  <c r="F54" i="108"/>
  <c r="F53" i="108"/>
  <c r="F46" i="108"/>
  <c r="F42" i="108"/>
  <c r="F38" i="108"/>
  <c r="F37" i="108"/>
  <c r="F85" i="108"/>
  <c r="F84" i="108"/>
  <c r="F73" i="108"/>
  <c r="L12" i="108"/>
  <c r="N12" i="108" s="1"/>
  <c r="F67" i="108"/>
  <c r="F55" i="108"/>
  <c r="F39" i="108"/>
  <c r="F30" i="108"/>
  <c r="F19" i="108"/>
  <c r="F18" i="108"/>
  <c r="F28" i="108"/>
  <c r="F47" i="108"/>
  <c r="F43" i="108"/>
  <c r="F35" i="108"/>
  <c r="F33" i="108"/>
  <c r="F20" i="108"/>
  <c r="F31" i="108"/>
  <c r="F29" i="108"/>
  <c r="F21" i="108"/>
  <c r="F68" i="108"/>
  <c r="F56" i="108"/>
  <c r="F36" i="108"/>
  <c r="F27" i="108"/>
  <c r="F26" i="108"/>
  <c r="F25" i="108"/>
  <c r="F32" i="108"/>
  <c r="D23" i="108"/>
  <c r="P92" i="108"/>
  <c r="X23" i="108"/>
  <c r="N47" i="99"/>
  <c r="H51" i="99"/>
  <c r="R100" i="88"/>
  <c r="R96" i="88"/>
  <c r="R73" i="88"/>
  <c r="R66" i="88"/>
  <c r="R65" i="88"/>
  <c r="R46" i="88"/>
  <c r="R45" i="88"/>
  <c r="R41" i="88"/>
  <c r="R37" i="88"/>
  <c r="R94" i="88"/>
  <c r="R89" i="88"/>
  <c r="R88" i="88"/>
  <c r="R84" i="88"/>
  <c r="R80" i="88"/>
  <c r="R32" i="88"/>
  <c r="R28" i="88"/>
  <c r="R67" i="88"/>
  <c r="R56" i="88"/>
  <c r="R55" i="88"/>
  <c r="R48" i="88"/>
  <c r="R47" i="88"/>
  <c r="R19" i="88"/>
  <c r="R91" i="88"/>
  <c r="R90" i="88"/>
  <c r="R74" i="88"/>
  <c r="R42" i="88"/>
  <c r="R38" i="88"/>
  <c r="X12" i="88"/>
  <c r="Z12" i="88" s="1"/>
  <c r="R85" i="88"/>
  <c r="R81" i="88"/>
  <c r="R58" i="88"/>
  <c r="R57" i="88"/>
  <c r="R50" i="88"/>
  <c r="R49" i="88"/>
  <c r="R33" i="88"/>
  <c r="R29" i="88"/>
  <c r="R68" i="88"/>
  <c r="R25" i="88"/>
  <c r="R20" i="88"/>
  <c r="R76" i="88"/>
  <c r="R75" i="88"/>
  <c r="R60" i="88"/>
  <c r="R59" i="88"/>
  <c r="R52" i="88"/>
  <c r="R51" i="88"/>
  <c r="R43" i="88"/>
  <c r="R39" i="88"/>
  <c r="R24" i="88"/>
  <c r="R93" i="88"/>
  <c r="R44" i="88"/>
  <c r="R40" i="88"/>
  <c r="R36" i="88"/>
  <c r="R17" i="88"/>
  <c r="R78" i="88"/>
  <c r="R34" i="88"/>
  <c r="R30" i="88"/>
  <c r="R26" i="88"/>
  <c r="R61" i="88"/>
  <c r="R87" i="88"/>
  <c r="R83" i="88"/>
  <c r="R72" i="88"/>
  <c r="R70" i="88"/>
  <c r="R18" i="88"/>
  <c r="R53" i="88"/>
  <c r="R35" i="88"/>
  <c r="R79" i="88"/>
  <c r="R64" i="88"/>
  <c r="R62" i="88"/>
  <c r="R92" i="88"/>
  <c r="R31" i="88"/>
  <c r="R27" i="88"/>
  <c r="R77" i="88"/>
  <c r="R86" i="88"/>
  <c r="R82" i="88"/>
  <c r="P22" i="88"/>
  <c r="R22" i="88" s="1"/>
  <c r="R71" i="88"/>
  <c r="R54" i="88"/>
  <c r="R69" i="88"/>
  <c r="R63" i="88"/>
  <c r="P81" i="80"/>
  <c r="X22" i="80"/>
  <c r="Z22" i="80" s="1"/>
  <c r="X22" i="83"/>
  <c r="Z22" i="83" s="1"/>
  <c r="P28" i="83"/>
  <c r="H97" i="74"/>
  <c r="J54" i="74"/>
  <c r="R77" i="73"/>
  <c r="R76" i="73"/>
  <c r="R72" i="73"/>
  <c r="R65" i="73"/>
  <c r="R64" i="73"/>
  <c r="R53" i="73"/>
  <c r="R52" i="73"/>
  <c r="R36" i="73"/>
  <c r="R32" i="73"/>
  <c r="R28" i="73"/>
  <c r="R23" i="73"/>
  <c r="R79" i="73"/>
  <c r="R78" i="73"/>
  <c r="R73" i="73"/>
  <c r="R38" i="73"/>
  <c r="R37" i="73"/>
  <c r="R33" i="73"/>
  <c r="R29" i="73"/>
  <c r="P25" i="73"/>
  <c r="R80" i="73"/>
  <c r="R57" i="73"/>
  <c r="R56" i="73"/>
  <c r="R82" i="73"/>
  <c r="R67" i="73"/>
  <c r="R47" i="73"/>
  <c r="R43" i="73"/>
  <c r="R39" i="73"/>
  <c r="R20" i="73"/>
  <c r="R74" i="73"/>
  <c r="R59" i="73"/>
  <c r="R58" i="73"/>
  <c r="R21" i="73"/>
  <c r="R86" i="73"/>
  <c r="R69" i="73"/>
  <c r="R68" i="73"/>
  <c r="R61" i="73"/>
  <c r="R60" i="73"/>
  <c r="R49" i="73"/>
  <c r="R48" i="73"/>
  <c r="R44" i="73"/>
  <c r="R40" i="73"/>
  <c r="X12" i="73"/>
  <c r="Z12" i="73" s="1"/>
  <c r="R71" i="73"/>
  <c r="R70" i="73"/>
  <c r="R63" i="73"/>
  <c r="R62" i="73"/>
  <c r="R51" i="73"/>
  <c r="R50" i="73"/>
  <c r="R22" i="73"/>
  <c r="R46" i="73"/>
  <c r="R35" i="73"/>
  <c r="R54" i="73"/>
  <c r="R42" i="73"/>
  <c r="R31" i="73"/>
  <c r="R27" i="73"/>
  <c r="R55" i="73"/>
  <c r="R41" i="73"/>
  <c r="R66" i="73"/>
  <c r="R45" i="73"/>
  <c r="R75" i="73"/>
  <c r="R30" i="73"/>
  <c r="R34" i="73"/>
  <c r="R25" i="73"/>
  <c r="H121" i="75"/>
  <c r="R108" i="71"/>
  <c r="R101" i="71"/>
  <c r="R100" i="71"/>
  <c r="R116" i="71"/>
  <c r="R115" i="71"/>
  <c r="R92" i="71"/>
  <c r="R91" i="71"/>
  <c r="R83" i="71"/>
  <c r="R79" i="71"/>
  <c r="R75" i="71"/>
  <c r="R117" i="71"/>
  <c r="R109" i="71"/>
  <c r="R94" i="71"/>
  <c r="R93" i="71"/>
  <c r="R57" i="71"/>
  <c r="R53" i="71"/>
  <c r="R49" i="71"/>
  <c r="R45" i="71"/>
  <c r="R103" i="71"/>
  <c r="R95" i="71"/>
  <c r="R71" i="71"/>
  <c r="R67" i="71"/>
  <c r="R121" i="71"/>
  <c r="R120" i="71"/>
  <c r="R122" i="71"/>
  <c r="R112" i="71"/>
  <c r="R105" i="71"/>
  <c r="R104" i="71"/>
  <c r="R97" i="71"/>
  <c r="R96" i="71"/>
  <c r="R88" i="71"/>
  <c r="R72" i="71"/>
  <c r="R68" i="71"/>
  <c r="R64" i="71"/>
  <c r="P60" i="71"/>
  <c r="R124" i="71"/>
  <c r="R107" i="71"/>
  <c r="R106" i="71"/>
  <c r="R99" i="71"/>
  <c r="R98" i="71"/>
  <c r="R82" i="71"/>
  <c r="R78" i="71"/>
  <c r="R102" i="71"/>
  <c r="R81" i="71"/>
  <c r="R51" i="71"/>
  <c r="R48" i="71"/>
  <c r="R114" i="71"/>
  <c r="R70" i="71"/>
  <c r="R62" i="71"/>
  <c r="R54" i="71"/>
  <c r="R128" i="71"/>
  <c r="R89" i="71"/>
  <c r="R43" i="71"/>
  <c r="R84" i="71"/>
  <c r="R77" i="71"/>
  <c r="R63" i="71"/>
  <c r="R46" i="71"/>
  <c r="R110" i="71"/>
  <c r="R87" i="71"/>
  <c r="X12" i="71"/>
  <c r="Z12" i="71" s="1"/>
  <c r="R123" i="71"/>
  <c r="R73" i="71"/>
  <c r="R66" i="71"/>
  <c r="R55" i="71"/>
  <c r="R52" i="71"/>
  <c r="R90" i="71"/>
  <c r="R85" i="71"/>
  <c r="R58" i="71"/>
  <c r="R80" i="71"/>
  <c r="R47" i="71"/>
  <c r="R44" i="71"/>
  <c r="R118" i="71"/>
  <c r="R74" i="71"/>
  <c r="R60" i="71"/>
  <c r="R56" i="71"/>
  <c r="R69" i="71"/>
  <c r="R65" i="71"/>
  <c r="R111" i="71"/>
  <c r="R113" i="71"/>
  <c r="R86" i="71"/>
  <c r="R76" i="71"/>
  <c r="R50" i="71"/>
  <c r="R42" i="71"/>
  <c r="F86" i="73"/>
  <c r="F68" i="73"/>
  <c r="F60" i="73"/>
  <c r="F59" i="73"/>
  <c r="F48" i="73"/>
  <c r="F44" i="73"/>
  <c r="F40" i="73"/>
  <c r="L12" i="73"/>
  <c r="N12" i="73" s="1"/>
  <c r="F75" i="73"/>
  <c r="F35" i="73"/>
  <c r="F31" i="73"/>
  <c r="F45" i="73"/>
  <c r="F41" i="73"/>
  <c r="F76" i="73"/>
  <c r="F72" i="73"/>
  <c r="F71" i="73"/>
  <c r="F64" i="73"/>
  <c r="F63" i="73"/>
  <c r="F52" i="73"/>
  <c r="F51" i="73"/>
  <c r="F36" i="73"/>
  <c r="F32" i="73"/>
  <c r="F23" i="73"/>
  <c r="F78" i="73"/>
  <c r="F77" i="73"/>
  <c r="F66" i="73"/>
  <c r="F65" i="73"/>
  <c r="F73" i="73"/>
  <c r="F37" i="73"/>
  <c r="F33" i="73"/>
  <c r="F29" i="73"/>
  <c r="F28" i="73"/>
  <c r="F80" i="73"/>
  <c r="F79" i="73"/>
  <c r="F56" i="73"/>
  <c r="F55" i="73"/>
  <c r="F27" i="73"/>
  <c r="F74" i="73"/>
  <c r="F58" i="73"/>
  <c r="F57" i="73"/>
  <c r="F34" i="73"/>
  <c r="F30" i="73"/>
  <c r="F50" i="73"/>
  <c r="F82" i="73"/>
  <c r="F62" i="73"/>
  <c r="F39" i="73"/>
  <c r="F53" i="73"/>
  <c r="D25" i="73"/>
  <c r="F25" i="73" s="1"/>
  <c r="F22" i="73"/>
  <c r="F20" i="73"/>
  <c r="F69" i="73"/>
  <c r="F67" i="73"/>
  <c r="F46" i="73"/>
  <c r="F54" i="73"/>
  <c r="F42" i="73"/>
  <c r="F47" i="73"/>
  <c r="F61" i="73"/>
  <c r="F70" i="73"/>
  <c r="F21" i="73"/>
  <c r="F43" i="73"/>
  <c r="F49" i="73"/>
  <c r="F38" i="73"/>
  <c r="P107" i="64"/>
  <c r="P88" i="56"/>
  <c r="F34" i="33"/>
  <c r="F93" i="33"/>
  <c r="F81" i="33"/>
  <c r="F73" i="33"/>
  <c r="F72" i="33"/>
  <c r="F61" i="33"/>
  <c r="F57" i="33"/>
  <c r="F53" i="33"/>
  <c r="F95" i="33"/>
  <c r="F94" i="33"/>
  <c r="F83" i="33"/>
  <c r="F82" i="33"/>
  <c r="F63" i="33"/>
  <c r="F62" i="33"/>
  <c r="F35" i="33"/>
  <c r="F31" i="33"/>
  <c r="F30" i="33"/>
  <c r="F74" i="33"/>
  <c r="F58" i="33"/>
  <c r="F54" i="33"/>
  <c r="F98" i="33"/>
  <c r="F89" i="33"/>
  <c r="F65" i="33"/>
  <c r="F64" i="33"/>
  <c r="F49" i="33"/>
  <c r="F45" i="33"/>
  <c r="F99" i="33"/>
  <c r="F97" i="33"/>
  <c r="F84" i="33"/>
  <c r="F76" i="33"/>
  <c r="F75" i="33"/>
  <c r="F36" i="33"/>
  <c r="F32" i="33"/>
  <c r="F100" i="33"/>
  <c r="F67" i="33"/>
  <c r="F66" i="33"/>
  <c r="F59" i="33"/>
  <c r="F55" i="33"/>
  <c r="F102" i="33"/>
  <c r="F69" i="33"/>
  <c r="F68" i="33"/>
  <c r="F40" i="33"/>
  <c r="F38" i="33"/>
  <c r="F33" i="33"/>
  <c r="F104" i="33"/>
  <c r="F92" i="33"/>
  <c r="F47" i="33"/>
  <c r="F108" i="33"/>
  <c r="F88" i="33"/>
  <c r="F79" i="33"/>
  <c r="F43" i="33"/>
  <c r="D38" i="33"/>
  <c r="F90" i="33"/>
  <c r="F86" i="33"/>
  <c r="F70" i="33"/>
  <c r="F52" i="33"/>
  <c r="F41" i="33"/>
  <c r="F77" i="33"/>
  <c r="F50" i="33"/>
  <c r="F80" i="33"/>
  <c r="F56" i="33"/>
  <c r="F48" i="33"/>
  <c r="F46" i="33"/>
  <c r="F60" i="33"/>
  <c r="F44" i="33"/>
  <c r="F42" i="33"/>
  <c r="F78" i="33"/>
  <c r="F71" i="33"/>
  <c r="F103" i="33"/>
  <c r="F101" i="33"/>
  <c r="F91" i="33"/>
  <c r="F87" i="33"/>
  <c r="F85" i="33"/>
  <c r="F51" i="33"/>
  <c r="L12" i="33"/>
  <c r="N12" i="33" s="1"/>
  <c r="F137" i="39"/>
  <c r="H126" i="27"/>
  <c r="T280" i="12"/>
  <c r="F278" i="12"/>
  <c r="F265" i="12"/>
  <c r="F253" i="12"/>
  <c r="F249" i="12"/>
  <c r="F248" i="12"/>
  <c r="F237" i="12"/>
  <c r="F225" i="12"/>
  <c r="F224" i="12"/>
  <c r="F213" i="12"/>
  <c r="F205" i="12"/>
  <c r="F204" i="12"/>
  <c r="F185" i="12"/>
  <c r="F181" i="12"/>
  <c r="F232" i="12"/>
  <c r="F192" i="12"/>
  <c r="F191" i="12"/>
  <c r="F176" i="12"/>
  <c r="F172" i="12"/>
  <c r="F168" i="12"/>
  <c r="F167" i="12"/>
  <c r="F267" i="12"/>
  <c r="F266" i="12"/>
  <c r="F259" i="12"/>
  <c r="F243" i="12"/>
  <c r="F239" i="12"/>
  <c r="F238" i="12"/>
  <c r="F227" i="12"/>
  <c r="F226" i="12"/>
  <c r="F215" i="12"/>
  <c r="F214" i="12"/>
  <c r="F199" i="12"/>
  <c r="F166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282" i="12"/>
  <c r="F254" i="12"/>
  <c r="F250" i="12"/>
  <c r="F234" i="12"/>
  <c r="F233" i="12"/>
  <c r="F206" i="12"/>
  <c r="F186" i="12"/>
  <c r="F182" i="12"/>
  <c r="D164" i="12"/>
  <c r="F164" i="12" s="1"/>
  <c r="F270" i="12"/>
  <c r="F261" i="12"/>
  <c r="F260" i="12"/>
  <c r="F229" i="12"/>
  <c r="F228" i="12"/>
  <c r="F217" i="12"/>
  <c r="F216" i="12"/>
  <c r="F193" i="12"/>
  <c r="F177" i="12"/>
  <c r="F173" i="12"/>
  <c r="F169" i="12"/>
  <c r="F271" i="12"/>
  <c r="F269" i="12"/>
  <c r="F244" i="12"/>
  <c r="F240" i="12"/>
  <c r="F208" i="12"/>
  <c r="F207" i="12"/>
  <c r="F200" i="12"/>
  <c r="F160" i="12"/>
  <c r="F156" i="12"/>
  <c r="F152" i="12"/>
  <c r="F148" i="12"/>
  <c r="F144" i="12"/>
  <c r="F140" i="12"/>
  <c r="F136" i="12"/>
  <c r="F272" i="12"/>
  <c r="F263" i="12"/>
  <c r="F262" i="12"/>
  <c r="F255" i="12"/>
  <c r="F251" i="12"/>
  <c r="F235" i="12"/>
  <c r="F219" i="12"/>
  <c r="F218" i="12"/>
  <c r="F195" i="12"/>
  <c r="F194" i="12"/>
  <c r="F187" i="12"/>
  <c r="F183" i="12"/>
  <c r="F179" i="12"/>
  <c r="F178" i="12"/>
  <c r="F273" i="12"/>
  <c r="F246" i="12"/>
  <c r="F245" i="12"/>
  <c r="F230" i="12"/>
  <c r="F210" i="12"/>
  <c r="F209" i="12"/>
  <c r="F202" i="12"/>
  <c r="F201" i="12"/>
  <c r="F174" i="12"/>
  <c r="F170" i="12"/>
  <c r="F274" i="12"/>
  <c r="F241" i="12"/>
  <c r="F221" i="12"/>
  <c r="F220" i="12"/>
  <c r="F197" i="12"/>
  <c r="F196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276" i="12"/>
  <c r="F247" i="12"/>
  <c r="F231" i="12"/>
  <c r="F223" i="12"/>
  <c r="F222" i="12"/>
  <c r="F203" i="12"/>
  <c r="F175" i="12"/>
  <c r="F171" i="12"/>
  <c r="F264" i="12"/>
  <c r="F116" i="12"/>
  <c r="F114" i="12"/>
  <c r="F277" i="12"/>
  <c r="F190" i="12"/>
  <c r="F184" i="12"/>
  <c r="F150" i="12"/>
  <c r="F120" i="12"/>
  <c r="F118" i="12"/>
  <c r="F275" i="12"/>
  <c r="F257" i="12"/>
  <c r="F124" i="12"/>
  <c r="F122" i="12"/>
  <c r="L12" i="12"/>
  <c r="N12" i="12" s="1"/>
  <c r="F188" i="12"/>
  <c r="F154" i="12"/>
  <c r="F128" i="12"/>
  <c r="F126" i="12"/>
  <c r="F146" i="12"/>
  <c r="F236" i="12"/>
  <c r="F132" i="12"/>
  <c r="F130" i="12"/>
  <c r="F211" i="12"/>
  <c r="F198" i="12"/>
  <c r="F158" i="12"/>
  <c r="F134" i="12"/>
  <c r="F109" i="12"/>
  <c r="F180" i="12"/>
  <c r="F252" i="12"/>
  <c r="F258" i="12"/>
  <c r="F242" i="12"/>
  <c r="F162" i="12"/>
  <c r="F138" i="12"/>
  <c r="F189" i="12"/>
  <c r="F256" i="12"/>
  <c r="F142" i="12"/>
  <c r="F110" i="12"/>
  <c r="F212" i="12"/>
  <c r="F112" i="12"/>
  <c r="T267" i="15"/>
  <c r="P101" i="9"/>
  <c r="X17" i="9"/>
  <c r="Z17" i="9" s="1"/>
  <c r="T27" i="113"/>
  <c r="Z18" i="113"/>
  <c r="T27" i="112"/>
  <c r="Z18" i="112"/>
  <c r="T27" i="111"/>
  <c r="Z18" i="111"/>
  <c r="X18" i="53"/>
  <c r="P27" i="53"/>
  <c r="H27" i="53"/>
  <c r="N18" i="53"/>
  <c r="X18" i="50"/>
  <c r="P27" i="50"/>
  <c r="X18" i="49"/>
  <c r="P27" i="49"/>
  <c r="T27" i="53"/>
  <c r="Z18" i="53"/>
  <c r="T27" i="37"/>
  <c r="Z18" i="37"/>
  <c r="X18" i="31"/>
  <c r="P27" i="31"/>
  <c r="N18" i="22"/>
  <c r="H27" i="22"/>
  <c r="T27" i="28"/>
  <c r="Z18" i="28"/>
  <c r="T27" i="16"/>
  <c r="Z18" i="16"/>
  <c r="H27" i="25"/>
  <c r="N18" i="25"/>
  <c r="X18" i="28"/>
  <c r="P27" i="28"/>
  <c r="T27" i="13"/>
  <c r="Z18" i="13"/>
  <c r="L18" i="11"/>
  <c r="D27" i="11"/>
  <c r="L18" i="10"/>
  <c r="D27" i="10"/>
  <c r="H27" i="4"/>
  <c r="N18" i="4"/>
  <c r="T27" i="7"/>
  <c r="Z18" i="7"/>
  <c r="T27" i="8"/>
  <c r="Z18" i="8"/>
  <c r="F98" i="45"/>
  <c r="F90" i="45"/>
  <c r="F86" i="45"/>
  <c r="F81" i="45"/>
  <c r="F69" i="45"/>
  <c r="F68" i="45"/>
  <c r="F49" i="45"/>
  <c r="F45" i="45"/>
  <c r="F41" i="45"/>
  <c r="F76" i="45"/>
  <c r="F36" i="45"/>
  <c r="F32" i="45"/>
  <c r="F100" i="45"/>
  <c r="F91" i="45"/>
  <c r="F87" i="45"/>
  <c r="F83" i="45"/>
  <c r="F82" i="45"/>
  <c r="F71" i="45"/>
  <c r="F70" i="45"/>
  <c r="F59" i="45"/>
  <c r="F51" i="45"/>
  <c r="F50" i="45"/>
  <c r="F23" i="45"/>
  <c r="F104" i="45"/>
  <c r="F78" i="45"/>
  <c r="F77" i="45"/>
  <c r="F46" i="45"/>
  <c r="F42" i="45"/>
  <c r="F93" i="45"/>
  <c r="F92" i="45"/>
  <c r="F73" i="45"/>
  <c r="F72" i="45"/>
  <c r="F61" i="45"/>
  <c r="F60" i="45"/>
  <c r="F53" i="45"/>
  <c r="F52" i="45"/>
  <c r="F37" i="45"/>
  <c r="F33" i="45"/>
  <c r="F29" i="45"/>
  <c r="F28" i="45"/>
  <c r="F88" i="45"/>
  <c r="F84" i="45"/>
  <c r="F27" i="45"/>
  <c r="F95" i="45"/>
  <c r="F94" i="45"/>
  <c r="F79" i="45"/>
  <c r="F63" i="45"/>
  <c r="F62" i="45"/>
  <c r="F47" i="45"/>
  <c r="F43" i="45"/>
  <c r="D25" i="45"/>
  <c r="F25" i="45" s="1"/>
  <c r="F57" i="45"/>
  <c r="F96" i="45"/>
  <c r="F89" i="45"/>
  <c r="F85" i="45"/>
  <c r="F65" i="45"/>
  <c r="F21" i="45"/>
  <c r="F75" i="45"/>
  <c r="F58" i="45"/>
  <c r="F55" i="45"/>
  <c r="F48" i="45"/>
  <c r="L12" i="45"/>
  <c r="N12" i="45" s="1"/>
  <c r="F56" i="45"/>
  <c r="F22" i="45"/>
  <c r="F97" i="45"/>
  <c r="F74" i="45"/>
  <c r="F31" i="45"/>
  <c r="F67" i="45"/>
  <c r="F38" i="45"/>
  <c r="F40" i="45"/>
  <c r="F20" i="45"/>
  <c r="F66" i="45"/>
  <c r="F54" i="45"/>
  <c r="F64" i="45"/>
  <c r="F35" i="45"/>
  <c r="F30" i="45"/>
  <c r="F39" i="45"/>
  <c r="F34" i="45"/>
  <c r="F80" i="45"/>
  <c r="F44" i="45"/>
  <c r="N17" i="9"/>
  <c r="H101" i="9"/>
  <c r="X18" i="14"/>
  <c r="P27" i="14"/>
  <c r="Z23" i="108"/>
  <c r="T92" i="108"/>
  <c r="H99" i="108"/>
  <c r="H50" i="109"/>
  <c r="N17" i="100"/>
  <c r="H53" i="100"/>
  <c r="T53" i="100"/>
  <c r="Z17" i="100"/>
  <c r="P47" i="99"/>
  <c r="X19" i="99"/>
  <c r="R19" i="99"/>
  <c r="X23" i="98"/>
  <c r="Z23" i="98" s="1"/>
  <c r="P94" i="98"/>
  <c r="D101" i="96"/>
  <c r="L22" i="96"/>
  <c r="N22" i="96" s="1"/>
  <c r="H85" i="93"/>
  <c r="T39" i="86"/>
  <c r="V36" i="86"/>
  <c r="V51" i="85"/>
  <c r="J98" i="88"/>
  <c r="T82" i="81"/>
  <c r="J56" i="77"/>
  <c r="H112" i="77"/>
  <c r="R22" i="83"/>
  <c r="F76" i="79"/>
  <c r="F24" i="79"/>
  <c r="F20" i="79"/>
  <c r="F19" i="79"/>
  <c r="F63" i="79"/>
  <c r="F55" i="79"/>
  <c r="F54" i="79"/>
  <c r="F47" i="79"/>
  <c r="F43" i="79"/>
  <c r="F65" i="79"/>
  <c r="F64" i="79"/>
  <c r="F25" i="79"/>
  <c r="F21" i="79"/>
  <c r="F56" i="79"/>
  <c r="F48" i="79"/>
  <c r="F44" i="79"/>
  <c r="F68" i="79"/>
  <c r="F69" i="79"/>
  <c r="F70" i="79"/>
  <c r="F49" i="79"/>
  <c r="F45" i="79"/>
  <c r="F41" i="79"/>
  <c r="D27" i="79"/>
  <c r="F59" i="79"/>
  <c r="F34" i="79"/>
  <c r="F62" i="79"/>
  <c r="F42" i="79"/>
  <c r="F23" i="79"/>
  <c r="F60" i="79"/>
  <c r="F50" i="79"/>
  <c r="F40" i="79"/>
  <c r="F32" i="79"/>
  <c r="F27" i="79"/>
  <c r="F37" i="79"/>
  <c r="F57" i="79"/>
  <c r="F35" i="79"/>
  <c r="F29" i="79"/>
  <c r="F72" i="79"/>
  <c r="F67" i="79"/>
  <c r="F51" i="79"/>
  <c r="F30" i="79"/>
  <c r="F38" i="79"/>
  <c r="F58" i="79"/>
  <c r="F52" i="79"/>
  <c r="F46" i="79"/>
  <c r="F33" i="79"/>
  <c r="F61" i="79"/>
  <c r="F31" i="79"/>
  <c r="F53" i="79"/>
  <c r="F71" i="79"/>
  <c r="L12" i="79"/>
  <c r="N12" i="79" s="1"/>
  <c r="F39" i="79"/>
  <c r="F22" i="79"/>
  <c r="F36" i="79"/>
  <c r="T84" i="73"/>
  <c r="H130" i="71"/>
  <c r="F29" i="48"/>
  <c r="F25" i="48"/>
  <c r="F21" i="48"/>
  <c r="F20" i="48"/>
  <c r="F64" i="48"/>
  <c r="F48" i="48"/>
  <c r="F47" i="48"/>
  <c r="F19" i="48"/>
  <c r="F15" i="48"/>
  <c r="F59" i="48"/>
  <c r="F39" i="48"/>
  <c r="F35" i="48"/>
  <c r="F31" i="48"/>
  <c r="F30" i="48"/>
  <c r="D17" i="48"/>
  <c r="F17" i="48" s="1"/>
  <c r="F66" i="48"/>
  <c r="F65" i="48"/>
  <c r="F50" i="48"/>
  <c r="F49" i="48"/>
  <c r="F26" i="48"/>
  <c r="F22" i="48"/>
  <c r="L12" i="48"/>
  <c r="N12" i="48" s="1"/>
  <c r="F68" i="48"/>
  <c r="F67" i="48"/>
  <c r="F60" i="48"/>
  <c r="F52" i="48"/>
  <c r="F51" i="48"/>
  <c r="F40" i="48"/>
  <c r="F36" i="48"/>
  <c r="F32" i="48"/>
  <c r="F27" i="48"/>
  <c r="F23" i="48"/>
  <c r="F71" i="48"/>
  <c r="F62" i="48"/>
  <c r="F61" i="48"/>
  <c r="F54" i="48"/>
  <c r="F53" i="48"/>
  <c r="F42" i="48"/>
  <c r="F41" i="48"/>
  <c r="F37" i="48"/>
  <c r="F28" i="48"/>
  <c r="F63" i="48"/>
  <c r="F24" i="48"/>
  <c r="F44" i="48"/>
  <c r="F33" i="48"/>
  <c r="F75" i="48"/>
  <c r="F57" i="48"/>
  <c r="F70" i="48"/>
  <c r="F55" i="48"/>
  <c r="F45" i="48"/>
  <c r="F38" i="48"/>
  <c r="F34" i="48"/>
  <c r="F46" i="48"/>
  <c r="F43" i="48"/>
  <c r="F58" i="48"/>
  <c r="F56" i="48"/>
  <c r="L16" i="60"/>
  <c r="H154" i="30"/>
  <c r="V183" i="18"/>
  <c r="T295" i="18"/>
  <c r="F82" i="21"/>
  <c r="F81" i="21"/>
  <c r="F70" i="21"/>
  <c r="F69" i="21"/>
  <c r="F38" i="21"/>
  <c r="F114" i="21"/>
  <c r="F93" i="21"/>
  <c r="F89" i="21"/>
  <c r="F88" i="21"/>
  <c r="F61" i="21"/>
  <c r="F25" i="21"/>
  <c r="F24" i="21"/>
  <c r="F118" i="21"/>
  <c r="F104" i="21"/>
  <c r="F100" i="21"/>
  <c r="F95" i="21"/>
  <c r="F94" i="21"/>
  <c r="F83" i="21"/>
  <c r="F39" i="21"/>
  <c r="F35" i="21"/>
  <c r="F106" i="21"/>
  <c r="F105" i="21"/>
  <c r="F90" i="21"/>
  <c r="F74" i="21"/>
  <c r="F73" i="21"/>
  <c r="F62" i="21"/>
  <c r="F54" i="21"/>
  <c r="F53" i="21"/>
  <c r="F26" i="21"/>
  <c r="F108" i="21"/>
  <c r="F107" i="21"/>
  <c r="F84" i="21"/>
  <c r="F76" i="21"/>
  <c r="F75" i="21"/>
  <c r="F64" i="21"/>
  <c r="F63" i="21"/>
  <c r="F56" i="21"/>
  <c r="F55" i="21"/>
  <c r="F40" i="21"/>
  <c r="F112" i="21"/>
  <c r="F111" i="21"/>
  <c r="F92" i="21"/>
  <c r="F80" i="21"/>
  <c r="F79" i="21"/>
  <c r="F68" i="21"/>
  <c r="F67" i="21"/>
  <c r="F60" i="21"/>
  <c r="F59" i="21"/>
  <c r="F31" i="21"/>
  <c r="F91" i="21"/>
  <c r="F98" i="21"/>
  <c r="F72" i="21"/>
  <c r="F57" i="21"/>
  <c r="F52" i="21"/>
  <c r="L12" i="21"/>
  <c r="N12" i="21" s="1"/>
  <c r="F87" i="21"/>
  <c r="F44" i="21"/>
  <c r="F96" i="21"/>
  <c r="F32" i="21"/>
  <c r="F109" i="21"/>
  <c r="F85" i="21"/>
  <c r="F58" i="21"/>
  <c r="F41" i="21"/>
  <c r="F97" i="21"/>
  <c r="F78" i="21"/>
  <c r="F36" i="21"/>
  <c r="F33" i="21"/>
  <c r="F27" i="21"/>
  <c r="F103" i="21"/>
  <c r="F101" i="21"/>
  <c r="F99" i="21"/>
  <c r="F65" i="21"/>
  <c r="F49" i="21"/>
  <c r="F51" i="21"/>
  <c r="F47" i="21"/>
  <c r="F45" i="21"/>
  <c r="F42" i="21"/>
  <c r="F71" i="21"/>
  <c r="F50" i="21"/>
  <c r="F37" i="21"/>
  <c r="F43" i="21"/>
  <c r="D29" i="21"/>
  <c r="F29" i="21" s="1"/>
  <c r="F86" i="21"/>
  <c r="F102" i="21"/>
  <c r="F34" i="21"/>
  <c r="F77" i="21"/>
  <c r="F46" i="21"/>
  <c r="F110" i="21"/>
  <c r="F48" i="21"/>
  <c r="F66" i="21"/>
  <c r="P136" i="24"/>
  <c r="X76" i="24"/>
  <c r="Z76" i="24" s="1"/>
  <c r="D101" i="9"/>
  <c r="L17" i="9"/>
  <c r="L18" i="112"/>
  <c r="D27" i="112"/>
  <c r="H27" i="111"/>
  <c r="N18" i="111"/>
  <c r="H27" i="47"/>
  <c r="N18" i="47"/>
  <c r="H27" i="44"/>
  <c r="N18" i="44"/>
  <c r="T27" i="23"/>
  <c r="Z18" i="23"/>
  <c r="P27" i="16"/>
  <c r="X18" i="16"/>
  <c r="X18" i="5"/>
  <c r="P27" i="5"/>
  <c r="T78" i="79"/>
  <c r="H27" i="40"/>
  <c r="N18" i="40"/>
  <c r="H27" i="37"/>
  <c r="N18" i="37"/>
  <c r="H63" i="103"/>
  <c r="N16" i="103"/>
  <c r="D63" i="103"/>
  <c r="L16" i="103"/>
  <c r="X23" i="105"/>
  <c r="Z23" i="105" s="1"/>
  <c r="P63" i="105"/>
  <c r="X23" i="102"/>
  <c r="Z23" i="102" s="1"/>
  <c r="P91" i="102"/>
  <c r="T98" i="88"/>
  <c r="T99" i="92"/>
  <c r="T90" i="95"/>
  <c r="F111" i="85"/>
  <c r="F99" i="85"/>
  <c r="F98" i="85"/>
  <c r="F87" i="85"/>
  <c r="F86" i="85"/>
  <c r="F71" i="85"/>
  <c r="F67" i="85"/>
  <c r="F118" i="85"/>
  <c r="F117" i="85"/>
  <c r="F106" i="85"/>
  <c r="F105" i="85"/>
  <c r="F78" i="85"/>
  <c r="F77" i="85"/>
  <c r="F62" i="85"/>
  <c r="F58" i="85"/>
  <c r="F89" i="85"/>
  <c r="F88" i="85"/>
  <c r="F120" i="85"/>
  <c r="F119" i="85"/>
  <c r="F112" i="85"/>
  <c r="F100" i="85"/>
  <c r="F72" i="85"/>
  <c r="F68" i="85"/>
  <c r="F122" i="85"/>
  <c r="F121" i="85"/>
  <c r="F113" i="85"/>
  <c r="F109" i="85"/>
  <c r="F108" i="85"/>
  <c r="F128" i="85"/>
  <c r="F110" i="85"/>
  <c r="F74" i="85"/>
  <c r="F70" i="85"/>
  <c r="F66" i="85"/>
  <c r="F59" i="85"/>
  <c r="F56" i="85"/>
  <c r="F46" i="85"/>
  <c r="F115" i="85"/>
  <c r="F103" i="85"/>
  <c r="F82" i="85"/>
  <c r="F95" i="85"/>
  <c r="F92" i="85"/>
  <c r="F83" i="85"/>
  <c r="F57" i="85"/>
  <c r="F124" i="85"/>
  <c r="F101" i="85"/>
  <c r="F80" i="85"/>
  <c r="D51" i="85"/>
  <c r="F47" i="85"/>
  <c r="F44" i="85"/>
  <c r="F41" i="85"/>
  <c r="F90" i="85"/>
  <c r="F69" i="85"/>
  <c r="F63" i="85"/>
  <c r="F60" i="85"/>
  <c r="F53" i="85"/>
  <c r="F116" i="85"/>
  <c r="F104" i="85"/>
  <c r="F96" i="85"/>
  <c r="F93" i="85"/>
  <c r="F54" i="85"/>
  <c r="F38" i="85"/>
  <c r="F35" i="85"/>
  <c r="F34" i="85"/>
  <c r="F107" i="85"/>
  <c r="F84" i="85"/>
  <c r="F75" i="85"/>
  <c r="F64" i="85"/>
  <c r="F55" i="85"/>
  <c r="F48" i="85"/>
  <c r="F45" i="85"/>
  <c r="F102" i="85"/>
  <c r="F91" i="85"/>
  <c r="F81" i="85"/>
  <c r="F61" i="85"/>
  <c r="F42" i="85"/>
  <c r="F97" i="85"/>
  <c r="F73" i="85"/>
  <c r="F79" i="85"/>
  <c r="F40" i="85"/>
  <c r="F36" i="85"/>
  <c r="L12" i="85"/>
  <c r="N12" i="85" s="1"/>
  <c r="F94" i="85"/>
  <c r="F85" i="85"/>
  <c r="F76" i="85"/>
  <c r="F49" i="85"/>
  <c r="F43" i="85"/>
  <c r="F114" i="85"/>
  <c r="F65" i="85"/>
  <c r="F37" i="85"/>
  <c r="F39" i="85"/>
  <c r="H85" i="80"/>
  <c r="H96" i="84"/>
  <c r="J22" i="84"/>
  <c r="H89" i="76"/>
  <c r="J29" i="76"/>
  <c r="T125" i="75"/>
  <c r="R91" i="76"/>
  <c r="R49" i="76"/>
  <c r="R45" i="76"/>
  <c r="R80" i="76"/>
  <c r="R68" i="76"/>
  <c r="R57" i="76"/>
  <c r="R56" i="76"/>
  <c r="R40" i="76"/>
  <c r="R36" i="76"/>
  <c r="R75" i="76"/>
  <c r="R32" i="76"/>
  <c r="R59" i="76"/>
  <c r="R58" i="76"/>
  <c r="R50" i="76"/>
  <c r="R46" i="76"/>
  <c r="R31" i="76"/>
  <c r="R27" i="76"/>
  <c r="R82" i="76"/>
  <c r="R81" i="76"/>
  <c r="R70" i="76"/>
  <c r="R69" i="76"/>
  <c r="R42" i="76"/>
  <c r="R41" i="76"/>
  <c r="R76" i="76"/>
  <c r="R61" i="76"/>
  <c r="R60" i="76"/>
  <c r="R83" i="76"/>
  <c r="R71" i="76"/>
  <c r="R51" i="76"/>
  <c r="R47" i="76"/>
  <c r="R43" i="76"/>
  <c r="R86" i="76"/>
  <c r="R85" i="76"/>
  <c r="R87" i="76"/>
  <c r="R77" i="76"/>
  <c r="R73" i="76"/>
  <c r="R72" i="76"/>
  <c r="R65" i="76"/>
  <c r="R64" i="76"/>
  <c r="R53" i="76"/>
  <c r="R52" i="76"/>
  <c r="R48" i="76"/>
  <c r="R44" i="76"/>
  <c r="R62" i="76"/>
  <c r="R79" i="76"/>
  <c r="R39" i="76"/>
  <c r="R67" i="76"/>
  <c r="R63" i="76"/>
  <c r="R37" i="76"/>
  <c r="R35" i="76"/>
  <c r="R33" i="76"/>
  <c r="R54" i="76"/>
  <c r="R78" i="76"/>
  <c r="R74" i="76"/>
  <c r="R38" i="76"/>
  <c r="R66" i="76"/>
  <c r="R34" i="76"/>
  <c r="R55" i="76"/>
  <c r="P29" i="76"/>
  <c r="X12" i="76"/>
  <c r="Z12" i="76" s="1"/>
  <c r="P96" i="84"/>
  <c r="X22" i="84"/>
  <c r="Z22" i="84" s="1"/>
  <c r="T65" i="68"/>
  <c r="Z16" i="68"/>
  <c r="L22" i="70"/>
  <c r="N22" i="70" s="1"/>
  <c r="D79" i="70"/>
  <c r="P77" i="59"/>
  <c r="X73" i="59"/>
  <c r="T85" i="56"/>
  <c r="Z81" i="56"/>
  <c r="T130" i="42"/>
  <c r="V30" i="42"/>
  <c r="D65" i="60"/>
  <c r="L61" i="60"/>
  <c r="R126" i="42"/>
  <c r="R117" i="42"/>
  <c r="R116" i="42"/>
  <c r="R101" i="42"/>
  <c r="R100" i="42"/>
  <c r="R128" i="42"/>
  <c r="R118" i="42"/>
  <c r="R110" i="42"/>
  <c r="R106" i="42"/>
  <c r="R102" i="42"/>
  <c r="R96" i="42"/>
  <c r="R119" i="42"/>
  <c r="R112" i="42"/>
  <c r="R111" i="42"/>
  <c r="R107" i="42"/>
  <c r="R103" i="42"/>
  <c r="R132" i="42"/>
  <c r="R122" i="42"/>
  <c r="R99" i="42"/>
  <c r="R93" i="42"/>
  <c r="R81" i="42"/>
  <c r="R80" i="42"/>
  <c r="R40" i="42"/>
  <c r="R36" i="42"/>
  <c r="R104" i="42"/>
  <c r="R88" i="42"/>
  <c r="R87" i="42"/>
  <c r="R72" i="42"/>
  <c r="R71" i="42"/>
  <c r="R63" i="42"/>
  <c r="R27" i="42"/>
  <c r="R114" i="42"/>
  <c r="R120" i="42"/>
  <c r="R84" i="42"/>
  <c r="R64" i="42"/>
  <c r="R57" i="42"/>
  <c r="R56" i="42"/>
  <c r="R33" i="42"/>
  <c r="R28" i="42"/>
  <c r="R121" i="42"/>
  <c r="R105" i="42"/>
  <c r="R97" i="42"/>
  <c r="R90" i="42"/>
  <c r="R75" i="42"/>
  <c r="R74" i="42"/>
  <c r="R59" i="42"/>
  <c r="R58" i="42"/>
  <c r="R42" i="42"/>
  <c r="R38" i="42"/>
  <c r="R34" i="42"/>
  <c r="R125" i="42"/>
  <c r="R85" i="42"/>
  <c r="R66" i="42"/>
  <c r="R65" i="42"/>
  <c r="R95" i="42"/>
  <c r="R86" i="42"/>
  <c r="R79" i="42"/>
  <c r="R78" i="42"/>
  <c r="R62" i="42"/>
  <c r="R26" i="42"/>
  <c r="X12" i="42"/>
  <c r="Z12" i="42" s="1"/>
  <c r="R127" i="42"/>
  <c r="R94" i="42"/>
  <c r="R73" i="42"/>
  <c r="R48" i="42"/>
  <c r="R68" i="42"/>
  <c r="R76" i="42"/>
  <c r="R51" i="42"/>
  <c r="R41" i="42"/>
  <c r="R37" i="42"/>
  <c r="R35" i="42"/>
  <c r="R98" i="42"/>
  <c r="R46" i="42"/>
  <c r="R43" i="42"/>
  <c r="R39" i="42"/>
  <c r="R54" i="42"/>
  <c r="R109" i="42"/>
  <c r="R82" i="42"/>
  <c r="R77" i="42"/>
  <c r="R49" i="42"/>
  <c r="R44" i="42"/>
  <c r="R115" i="42"/>
  <c r="R113" i="42"/>
  <c r="R69" i="42"/>
  <c r="R30" i="42"/>
  <c r="R124" i="42"/>
  <c r="R55" i="42"/>
  <c r="R52" i="42"/>
  <c r="R47" i="42"/>
  <c r="P30" i="42"/>
  <c r="R50" i="42"/>
  <c r="R45" i="42"/>
  <c r="R91" i="42"/>
  <c r="R61" i="42"/>
  <c r="R83" i="42"/>
  <c r="R53" i="42"/>
  <c r="R108" i="42"/>
  <c r="R92" i="42"/>
  <c r="R32" i="42"/>
  <c r="R25" i="42"/>
  <c r="R67" i="42"/>
  <c r="R60" i="42"/>
  <c r="R70" i="42"/>
  <c r="R89" i="42"/>
  <c r="H112" i="51"/>
  <c r="R104" i="45"/>
  <c r="R78" i="45"/>
  <c r="R94" i="45"/>
  <c r="R93" i="45"/>
  <c r="R73" i="45"/>
  <c r="R62" i="45"/>
  <c r="R61" i="45"/>
  <c r="R53" i="45"/>
  <c r="R37" i="45"/>
  <c r="R33" i="45"/>
  <c r="R29" i="45"/>
  <c r="P25" i="45"/>
  <c r="R88" i="45"/>
  <c r="R84" i="45"/>
  <c r="R96" i="45"/>
  <c r="R95" i="45"/>
  <c r="R79" i="45"/>
  <c r="R64" i="45"/>
  <c r="R63" i="45"/>
  <c r="R47" i="45"/>
  <c r="R43" i="45"/>
  <c r="R20" i="45"/>
  <c r="R74" i="45"/>
  <c r="R55" i="45"/>
  <c r="R54" i="45"/>
  <c r="R39" i="45"/>
  <c r="R38" i="45"/>
  <c r="R34" i="45"/>
  <c r="R30" i="45"/>
  <c r="R97" i="45"/>
  <c r="R89" i="45"/>
  <c r="R85" i="45"/>
  <c r="R66" i="45"/>
  <c r="R65" i="45"/>
  <c r="R21" i="45"/>
  <c r="R80" i="45"/>
  <c r="R57" i="45"/>
  <c r="R56" i="45"/>
  <c r="R48" i="45"/>
  <c r="R44" i="45"/>
  <c r="R40" i="45"/>
  <c r="X12" i="45"/>
  <c r="Z12" i="45" s="1"/>
  <c r="R75" i="45"/>
  <c r="R68" i="45"/>
  <c r="R67" i="45"/>
  <c r="R35" i="45"/>
  <c r="R31" i="45"/>
  <c r="R100" i="45"/>
  <c r="R81" i="45"/>
  <c r="R71" i="45"/>
  <c r="R22" i="45"/>
  <c r="R92" i="45"/>
  <c r="R51" i="45"/>
  <c r="R46" i="45"/>
  <c r="R25" i="45"/>
  <c r="R90" i="45"/>
  <c r="R86" i="45"/>
  <c r="R82" i="45"/>
  <c r="R42" i="45"/>
  <c r="R76" i="45"/>
  <c r="R72" i="45"/>
  <c r="R59" i="45"/>
  <c r="R49" i="45"/>
  <c r="R70" i="45"/>
  <c r="R52" i="45"/>
  <c r="R27" i="45"/>
  <c r="R60" i="45"/>
  <c r="R28" i="45"/>
  <c r="R83" i="45"/>
  <c r="R58" i="45"/>
  <c r="R98" i="45"/>
  <c r="R41" i="45"/>
  <c r="R23" i="45"/>
  <c r="R87" i="45"/>
  <c r="R45" i="45"/>
  <c r="R69" i="45"/>
  <c r="R32" i="45"/>
  <c r="R77" i="45"/>
  <c r="R50" i="45"/>
  <c r="R36" i="45"/>
  <c r="R91" i="45"/>
  <c r="V143" i="39"/>
  <c r="T147" i="39"/>
  <c r="F152" i="30"/>
  <c r="F135" i="30"/>
  <c r="F123" i="30"/>
  <c r="F75" i="30"/>
  <c r="F71" i="30"/>
  <c r="F142" i="30"/>
  <c r="F141" i="30"/>
  <c r="F130" i="30"/>
  <c r="F118" i="30"/>
  <c r="F117" i="30"/>
  <c r="F106" i="30"/>
  <c r="F98" i="30"/>
  <c r="F97" i="30"/>
  <c r="F156" i="30"/>
  <c r="F144" i="30"/>
  <c r="F143" i="30"/>
  <c r="F136" i="30"/>
  <c r="F132" i="30"/>
  <c r="F131" i="30"/>
  <c r="F108" i="30"/>
  <c r="F107" i="30"/>
  <c r="F76" i="30"/>
  <c r="F72" i="30"/>
  <c r="F119" i="30"/>
  <c r="F126" i="30"/>
  <c r="F110" i="30"/>
  <c r="F109" i="30"/>
  <c r="F86" i="30"/>
  <c r="F82" i="30"/>
  <c r="F145" i="30"/>
  <c r="F137" i="30"/>
  <c r="F133" i="30"/>
  <c r="F121" i="30"/>
  <c r="F120" i="30"/>
  <c r="F101" i="30"/>
  <c r="F100" i="30"/>
  <c r="F93" i="30"/>
  <c r="F92" i="30"/>
  <c r="F77" i="30"/>
  <c r="F73" i="30"/>
  <c r="F112" i="30"/>
  <c r="F111" i="30"/>
  <c r="F64" i="30"/>
  <c r="F60" i="30"/>
  <c r="F56" i="30"/>
  <c r="F52" i="30"/>
  <c r="F48" i="30"/>
  <c r="F44" i="30"/>
  <c r="F140" i="30"/>
  <c r="F122" i="30"/>
  <c r="F99" i="30"/>
  <c r="F90" i="30"/>
  <c r="F87" i="30"/>
  <c r="F79" i="30"/>
  <c r="F62" i="30"/>
  <c r="F55" i="30"/>
  <c r="F50" i="30"/>
  <c r="F138" i="30"/>
  <c r="F127" i="30"/>
  <c r="F125" i="30"/>
  <c r="F74" i="30"/>
  <c r="F43" i="30"/>
  <c r="F115" i="30"/>
  <c r="F103" i="30"/>
  <c r="F94" i="30"/>
  <c r="F151" i="30"/>
  <c r="F91" i="30"/>
  <c r="F80" i="30"/>
  <c r="F70" i="30"/>
  <c r="F66" i="30"/>
  <c r="F53" i="30"/>
  <c r="F134" i="30"/>
  <c r="F85" i="30"/>
  <c r="D66" i="30"/>
  <c r="F63" i="30"/>
  <c r="F58" i="30"/>
  <c r="F51" i="30"/>
  <c r="F46" i="30"/>
  <c r="F139" i="30"/>
  <c r="F113" i="30"/>
  <c r="F88" i="30"/>
  <c r="F83" i="30"/>
  <c r="L12" i="30"/>
  <c r="N12" i="30" s="1"/>
  <c r="F146" i="30"/>
  <c r="F116" i="30"/>
  <c r="F95" i="30"/>
  <c r="F149" i="30"/>
  <c r="F128" i="30"/>
  <c r="F61" i="30"/>
  <c r="F49" i="30"/>
  <c r="F104" i="30"/>
  <c r="F81" i="30"/>
  <c r="F68" i="30"/>
  <c r="F59" i="30"/>
  <c r="F54" i="30"/>
  <c r="F47" i="30"/>
  <c r="F147" i="30"/>
  <c r="F96" i="30"/>
  <c r="F89" i="30"/>
  <c r="F69" i="30"/>
  <c r="F42" i="30"/>
  <c r="F150" i="30"/>
  <c r="F84" i="30"/>
  <c r="F45" i="30"/>
  <c r="F129" i="30"/>
  <c r="F57" i="30"/>
  <c r="F114" i="30"/>
  <c r="F105" i="30"/>
  <c r="F124" i="30"/>
  <c r="F78" i="30"/>
  <c r="F102" i="30"/>
  <c r="D320" i="3"/>
  <c r="L196" i="3"/>
  <c r="N196" i="3" s="1"/>
  <c r="D31" i="6"/>
  <c r="L18" i="53"/>
  <c r="D27" i="53"/>
  <c r="H27" i="46"/>
  <c r="N18" i="46"/>
  <c r="D27" i="44"/>
  <c r="L18" i="44"/>
  <c r="L18" i="32"/>
  <c r="D27" i="32"/>
  <c r="L18" i="22"/>
  <c r="D27" i="22"/>
  <c r="T27" i="17"/>
  <c r="Z18" i="17"/>
  <c r="T27" i="20"/>
  <c r="Z18" i="20"/>
  <c r="T27" i="11"/>
  <c r="Z18" i="11"/>
  <c r="P27" i="7"/>
  <c r="X18" i="7"/>
  <c r="D27" i="4"/>
  <c r="L18" i="4"/>
  <c r="H27" i="8"/>
  <c r="N18" i="8"/>
  <c r="T27" i="4"/>
  <c r="Z18" i="4"/>
  <c r="Z16" i="109"/>
  <c r="T46" i="109"/>
  <c r="L16" i="109"/>
  <c r="D46" i="109"/>
  <c r="P63" i="103"/>
  <c r="X16" i="103"/>
  <c r="V23" i="102"/>
  <c r="T81" i="94"/>
  <c r="V23" i="94"/>
  <c r="H81" i="94"/>
  <c r="N23" i="94"/>
  <c r="H95" i="92"/>
  <c r="N16" i="92"/>
  <c r="L22" i="84"/>
  <c r="N22" i="84" s="1"/>
  <c r="F106" i="77"/>
  <c r="N22" i="78"/>
  <c r="H26" i="78"/>
  <c r="T79" i="70"/>
  <c r="Z22" i="70"/>
  <c r="D76" i="58"/>
  <c r="L16" i="58"/>
  <c r="H78" i="57"/>
  <c r="N16" i="57"/>
  <c r="X17" i="59"/>
  <c r="Z17" i="59" s="1"/>
  <c r="L16" i="55"/>
  <c r="D33" i="55"/>
  <c r="H80" i="58"/>
  <c r="D69" i="68"/>
  <c r="L65" i="68"/>
  <c r="N65" i="68" s="1"/>
  <c r="T40" i="55"/>
  <c r="D85" i="56"/>
  <c r="L81" i="56"/>
  <c r="F110" i="51"/>
  <c r="F99" i="51"/>
  <c r="F98" i="51"/>
  <c r="F79" i="51"/>
  <c r="F75" i="51"/>
  <c r="F71" i="51"/>
  <c r="F70" i="51"/>
  <c r="F96" i="51"/>
  <c r="F85" i="51"/>
  <c r="F73" i="51"/>
  <c r="F53" i="51"/>
  <c r="F49" i="51"/>
  <c r="F45" i="51"/>
  <c r="F41" i="51"/>
  <c r="F40" i="51"/>
  <c r="F86" i="51"/>
  <c r="F80" i="51"/>
  <c r="F77" i="51"/>
  <c r="F69" i="51"/>
  <c r="F66" i="51"/>
  <c r="F106" i="51"/>
  <c r="F91" i="51"/>
  <c r="F74" i="51"/>
  <c r="F63" i="51"/>
  <c r="F54" i="51"/>
  <c r="F50" i="51"/>
  <c r="F46" i="51"/>
  <c r="F42" i="51"/>
  <c r="F100" i="51"/>
  <c r="F82" i="51"/>
  <c r="F81" i="51"/>
  <c r="F107" i="51"/>
  <c r="F92" i="51"/>
  <c r="F78" i="51"/>
  <c r="F60" i="51"/>
  <c r="F59" i="51"/>
  <c r="F102" i="51"/>
  <c r="F101" i="51"/>
  <c r="F97" i="51"/>
  <c r="F88" i="51"/>
  <c r="F87" i="51"/>
  <c r="F67" i="51"/>
  <c r="F58" i="51"/>
  <c r="F51" i="51"/>
  <c r="F47" i="51"/>
  <c r="F43" i="51"/>
  <c r="F108" i="51"/>
  <c r="F94" i="51"/>
  <c r="F93" i="51"/>
  <c r="F64" i="51"/>
  <c r="D56" i="51"/>
  <c r="F84" i="51"/>
  <c r="F65" i="51"/>
  <c r="F114" i="51"/>
  <c r="F44" i="51"/>
  <c r="F103" i="51"/>
  <c r="F89" i="51"/>
  <c r="F109" i="51"/>
  <c r="L12" i="51"/>
  <c r="N12" i="51" s="1"/>
  <c r="F104" i="51"/>
  <c r="F76" i="51"/>
  <c r="F72" i="51"/>
  <c r="F68" i="51"/>
  <c r="F61" i="51"/>
  <c r="F90" i="51"/>
  <c r="F95" i="51"/>
  <c r="F48" i="51"/>
  <c r="F62" i="51"/>
  <c r="F83" i="51"/>
  <c r="F52" i="51"/>
  <c r="H130" i="42"/>
  <c r="J30" i="42"/>
  <c r="R141" i="39"/>
  <c r="R131" i="39"/>
  <c r="R123" i="39"/>
  <c r="R122" i="39"/>
  <c r="R114" i="39"/>
  <c r="R113" i="39"/>
  <c r="R97" i="39"/>
  <c r="R78" i="39"/>
  <c r="R77" i="39"/>
  <c r="R69" i="39"/>
  <c r="R33" i="39"/>
  <c r="R137" i="39"/>
  <c r="R108" i="39"/>
  <c r="R89" i="39"/>
  <c r="R88" i="39"/>
  <c r="R61" i="39"/>
  <c r="R60" i="39"/>
  <c r="R56" i="39"/>
  <c r="R52" i="39"/>
  <c r="R138" i="39"/>
  <c r="R127" i="39"/>
  <c r="R98" i="39"/>
  <c r="R91" i="39"/>
  <c r="R90" i="39"/>
  <c r="R70" i="39"/>
  <c r="R63" i="39"/>
  <c r="R62" i="39"/>
  <c r="R128" i="39"/>
  <c r="R109" i="39"/>
  <c r="R105" i="39"/>
  <c r="R82" i="39"/>
  <c r="R81" i="39"/>
  <c r="R57" i="39"/>
  <c r="R53" i="39"/>
  <c r="R38" i="39"/>
  <c r="R145" i="39"/>
  <c r="R139" i="39"/>
  <c r="R133" i="39"/>
  <c r="R120" i="39"/>
  <c r="R116" i="39"/>
  <c r="R93" i="39"/>
  <c r="R92" i="39"/>
  <c r="R65" i="39"/>
  <c r="R64" i="39"/>
  <c r="R48" i="39"/>
  <c r="R44" i="39"/>
  <c r="R40" i="39"/>
  <c r="P36" i="39"/>
  <c r="R140" i="39"/>
  <c r="R134" i="39"/>
  <c r="R129" i="39"/>
  <c r="R124" i="39"/>
  <c r="R111" i="39"/>
  <c r="R110" i="39"/>
  <c r="R106" i="39"/>
  <c r="R95" i="39"/>
  <c r="R94" i="39"/>
  <c r="R67" i="39"/>
  <c r="R66" i="39"/>
  <c r="R58" i="39"/>
  <c r="R54" i="39"/>
  <c r="R31" i="39"/>
  <c r="R135" i="39"/>
  <c r="R107" i="39"/>
  <c r="R76" i="39"/>
  <c r="R75" i="39"/>
  <c r="R59" i="39"/>
  <c r="R55" i="39"/>
  <c r="R51" i="39"/>
  <c r="R101" i="39"/>
  <c r="R73" i="39"/>
  <c r="R68" i="39"/>
  <c r="R34" i="39"/>
  <c r="R119" i="39"/>
  <c r="R96" i="39"/>
  <c r="R39" i="39"/>
  <c r="R126" i="39"/>
  <c r="R112" i="39"/>
  <c r="R87" i="39"/>
  <c r="R84" i="39"/>
  <c r="R79" i="39"/>
  <c r="R74" i="39"/>
  <c r="R32" i="39"/>
  <c r="R115" i="39"/>
  <c r="R99" i="39"/>
  <c r="R80" i="39"/>
  <c r="R71" i="39"/>
  <c r="R49" i="39"/>
  <c r="R42" i="39"/>
  <c r="R102" i="39"/>
  <c r="R85" i="39"/>
  <c r="R47" i="39"/>
  <c r="R132" i="39"/>
  <c r="R130" i="39"/>
  <c r="R50" i="39"/>
  <c r="X12" i="39"/>
  <c r="Z12" i="39" s="1"/>
  <c r="R100" i="39"/>
  <c r="R86" i="39"/>
  <c r="R118" i="39"/>
  <c r="R46" i="39"/>
  <c r="R103" i="39"/>
  <c r="R41" i="39"/>
  <c r="R45" i="39"/>
  <c r="R43" i="39"/>
  <c r="R121" i="39"/>
  <c r="R72" i="39"/>
  <c r="R117" i="39"/>
  <c r="R104" i="39"/>
  <c r="R83" i="39"/>
  <c r="R125" i="39"/>
  <c r="H141" i="36"/>
  <c r="F123" i="27"/>
  <c r="F102" i="27"/>
  <c r="F101" i="27"/>
  <c r="F70" i="27"/>
  <c r="F66" i="27"/>
  <c r="F117" i="27"/>
  <c r="F116" i="27"/>
  <c r="F109" i="27"/>
  <c r="F93" i="27"/>
  <c r="F92" i="27"/>
  <c r="F57" i="27"/>
  <c r="F53" i="27"/>
  <c r="F49" i="27"/>
  <c r="F45" i="27"/>
  <c r="F124" i="27"/>
  <c r="F84" i="27"/>
  <c r="F80" i="27"/>
  <c r="F76" i="27"/>
  <c r="F103" i="27"/>
  <c r="F95" i="27"/>
  <c r="F94" i="27"/>
  <c r="F71" i="27"/>
  <c r="F67" i="27"/>
  <c r="F118" i="27"/>
  <c r="F110" i="27"/>
  <c r="F86" i="27"/>
  <c r="F85" i="27"/>
  <c r="F58" i="27"/>
  <c r="F54" i="27"/>
  <c r="F50" i="27"/>
  <c r="F46" i="27"/>
  <c r="F81" i="27"/>
  <c r="F77" i="27"/>
  <c r="F112" i="27"/>
  <c r="F111" i="27"/>
  <c r="F104" i="27"/>
  <c r="F96" i="27"/>
  <c r="F88" i="27"/>
  <c r="F87" i="27"/>
  <c r="F72" i="27"/>
  <c r="F68" i="27"/>
  <c r="F64" i="27"/>
  <c r="F63" i="27"/>
  <c r="L12" i="27"/>
  <c r="N12" i="27" s="1"/>
  <c r="F121" i="27"/>
  <c r="F120" i="27"/>
  <c r="F62" i="27"/>
  <c r="F55" i="27"/>
  <c r="F51" i="27"/>
  <c r="F47" i="27"/>
  <c r="F43" i="27"/>
  <c r="F42" i="27"/>
  <c r="F122" i="27"/>
  <c r="F108" i="27"/>
  <c r="F107" i="27"/>
  <c r="F100" i="27"/>
  <c r="F99" i="27"/>
  <c r="F56" i="27"/>
  <c r="F52" i="27"/>
  <c r="F48" i="27"/>
  <c r="F44" i="27"/>
  <c r="F69" i="27"/>
  <c r="F65" i="27"/>
  <c r="F90" i="27"/>
  <c r="F74" i="27"/>
  <c r="F105" i="27"/>
  <c r="F82" i="27"/>
  <c r="F128" i="27"/>
  <c r="F97" i="27"/>
  <c r="F115" i="27"/>
  <c r="F91" i="27"/>
  <c r="F75" i="27"/>
  <c r="F113" i="27"/>
  <c r="F79" i="27"/>
  <c r="F98" i="27"/>
  <c r="D60" i="27"/>
  <c r="F106" i="27"/>
  <c r="F83" i="27"/>
  <c r="F78" i="27"/>
  <c r="F89" i="27"/>
  <c r="F73" i="27"/>
  <c r="F114" i="27"/>
  <c r="J196" i="3"/>
  <c r="X18" i="113"/>
  <c r="P27" i="113"/>
  <c r="T27" i="44"/>
  <c r="Z18" i="44"/>
  <c r="X18" i="41"/>
  <c r="P27" i="41"/>
  <c r="N18" i="41"/>
  <c r="H27" i="41"/>
  <c r="T27" i="38"/>
  <c r="Z18" i="38"/>
  <c r="X18" i="38"/>
  <c r="P27" i="38"/>
  <c r="T27" i="29"/>
  <c r="Z18" i="29"/>
  <c r="D27" i="38"/>
  <c r="L18" i="38"/>
  <c r="H27" i="23"/>
  <c r="N18" i="23"/>
  <c r="D27" i="23"/>
  <c r="L18" i="23"/>
  <c r="H27" i="26"/>
  <c r="N18" i="26"/>
  <c r="P27" i="23"/>
  <c r="X18" i="23"/>
  <c r="D27" i="25"/>
  <c r="L18" i="25"/>
  <c r="D27" i="16"/>
  <c r="L18" i="16"/>
  <c r="X18" i="4"/>
  <c r="P27" i="4"/>
  <c r="T27" i="14"/>
  <c r="Z18" i="14"/>
  <c r="R106" i="69"/>
  <c r="R71" i="69"/>
  <c r="R66" i="69"/>
  <c r="R62" i="69"/>
  <c r="R58" i="69"/>
  <c r="R54" i="69"/>
  <c r="R50" i="69"/>
  <c r="R46" i="69"/>
  <c r="R114" i="69"/>
  <c r="R113" i="69"/>
  <c r="R97" i="69"/>
  <c r="R89" i="69"/>
  <c r="R85" i="69"/>
  <c r="R70" i="69"/>
  <c r="R116" i="69"/>
  <c r="R115" i="69"/>
  <c r="R108" i="69"/>
  <c r="R107" i="69"/>
  <c r="R63" i="69"/>
  <c r="R59" i="69"/>
  <c r="R55" i="69"/>
  <c r="R51" i="69"/>
  <c r="R47" i="69"/>
  <c r="R99" i="69"/>
  <c r="R98" i="69"/>
  <c r="R90" i="69"/>
  <c r="R86" i="69"/>
  <c r="R82" i="69"/>
  <c r="R117" i="69"/>
  <c r="R109" i="69"/>
  <c r="R77" i="69"/>
  <c r="R73" i="69"/>
  <c r="R120" i="69"/>
  <c r="R119" i="69"/>
  <c r="R101" i="69"/>
  <c r="R100" i="69"/>
  <c r="R64" i="69"/>
  <c r="R60" i="69"/>
  <c r="R56" i="69"/>
  <c r="R52" i="69"/>
  <c r="R48" i="69"/>
  <c r="R92" i="69"/>
  <c r="R91" i="69"/>
  <c r="R87" i="69"/>
  <c r="R83" i="69"/>
  <c r="R124" i="69"/>
  <c r="R112" i="69"/>
  <c r="R105" i="69"/>
  <c r="R104" i="69"/>
  <c r="R88" i="69"/>
  <c r="R84" i="69"/>
  <c r="R45" i="69"/>
  <c r="R53" i="69"/>
  <c r="R103" i="69"/>
  <c r="R94" i="69"/>
  <c r="R110" i="69"/>
  <c r="P68" i="69"/>
  <c r="R68" i="69" s="1"/>
  <c r="R65" i="69"/>
  <c r="R49" i="69"/>
  <c r="R80" i="69"/>
  <c r="R78" i="69"/>
  <c r="R74" i="69"/>
  <c r="R76" i="69"/>
  <c r="R61" i="69"/>
  <c r="X12" i="69"/>
  <c r="Z12" i="69" s="1"/>
  <c r="R95" i="69"/>
  <c r="R81" i="69"/>
  <c r="R72" i="69"/>
  <c r="R93" i="69"/>
  <c r="R57" i="69"/>
  <c r="R102" i="69"/>
  <c r="R75" i="69"/>
  <c r="R96" i="69"/>
  <c r="R79" i="69"/>
  <c r="R111" i="69"/>
  <c r="H107" i="64"/>
  <c r="N16" i="64"/>
  <c r="T62" i="61"/>
  <c r="Z16" i="61"/>
  <c r="L18" i="31"/>
  <c r="D27" i="31"/>
  <c r="H77" i="110"/>
  <c r="J73" i="110"/>
  <c r="P46" i="109"/>
  <c r="X16" i="109"/>
  <c r="H63" i="105"/>
  <c r="N23" i="105"/>
  <c r="J23" i="105"/>
  <c r="R23" i="105"/>
  <c r="F23" i="98"/>
  <c r="F68" i="93"/>
  <c r="F67" i="93"/>
  <c r="F20" i="93"/>
  <c r="F79" i="93"/>
  <c r="F78" i="93"/>
  <c r="F59" i="93"/>
  <c r="F58" i="93"/>
  <c r="F51" i="93"/>
  <c r="F50" i="93"/>
  <c r="F43" i="93"/>
  <c r="F39" i="93"/>
  <c r="F74" i="93"/>
  <c r="F34" i="93"/>
  <c r="F30" i="93"/>
  <c r="F26" i="93"/>
  <c r="F25" i="93"/>
  <c r="F81" i="93"/>
  <c r="F80" i="93"/>
  <c r="F69" i="93"/>
  <c r="F61" i="93"/>
  <c r="F60" i="93"/>
  <c r="F53" i="93"/>
  <c r="F52" i="93"/>
  <c r="F24" i="93"/>
  <c r="F44" i="93"/>
  <c r="F40" i="93"/>
  <c r="F36" i="93"/>
  <c r="F35" i="93"/>
  <c r="D22" i="93"/>
  <c r="F75" i="93"/>
  <c r="F63" i="93"/>
  <c r="F62" i="93"/>
  <c r="F31" i="93"/>
  <c r="F27" i="93"/>
  <c r="F87" i="93"/>
  <c r="F45" i="93"/>
  <c r="F41" i="93"/>
  <c r="F37" i="93"/>
  <c r="F66" i="93"/>
  <c r="F65" i="93"/>
  <c r="F42" i="93"/>
  <c r="F38" i="93"/>
  <c r="F49" i="93"/>
  <c r="F32" i="93"/>
  <c r="L12" i="93"/>
  <c r="N12" i="93" s="1"/>
  <c r="F73" i="93"/>
  <c r="F71" i="93"/>
  <c r="F56" i="93"/>
  <c r="F54" i="93"/>
  <c r="F47" i="93"/>
  <c r="F19" i="93"/>
  <c r="F29" i="93"/>
  <c r="F77" i="93"/>
  <c r="F83" i="93"/>
  <c r="F72" i="93"/>
  <c r="F18" i="93"/>
  <c r="F76" i="93"/>
  <c r="F64" i="93"/>
  <c r="F57" i="93"/>
  <c r="F55" i="93"/>
  <c r="F33" i="93"/>
  <c r="F48" i="93"/>
  <c r="F46" i="93"/>
  <c r="F70" i="93"/>
  <c r="F28" i="93"/>
  <c r="T92" i="93"/>
  <c r="L16" i="78"/>
  <c r="D22" i="78"/>
  <c r="D100" i="84"/>
  <c r="L96" i="84"/>
  <c r="F22" i="80"/>
  <c r="H91" i="89"/>
  <c r="R114" i="75"/>
  <c r="R106" i="75"/>
  <c r="R95" i="75"/>
  <c r="R94" i="75"/>
  <c r="R62" i="75"/>
  <c r="R58" i="75"/>
  <c r="R117" i="75"/>
  <c r="R116" i="75"/>
  <c r="R102" i="75"/>
  <c r="R101" i="75"/>
  <c r="R85" i="75"/>
  <c r="R49" i="75"/>
  <c r="R45" i="75"/>
  <c r="R41" i="75"/>
  <c r="R118" i="75"/>
  <c r="R96" i="75"/>
  <c r="R77" i="75"/>
  <c r="R76" i="75"/>
  <c r="R119" i="75"/>
  <c r="R108" i="75"/>
  <c r="R107" i="75"/>
  <c r="R103" i="75"/>
  <c r="R63" i="75"/>
  <c r="R59" i="75"/>
  <c r="R110" i="75"/>
  <c r="R109" i="75"/>
  <c r="R97" i="75"/>
  <c r="R73" i="75"/>
  <c r="R69" i="75"/>
  <c r="R104" i="75"/>
  <c r="R89" i="75"/>
  <c r="R88" i="75"/>
  <c r="R80" i="75"/>
  <c r="R64" i="75"/>
  <c r="R60" i="75"/>
  <c r="R99" i="75"/>
  <c r="R98" i="75"/>
  <c r="R91" i="75"/>
  <c r="R90" i="75"/>
  <c r="R74" i="75"/>
  <c r="R70" i="75"/>
  <c r="R55" i="75"/>
  <c r="R53" i="75"/>
  <c r="R113" i="75"/>
  <c r="R105" i="75"/>
  <c r="R57" i="75"/>
  <c r="P53" i="75"/>
  <c r="R44" i="75"/>
  <c r="R93" i="75"/>
  <c r="R72" i="75"/>
  <c r="R65" i="75"/>
  <c r="R61" i="75"/>
  <c r="R47" i="75"/>
  <c r="R38" i="75"/>
  <c r="R83" i="75"/>
  <c r="R79" i="75"/>
  <c r="R35" i="75"/>
  <c r="R81" i="75"/>
  <c r="R123" i="75"/>
  <c r="R68" i="75"/>
  <c r="R50" i="75"/>
  <c r="R39" i="75"/>
  <c r="R100" i="75"/>
  <c r="R86" i="75"/>
  <c r="R66" i="75"/>
  <c r="R42" i="75"/>
  <c r="R36" i="75"/>
  <c r="R75" i="75"/>
  <c r="R56" i="75"/>
  <c r="R48" i="75"/>
  <c r="X12" i="75"/>
  <c r="Z12" i="75" s="1"/>
  <c r="R111" i="75"/>
  <c r="R84" i="75"/>
  <c r="R82" i="75"/>
  <c r="R51" i="75"/>
  <c r="R87" i="75"/>
  <c r="R71" i="75"/>
  <c r="R43" i="75"/>
  <c r="R40" i="75"/>
  <c r="R112" i="75"/>
  <c r="R92" i="75"/>
  <c r="R78" i="75"/>
  <c r="R67" i="75"/>
  <c r="R46" i="75"/>
  <c r="R37" i="75"/>
  <c r="T97" i="74"/>
  <c r="V54" i="74"/>
  <c r="F86" i="76"/>
  <c r="F77" i="76"/>
  <c r="F87" i="76"/>
  <c r="F85" i="76"/>
  <c r="F72" i="76"/>
  <c r="F64" i="76"/>
  <c r="F63" i="76"/>
  <c r="F52" i="76"/>
  <c r="F48" i="76"/>
  <c r="F44" i="76"/>
  <c r="F39" i="76"/>
  <c r="F35" i="76"/>
  <c r="F78" i="76"/>
  <c r="F74" i="76"/>
  <c r="F73" i="76"/>
  <c r="F66" i="76"/>
  <c r="F65" i="76"/>
  <c r="F54" i="76"/>
  <c r="F53" i="76"/>
  <c r="F91" i="76"/>
  <c r="F49" i="76"/>
  <c r="F45" i="76"/>
  <c r="F80" i="76"/>
  <c r="F79" i="76"/>
  <c r="F68" i="76"/>
  <c r="F67" i="76"/>
  <c r="F56" i="76"/>
  <c r="F55" i="76"/>
  <c r="F40" i="76"/>
  <c r="F36" i="76"/>
  <c r="F75" i="76"/>
  <c r="F81" i="76"/>
  <c r="F69" i="76"/>
  <c r="F41" i="76"/>
  <c r="F37" i="76"/>
  <c r="F33" i="76"/>
  <c r="F32" i="76"/>
  <c r="F76" i="76"/>
  <c r="F60" i="76"/>
  <c r="F59" i="76"/>
  <c r="F31" i="76"/>
  <c r="F29" i="76"/>
  <c r="F27" i="76"/>
  <c r="F57" i="76"/>
  <c r="F38" i="76"/>
  <c r="F34" i="76"/>
  <c r="D29" i="76"/>
  <c r="L12" i="76"/>
  <c r="N12" i="76" s="1"/>
  <c r="F62" i="76"/>
  <c r="F83" i="76"/>
  <c r="F71" i="76"/>
  <c r="F58" i="76"/>
  <c r="F51" i="76"/>
  <c r="F47" i="76"/>
  <c r="F43" i="76"/>
  <c r="F70" i="76"/>
  <c r="F42" i="76"/>
  <c r="F46" i="76"/>
  <c r="F50" i="76"/>
  <c r="F61" i="76"/>
  <c r="F82" i="76"/>
  <c r="P61" i="60"/>
  <c r="X16" i="60"/>
  <c r="F121" i="71"/>
  <c r="F112" i="71"/>
  <c r="F111" i="71"/>
  <c r="F104" i="71"/>
  <c r="F96" i="71"/>
  <c r="F88" i="71"/>
  <c r="F87" i="71"/>
  <c r="F72" i="71"/>
  <c r="F68" i="71"/>
  <c r="F122" i="71"/>
  <c r="F120" i="71"/>
  <c r="F62" i="71"/>
  <c r="F55" i="71"/>
  <c r="F51" i="71"/>
  <c r="F47" i="71"/>
  <c r="F43" i="71"/>
  <c r="F42" i="71"/>
  <c r="F124" i="71"/>
  <c r="F113" i="71"/>
  <c r="F89" i="71"/>
  <c r="F73" i="71"/>
  <c r="F69" i="71"/>
  <c r="F65" i="71"/>
  <c r="F115" i="71"/>
  <c r="F114" i="71"/>
  <c r="F91" i="71"/>
  <c r="F90" i="71"/>
  <c r="F83" i="71"/>
  <c r="F79" i="71"/>
  <c r="F75" i="71"/>
  <c r="F74" i="71"/>
  <c r="F117" i="71"/>
  <c r="F116" i="71"/>
  <c r="F109" i="71"/>
  <c r="F84" i="71"/>
  <c r="F80" i="71"/>
  <c r="F76" i="71"/>
  <c r="F118" i="71"/>
  <c r="F110" i="71"/>
  <c r="F86" i="71"/>
  <c r="F85" i="71"/>
  <c r="F58" i="71"/>
  <c r="F54" i="71"/>
  <c r="F50" i="71"/>
  <c r="F46" i="71"/>
  <c r="F99" i="71"/>
  <c r="F53" i="71"/>
  <c r="F67" i="71"/>
  <c r="F56" i="71"/>
  <c r="F102" i="71"/>
  <c r="F94" i="71"/>
  <c r="D60" i="71"/>
  <c r="F45" i="71"/>
  <c r="F107" i="71"/>
  <c r="F81" i="71"/>
  <c r="F48" i="71"/>
  <c r="F128" i="71"/>
  <c r="F97" i="71"/>
  <c r="F100" i="71"/>
  <c r="F70" i="71"/>
  <c r="F57" i="71"/>
  <c r="F95" i="71"/>
  <c r="F77" i="71"/>
  <c r="F105" i="71"/>
  <c r="F92" i="71"/>
  <c r="F82" i="71"/>
  <c r="F63" i="71"/>
  <c r="F49" i="71"/>
  <c r="L12" i="71"/>
  <c r="N12" i="71" s="1"/>
  <c r="F101" i="71"/>
  <c r="F78" i="71"/>
  <c r="F64" i="71"/>
  <c r="F44" i="71"/>
  <c r="F93" i="71"/>
  <c r="F123" i="71"/>
  <c r="F98" i="71"/>
  <c r="F108" i="71"/>
  <c r="F71" i="71"/>
  <c r="F106" i="71"/>
  <c r="F103" i="71"/>
  <c r="F52" i="71"/>
  <c r="F66" i="71"/>
  <c r="V17" i="59"/>
  <c r="D107" i="64"/>
  <c r="L16" i="64"/>
  <c r="T73" i="48"/>
  <c r="Z17" i="48"/>
  <c r="N22" i="54"/>
  <c r="H26" i="54"/>
  <c r="L16" i="54"/>
  <c r="D22" i="54"/>
  <c r="X33" i="55"/>
  <c r="Z33" i="55" s="1"/>
  <c r="P37" i="55"/>
  <c r="D62" i="61"/>
  <c r="L16" i="61"/>
  <c r="P73" i="48"/>
  <c r="X17" i="48"/>
  <c r="H143" i="39"/>
  <c r="N36" i="39"/>
  <c r="J137" i="36"/>
  <c r="D143" i="39"/>
  <c r="L36" i="39"/>
  <c r="F286" i="18"/>
  <c r="F257" i="18"/>
  <c r="F229" i="18"/>
  <c r="F228" i="18"/>
  <c r="F221" i="18"/>
  <c r="F220" i="18"/>
  <c r="F193" i="18"/>
  <c r="F189" i="18"/>
  <c r="F287" i="18"/>
  <c r="F276" i="18"/>
  <c r="F268" i="18"/>
  <c r="F264" i="18"/>
  <c r="F252" i="18"/>
  <c r="F240" i="18"/>
  <c r="F239" i="18"/>
  <c r="F216" i="18"/>
  <c r="F215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3" i="18"/>
  <c r="F289" i="18"/>
  <c r="F270" i="18"/>
  <c r="F269" i="18"/>
  <c r="F254" i="18"/>
  <c r="F253" i="18"/>
  <c r="F242" i="18"/>
  <c r="F241" i="18"/>
  <c r="F222" i="18"/>
  <c r="F194" i="18"/>
  <c r="F190" i="18"/>
  <c r="L12" i="18"/>
  <c r="N12" i="18" s="1"/>
  <c r="F290" i="18"/>
  <c r="F277" i="18"/>
  <c r="F265" i="18"/>
  <c r="F249" i="18"/>
  <c r="F248" i="18"/>
  <c r="F217" i="18"/>
  <c r="F209" i="18"/>
  <c r="F208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291" i="18"/>
  <c r="F260" i="18"/>
  <c r="F244" i="18"/>
  <c r="F243" i="18"/>
  <c r="F232" i="18"/>
  <c r="F224" i="18"/>
  <c r="F223" i="18"/>
  <c r="F204" i="18"/>
  <c r="F200" i="18"/>
  <c r="F292" i="18"/>
  <c r="F279" i="18"/>
  <c r="F278" i="18"/>
  <c r="F271" i="18"/>
  <c r="F255" i="18"/>
  <c r="F211" i="18"/>
  <c r="F210" i="18"/>
  <c r="F195" i="18"/>
  <c r="F191" i="18"/>
  <c r="F187" i="18"/>
  <c r="F186" i="18"/>
  <c r="F293" i="18"/>
  <c r="F266" i="18"/>
  <c r="F262" i="18"/>
  <c r="F261" i="18"/>
  <c r="F250" i="18"/>
  <c r="F234" i="18"/>
  <c r="F233" i="18"/>
  <c r="F218" i="18"/>
  <c r="F185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82" i="18"/>
  <c r="F273" i="18"/>
  <c r="F272" i="18"/>
  <c r="F245" i="18"/>
  <c r="F225" i="18"/>
  <c r="F205" i="18"/>
  <c r="F201" i="18"/>
  <c r="D183" i="18"/>
  <c r="F183" i="18" s="1"/>
  <c r="F283" i="18"/>
  <c r="F281" i="18"/>
  <c r="F256" i="18"/>
  <c r="F236" i="18"/>
  <c r="F235" i="18"/>
  <c r="F212" i="18"/>
  <c r="F196" i="18"/>
  <c r="F192" i="18"/>
  <c r="F188" i="18"/>
  <c r="F275" i="18"/>
  <c r="F230" i="18"/>
  <c r="F226" i="18"/>
  <c r="F214" i="18"/>
  <c r="F284" i="18"/>
  <c r="F258" i="18"/>
  <c r="F247" i="18"/>
  <c r="F237" i="18"/>
  <c r="F198" i="18"/>
  <c r="F251" i="18"/>
  <c r="F231" i="18"/>
  <c r="F263" i="18"/>
  <c r="F259" i="18"/>
  <c r="F202" i="18"/>
  <c r="F297" i="18"/>
  <c r="F274" i="18"/>
  <c r="F227" i="18"/>
  <c r="F206" i="18"/>
  <c r="F179" i="18"/>
  <c r="F175" i="18"/>
  <c r="F171" i="18"/>
  <c r="F167" i="18"/>
  <c r="F163" i="18"/>
  <c r="F159" i="18"/>
  <c r="F155" i="18"/>
  <c r="F151" i="18"/>
  <c r="F147" i="18"/>
  <c r="F219" i="18"/>
  <c r="F213" i="18"/>
  <c r="F199" i="18"/>
  <c r="F143" i="18"/>
  <c r="F285" i="18"/>
  <c r="F139" i="18"/>
  <c r="F288" i="18"/>
  <c r="F207" i="18"/>
  <c r="F131" i="18"/>
  <c r="F238" i="18"/>
  <c r="F197" i="18"/>
  <c r="F246" i="18"/>
  <c r="F267" i="18"/>
  <c r="F203" i="18"/>
  <c r="F135" i="18"/>
  <c r="F127" i="18"/>
  <c r="R271" i="12"/>
  <c r="R262" i="12"/>
  <c r="R261" i="12"/>
  <c r="R229" i="12"/>
  <c r="R218" i="12"/>
  <c r="R217" i="12"/>
  <c r="R194" i="12"/>
  <c r="R193" i="12"/>
  <c r="R178" i="12"/>
  <c r="R177" i="12"/>
  <c r="R173" i="12"/>
  <c r="R169" i="12"/>
  <c r="R272" i="12"/>
  <c r="R245" i="12"/>
  <c r="R244" i="12"/>
  <c r="R240" i="12"/>
  <c r="R209" i="12"/>
  <c r="R208" i="12"/>
  <c r="R201" i="12"/>
  <c r="R200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73" i="12"/>
  <c r="R263" i="12"/>
  <c r="R255" i="12"/>
  <c r="R251" i="12"/>
  <c r="R235" i="12"/>
  <c r="R220" i="12"/>
  <c r="R219" i="12"/>
  <c r="R196" i="12"/>
  <c r="R195" i="12"/>
  <c r="R187" i="12"/>
  <c r="R183" i="12"/>
  <c r="R179" i="12"/>
  <c r="R274" i="12"/>
  <c r="R246" i="12"/>
  <c r="R230" i="12"/>
  <c r="R211" i="12"/>
  <c r="R210" i="12"/>
  <c r="R202" i="12"/>
  <c r="R174" i="12"/>
  <c r="R170" i="12"/>
  <c r="R275" i="12"/>
  <c r="R241" i="12"/>
  <c r="R222" i="12"/>
  <c r="R221" i="12"/>
  <c r="R197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76" i="12"/>
  <c r="R264" i="12"/>
  <c r="R257" i="12"/>
  <c r="R256" i="12"/>
  <c r="R252" i="12"/>
  <c r="R236" i="12"/>
  <c r="R212" i="12"/>
  <c r="R189" i="12"/>
  <c r="R188" i="12"/>
  <c r="R184" i="12"/>
  <c r="R180" i="12"/>
  <c r="R277" i="12"/>
  <c r="R248" i="12"/>
  <c r="R247" i="12"/>
  <c r="R231" i="12"/>
  <c r="R224" i="12"/>
  <c r="R223" i="12"/>
  <c r="R204" i="12"/>
  <c r="R203" i="12"/>
  <c r="R175" i="12"/>
  <c r="R171" i="12"/>
  <c r="R278" i="12"/>
  <c r="R258" i="12"/>
  <c r="R242" i="12"/>
  <c r="R198" i="12"/>
  <c r="R191" i="12"/>
  <c r="R190" i="12"/>
  <c r="R167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X12" i="12"/>
  <c r="Z12" i="12" s="1"/>
  <c r="R266" i="12"/>
  <c r="R265" i="12"/>
  <c r="R253" i="12"/>
  <c r="R249" i="12"/>
  <c r="R238" i="12"/>
  <c r="R237" i="12"/>
  <c r="R226" i="12"/>
  <c r="R225" i="12"/>
  <c r="R214" i="12"/>
  <c r="R213" i="12"/>
  <c r="R205" i="12"/>
  <c r="R185" i="12"/>
  <c r="R181" i="12"/>
  <c r="R166" i="12"/>
  <c r="R267" i="12"/>
  <c r="R260" i="12"/>
  <c r="R259" i="12"/>
  <c r="R243" i="12"/>
  <c r="R239" i="12"/>
  <c r="R228" i="12"/>
  <c r="R227" i="12"/>
  <c r="R216" i="12"/>
  <c r="R215" i="12"/>
  <c r="R199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34" i="12"/>
  <c r="R232" i="12"/>
  <c r="R186" i="12"/>
  <c r="R109" i="12"/>
  <c r="R269" i="12"/>
  <c r="R192" i="12"/>
  <c r="P164" i="12"/>
  <c r="R164" i="12" s="1"/>
  <c r="R250" i="12"/>
  <c r="R207" i="12"/>
  <c r="R172" i="12"/>
  <c r="R282" i="12"/>
  <c r="R233" i="12"/>
  <c r="R254" i="12"/>
  <c r="R270" i="12"/>
  <c r="R176" i="12"/>
  <c r="R206" i="12"/>
  <c r="R182" i="12"/>
  <c r="R168" i="12"/>
  <c r="N16" i="6"/>
  <c r="H22" i="6"/>
  <c r="T26" i="6"/>
  <c r="Z22" i="6"/>
  <c r="L18" i="49"/>
  <c r="D27" i="49"/>
  <c r="P27" i="43"/>
  <c r="X18" i="43"/>
  <c r="X18" i="44"/>
  <c r="P27" i="44"/>
  <c r="X18" i="32"/>
  <c r="P27" i="32"/>
  <c r="X18" i="20"/>
  <c r="P27" i="20"/>
  <c r="X18" i="25"/>
  <c r="P27" i="25"/>
  <c r="Z18" i="19"/>
  <c r="T27" i="19"/>
  <c r="H27" i="14"/>
  <c r="N18" i="14"/>
  <c r="L18" i="14"/>
  <c r="D27" i="14"/>
  <c r="X18" i="10"/>
  <c r="P27" i="10"/>
  <c r="D27" i="8"/>
  <c r="L18" i="8"/>
  <c r="R65" i="110"/>
  <c r="R64" i="110"/>
  <c r="R49" i="110"/>
  <c r="R48" i="110"/>
  <c r="R67" i="110"/>
  <c r="R66" i="110"/>
  <c r="R51" i="110"/>
  <c r="R50" i="110"/>
  <c r="R26" i="110"/>
  <c r="R22" i="110"/>
  <c r="X12" i="110"/>
  <c r="Z12" i="110" s="1"/>
  <c r="R68" i="110"/>
  <c r="R61" i="110"/>
  <c r="R60" i="110"/>
  <c r="R53" i="110"/>
  <c r="R52" i="110"/>
  <c r="R71" i="110"/>
  <c r="R70" i="110"/>
  <c r="R27" i="110"/>
  <c r="R23" i="110"/>
  <c r="R62" i="110"/>
  <c r="R55" i="110"/>
  <c r="R54" i="110"/>
  <c r="R43" i="110"/>
  <c r="R42" i="110"/>
  <c r="R37" i="110"/>
  <c r="R33" i="110"/>
  <c r="R75" i="110"/>
  <c r="R63" i="110"/>
  <c r="R35" i="110"/>
  <c r="R59" i="110"/>
  <c r="R40" i="110"/>
  <c r="R30" i="110"/>
  <c r="R25" i="110"/>
  <c r="R46" i="110"/>
  <c r="R38" i="110"/>
  <c r="R41" i="110"/>
  <c r="R28" i="110"/>
  <c r="R15" i="110"/>
  <c r="R58" i="110"/>
  <c r="R36" i="110"/>
  <c r="R31" i="110"/>
  <c r="R21" i="110"/>
  <c r="R47" i="110"/>
  <c r="R44" i="110"/>
  <c r="R56" i="110"/>
  <c r="R34" i="110"/>
  <c r="R24" i="110"/>
  <c r="R17" i="110"/>
  <c r="R39" i="110"/>
  <c r="P17" i="110"/>
  <c r="R45" i="110"/>
  <c r="R19" i="110"/>
  <c r="R32" i="110"/>
  <c r="R57" i="110"/>
  <c r="R29" i="110"/>
  <c r="R20" i="110"/>
  <c r="R88" i="95"/>
  <c r="R54" i="95"/>
  <c r="R77" i="95"/>
  <c r="R73" i="95"/>
  <c r="R45" i="95"/>
  <c r="R41" i="95"/>
  <c r="R37" i="95"/>
  <c r="R18" i="95"/>
  <c r="R65" i="95"/>
  <c r="R64" i="95"/>
  <c r="R32" i="95"/>
  <c r="R28" i="95"/>
  <c r="X12" i="95"/>
  <c r="Z12" i="95" s="1"/>
  <c r="R56" i="95"/>
  <c r="R55" i="95"/>
  <c r="R19" i="95"/>
  <c r="R79" i="95"/>
  <c r="R78" i="95"/>
  <c r="R74" i="95"/>
  <c r="R67" i="95"/>
  <c r="R66" i="95"/>
  <c r="R47" i="95"/>
  <c r="R46" i="95"/>
  <c r="R42" i="95"/>
  <c r="R38" i="95"/>
  <c r="R58" i="95"/>
  <c r="R57" i="95"/>
  <c r="R33" i="95"/>
  <c r="R29" i="95"/>
  <c r="R81" i="95"/>
  <c r="R80" i="95"/>
  <c r="R69" i="95"/>
  <c r="R68" i="95"/>
  <c r="R75" i="95"/>
  <c r="R60" i="95"/>
  <c r="R59" i="95"/>
  <c r="R43" i="95"/>
  <c r="R39" i="95"/>
  <c r="R82" i="95"/>
  <c r="R71" i="95"/>
  <c r="R70" i="95"/>
  <c r="R51" i="95"/>
  <c r="R50" i="95"/>
  <c r="R34" i="95"/>
  <c r="R30" i="95"/>
  <c r="R84" i="95"/>
  <c r="R62" i="95"/>
  <c r="R61" i="95"/>
  <c r="R26" i="95"/>
  <c r="R76" i="95"/>
  <c r="R72" i="95"/>
  <c r="R53" i="95"/>
  <c r="R52" i="95"/>
  <c r="R44" i="95"/>
  <c r="R40" i="95"/>
  <c r="R25" i="95"/>
  <c r="P23" i="95"/>
  <c r="R35" i="95"/>
  <c r="R63" i="95"/>
  <c r="R21" i="95"/>
  <c r="R36" i="95"/>
  <c r="R31" i="95"/>
  <c r="R48" i="95"/>
  <c r="R20" i="95"/>
  <c r="R27" i="95"/>
  <c r="R49" i="95"/>
  <c r="H91" i="73"/>
  <c r="T73" i="110"/>
  <c r="H100" i="106"/>
  <c r="H92" i="104"/>
  <c r="T92" i="104"/>
  <c r="H75" i="101"/>
  <c r="N22" i="101"/>
  <c r="P75" i="101"/>
  <c r="X22" i="101"/>
  <c r="Z22" i="101" s="1"/>
  <c r="T108" i="96"/>
  <c r="J51" i="85"/>
  <c r="H126" i="85"/>
  <c r="H28" i="83"/>
  <c r="J22" i="83"/>
  <c r="D32" i="86"/>
  <c r="L20" i="86"/>
  <c r="N20" i="86" s="1"/>
  <c r="H82" i="81"/>
  <c r="N22" i="81"/>
  <c r="D112" i="77"/>
  <c r="L56" i="77"/>
  <c r="N56" i="77" s="1"/>
  <c r="T76" i="58"/>
  <c r="Z16" i="58"/>
  <c r="N16" i="61"/>
  <c r="H62" i="61"/>
  <c r="H77" i="59"/>
  <c r="T116" i="21"/>
  <c r="V29" i="21"/>
  <c r="R135" i="36"/>
  <c r="R125" i="36"/>
  <c r="R117" i="36"/>
  <c r="R113" i="36"/>
  <c r="R109" i="36"/>
  <c r="R139" i="36"/>
  <c r="R106" i="36"/>
  <c r="R133" i="36"/>
  <c r="R124" i="36"/>
  <c r="R123" i="36"/>
  <c r="R108" i="36"/>
  <c r="R107" i="36"/>
  <c r="R132" i="36"/>
  <c r="R120" i="36"/>
  <c r="R110" i="36"/>
  <c r="R93" i="36"/>
  <c r="R86" i="36"/>
  <c r="R85" i="36"/>
  <c r="R53" i="36"/>
  <c r="R49" i="36"/>
  <c r="R26" i="36"/>
  <c r="R102" i="36"/>
  <c r="R97" i="36"/>
  <c r="R77" i="36"/>
  <c r="R76" i="36"/>
  <c r="R61" i="36"/>
  <c r="R60" i="36"/>
  <c r="R45" i="36"/>
  <c r="R44" i="36"/>
  <c r="R40" i="36"/>
  <c r="R36" i="36"/>
  <c r="R129" i="36"/>
  <c r="R115" i="36"/>
  <c r="R78" i="36"/>
  <c r="R63" i="36"/>
  <c r="R62" i="36"/>
  <c r="R54" i="36"/>
  <c r="R50" i="36"/>
  <c r="R46" i="36"/>
  <c r="R126" i="36"/>
  <c r="R99" i="36"/>
  <c r="R98" i="36"/>
  <c r="R94" i="36"/>
  <c r="R90" i="36"/>
  <c r="R89" i="36"/>
  <c r="R69" i="36"/>
  <c r="R41" i="36"/>
  <c r="R37" i="36"/>
  <c r="R121" i="36"/>
  <c r="R111" i="36"/>
  <c r="R103" i="36"/>
  <c r="R64" i="36"/>
  <c r="R28" i="36"/>
  <c r="R134" i="36"/>
  <c r="R95" i="36"/>
  <c r="R91" i="36"/>
  <c r="R80" i="36"/>
  <c r="R79" i="36"/>
  <c r="R56" i="36"/>
  <c r="R55" i="36"/>
  <c r="R51" i="36"/>
  <c r="R47" i="36"/>
  <c r="R118" i="36"/>
  <c r="R100" i="36"/>
  <c r="R71" i="36"/>
  <c r="R70" i="36"/>
  <c r="R42" i="36"/>
  <c r="R38" i="36"/>
  <c r="R131" i="36"/>
  <c r="R127" i="36"/>
  <c r="R104" i="36"/>
  <c r="R92" i="36"/>
  <c r="R73" i="36"/>
  <c r="R72" i="36"/>
  <c r="R52" i="36"/>
  <c r="R48" i="36"/>
  <c r="R33" i="36"/>
  <c r="R31" i="36"/>
  <c r="X12" i="36"/>
  <c r="Z12" i="36" s="1"/>
  <c r="R67" i="36"/>
  <c r="R65" i="36"/>
  <c r="P31" i="36"/>
  <c r="R88" i="36"/>
  <c r="R83" i="36"/>
  <c r="R57" i="36"/>
  <c r="R96" i="36"/>
  <c r="R74" i="36"/>
  <c r="R128" i="36"/>
  <c r="R58" i="36"/>
  <c r="R119" i="36"/>
  <c r="R68" i="36"/>
  <c r="R35" i="36"/>
  <c r="R84" i="36"/>
  <c r="R81" i="36"/>
  <c r="R75" i="36"/>
  <c r="R29" i="36"/>
  <c r="R112" i="36"/>
  <c r="R101" i="36"/>
  <c r="R66" i="36"/>
  <c r="R43" i="36"/>
  <c r="R39" i="36"/>
  <c r="R27" i="36"/>
  <c r="R82" i="36"/>
  <c r="R114" i="36"/>
  <c r="R34" i="36"/>
  <c r="R87" i="36"/>
  <c r="R105" i="36"/>
  <c r="R122" i="36"/>
  <c r="R59" i="36"/>
  <c r="R116" i="36"/>
  <c r="R291" i="18"/>
  <c r="R278" i="18"/>
  <c r="R277" i="18"/>
  <c r="R265" i="18"/>
  <c r="R249" i="18"/>
  <c r="R217" i="18"/>
  <c r="R210" i="18"/>
  <c r="R209" i="18"/>
  <c r="R186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92" i="18"/>
  <c r="R261" i="18"/>
  <c r="R260" i="18"/>
  <c r="R244" i="18"/>
  <c r="R233" i="18"/>
  <c r="R232" i="18"/>
  <c r="R224" i="18"/>
  <c r="R204" i="18"/>
  <c r="R200" i="18"/>
  <c r="R185" i="18"/>
  <c r="R282" i="18"/>
  <c r="R281" i="18"/>
  <c r="R266" i="18"/>
  <c r="R262" i="18"/>
  <c r="R250" i="18"/>
  <c r="R235" i="18"/>
  <c r="R234" i="18"/>
  <c r="R218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83" i="18"/>
  <c r="R274" i="18"/>
  <c r="R273" i="18"/>
  <c r="R245" i="18"/>
  <c r="R226" i="18"/>
  <c r="R225" i="18"/>
  <c r="R205" i="18"/>
  <c r="R201" i="18"/>
  <c r="R284" i="18"/>
  <c r="R256" i="18"/>
  <c r="R237" i="18"/>
  <c r="R236" i="18"/>
  <c r="R213" i="18"/>
  <c r="R212" i="18"/>
  <c r="R197" i="18"/>
  <c r="R196" i="18"/>
  <c r="R192" i="18"/>
  <c r="R188" i="18"/>
  <c r="R297" i="18"/>
  <c r="R285" i="18"/>
  <c r="R275" i="18"/>
  <c r="R267" i="18"/>
  <c r="R263" i="18"/>
  <c r="R251" i="18"/>
  <c r="R228" i="18"/>
  <c r="R227" i="18"/>
  <c r="R220" i="18"/>
  <c r="R219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286" i="18"/>
  <c r="R246" i="18"/>
  <c r="R239" i="18"/>
  <c r="R238" i="18"/>
  <c r="R215" i="18"/>
  <c r="R214" i="18"/>
  <c r="R206" i="18"/>
  <c r="R202" i="18"/>
  <c r="R198" i="18"/>
  <c r="R123" i="18"/>
  <c r="R287" i="18"/>
  <c r="R258" i="18"/>
  <c r="R257" i="18"/>
  <c r="R230" i="18"/>
  <c r="R229" i="18"/>
  <c r="R221" i="18"/>
  <c r="R193" i="18"/>
  <c r="R189" i="18"/>
  <c r="R288" i="18"/>
  <c r="R276" i="18"/>
  <c r="R269" i="18"/>
  <c r="R268" i="18"/>
  <c r="R264" i="18"/>
  <c r="R253" i="18"/>
  <c r="R252" i="18"/>
  <c r="R241" i="18"/>
  <c r="R240" i="18"/>
  <c r="R216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93" i="18"/>
  <c r="R279" i="18"/>
  <c r="R271" i="18"/>
  <c r="R222" i="18"/>
  <c r="R231" i="18"/>
  <c r="P183" i="18"/>
  <c r="R183" i="18" s="1"/>
  <c r="R289" i="18"/>
  <c r="R259" i="18"/>
  <c r="R194" i="18"/>
  <c r="R190" i="18"/>
  <c r="R272" i="18"/>
  <c r="R223" i="18"/>
  <c r="R248" i="18"/>
  <c r="R199" i="18"/>
  <c r="R255" i="18"/>
  <c r="R242" i="18"/>
  <c r="R270" i="18"/>
  <c r="R211" i="18"/>
  <c r="R203" i="18"/>
  <c r="R187" i="18"/>
  <c r="R207" i="18"/>
  <c r="X12" i="18"/>
  <c r="Z12" i="18" s="1"/>
  <c r="R290" i="18"/>
  <c r="R243" i="18"/>
  <c r="R195" i="18"/>
  <c r="R191" i="18"/>
  <c r="R208" i="18"/>
  <c r="R254" i="18"/>
  <c r="R247" i="18"/>
  <c r="H267" i="15"/>
  <c r="H106" i="33"/>
  <c r="F196" i="3"/>
  <c r="L18" i="111"/>
  <c r="D27" i="111"/>
  <c r="H27" i="52"/>
  <c r="N18" i="52"/>
  <c r="X18" i="40"/>
  <c r="P27" i="40"/>
  <c r="Z18" i="43"/>
  <c r="T27" i="43"/>
  <c r="D27" i="41"/>
  <c r="L18" i="41"/>
  <c r="L18" i="34"/>
  <c r="D27" i="34"/>
  <c r="H27" i="35"/>
  <c r="N18" i="35"/>
  <c r="X18" i="13"/>
  <c r="P27" i="13"/>
  <c r="L18" i="13"/>
  <c r="D27" i="13"/>
  <c r="L27" i="13" l="1"/>
  <c r="D31" i="13"/>
  <c r="P31" i="40"/>
  <c r="X27" i="40"/>
  <c r="T120" i="21"/>
  <c r="V116" i="21"/>
  <c r="H32" i="83"/>
  <c r="J28" i="83"/>
  <c r="X27" i="10"/>
  <c r="P31" i="10"/>
  <c r="P31" i="32"/>
  <c r="X27" i="32"/>
  <c r="D147" i="39"/>
  <c r="L143" i="39"/>
  <c r="F143" i="39"/>
  <c r="N26" i="54"/>
  <c r="H31" i="54"/>
  <c r="P65" i="60"/>
  <c r="X61" i="60"/>
  <c r="Z61" i="60" s="1"/>
  <c r="H94" i="89"/>
  <c r="J91" i="89"/>
  <c r="H67" i="105"/>
  <c r="N63" i="105"/>
  <c r="J63" i="105"/>
  <c r="N27" i="23"/>
  <c r="H31" i="23"/>
  <c r="L60" i="27"/>
  <c r="N60" i="27" s="1"/>
  <c r="D126" i="27"/>
  <c r="P143" i="39"/>
  <c r="X36" i="39"/>
  <c r="Z36" i="39" s="1"/>
  <c r="D80" i="58"/>
  <c r="L76" i="58"/>
  <c r="N76" i="58" s="1"/>
  <c r="H99" i="92"/>
  <c r="L46" i="109"/>
  <c r="N46" i="109" s="1"/>
  <c r="D50" i="109"/>
  <c r="T88" i="56"/>
  <c r="D126" i="85"/>
  <c r="L51" i="85"/>
  <c r="N51" i="85" s="1"/>
  <c r="X91" i="102"/>
  <c r="P95" i="102"/>
  <c r="R91" i="102"/>
  <c r="H158" i="30"/>
  <c r="J154" i="30"/>
  <c r="X88" i="56"/>
  <c r="H125" i="75"/>
  <c r="J121" i="75"/>
  <c r="P32" i="83"/>
  <c r="X28" i="83"/>
  <c r="R28" i="83"/>
  <c r="P31" i="29"/>
  <c r="X27" i="29"/>
  <c r="H299" i="18"/>
  <c r="J295" i="18"/>
  <c r="N27" i="17"/>
  <c r="H31" i="17"/>
  <c r="L27" i="19"/>
  <c r="D31" i="19"/>
  <c r="H31" i="50"/>
  <c r="N27" i="50"/>
  <c r="X29" i="21"/>
  <c r="Z29" i="21" s="1"/>
  <c r="P116" i="21"/>
  <c r="H65" i="60"/>
  <c r="N61" i="60"/>
  <c r="T119" i="77"/>
  <c r="V116" i="77"/>
  <c r="H105" i="96"/>
  <c r="J101" i="96"/>
  <c r="D77" i="110"/>
  <c r="L73" i="110"/>
  <c r="N73" i="110" s="1"/>
  <c r="F73" i="110"/>
  <c r="P31" i="47"/>
  <c r="X27" i="47"/>
  <c r="T126" i="69"/>
  <c r="V122" i="69"/>
  <c r="H140" i="24"/>
  <c r="J136" i="24"/>
  <c r="L76" i="24"/>
  <c r="N76" i="24" s="1"/>
  <c r="D136" i="24"/>
  <c r="T113" i="33"/>
  <c r="V110" i="33"/>
  <c r="H31" i="19"/>
  <c r="N27" i="19"/>
  <c r="L27" i="28"/>
  <c r="D31" i="28"/>
  <c r="Z27" i="5"/>
  <c r="T31" i="5"/>
  <c r="L158" i="15"/>
  <c r="N158" i="15" s="1"/>
  <c r="D267" i="15"/>
  <c r="T96" i="104"/>
  <c r="V92" i="104"/>
  <c r="R36" i="39"/>
  <c r="T31" i="11"/>
  <c r="Z27" i="11"/>
  <c r="N27" i="46"/>
  <c r="H31" i="46"/>
  <c r="X29" i="76"/>
  <c r="Z29" i="76" s="1"/>
  <c r="P89" i="76"/>
  <c r="H88" i="80"/>
  <c r="J85" i="80"/>
  <c r="H31" i="40"/>
  <c r="N27" i="40"/>
  <c r="N27" i="47"/>
  <c r="H31" i="47"/>
  <c r="L101" i="96"/>
  <c r="N101" i="96" s="1"/>
  <c r="D105" i="96"/>
  <c r="F101" i="96"/>
  <c r="H53" i="109"/>
  <c r="Z27" i="7"/>
  <c r="T31" i="7"/>
  <c r="N27" i="25"/>
  <c r="H31" i="25"/>
  <c r="Z27" i="53"/>
  <c r="T31" i="53"/>
  <c r="Z27" i="112"/>
  <c r="T31" i="112"/>
  <c r="T284" i="12"/>
  <c r="V280" i="12"/>
  <c r="X85" i="56"/>
  <c r="Z85" i="56" s="1"/>
  <c r="Z27" i="34"/>
  <c r="T31" i="34"/>
  <c r="T130" i="85"/>
  <c r="V126" i="85"/>
  <c r="Z47" i="99"/>
  <c r="T51" i="99"/>
  <c r="D31" i="29"/>
  <c r="L27" i="29"/>
  <c r="L27" i="52"/>
  <c r="D31" i="52"/>
  <c r="Z73" i="59"/>
  <c r="T77" i="59"/>
  <c r="V73" i="59"/>
  <c r="T111" i="64"/>
  <c r="H31" i="7"/>
  <c r="N27" i="7"/>
  <c r="T31" i="41"/>
  <c r="Z27" i="41"/>
  <c r="L23" i="95"/>
  <c r="N23" i="95" s="1"/>
  <c r="D86" i="95"/>
  <c r="P93" i="106"/>
  <c r="X23" i="106"/>
  <c r="Z23" i="106" s="1"/>
  <c r="H31" i="20"/>
  <c r="N27" i="20"/>
  <c r="P31" i="35"/>
  <c r="X27" i="35"/>
  <c r="P26" i="78"/>
  <c r="X22" i="78"/>
  <c r="T31" i="52"/>
  <c r="Z27" i="52"/>
  <c r="L27" i="14"/>
  <c r="D31" i="14"/>
  <c r="X27" i="44"/>
  <c r="P31" i="44"/>
  <c r="L22" i="93"/>
  <c r="N22" i="93" s="1"/>
  <c r="D85" i="93"/>
  <c r="P50" i="109"/>
  <c r="X46" i="109"/>
  <c r="L27" i="16"/>
  <c r="D31" i="16"/>
  <c r="D31" i="38"/>
  <c r="L27" i="38"/>
  <c r="T31" i="44"/>
  <c r="Z27" i="44"/>
  <c r="L56" i="51"/>
  <c r="N56" i="51" s="1"/>
  <c r="D112" i="51"/>
  <c r="L69" i="68"/>
  <c r="N69" i="68" s="1"/>
  <c r="D72" i="68"/>
  <c r="L72" i="68" s="1"/>
  <c r="N72" i="68" s="1"/>
  <c r="T83" i="70"/>
  <c r="V79" i="70"/>
  <c r="H85" i="94"/>
  <c r="J81" i="94"/>
  <c r="L81" i="94"/>
  <c r="N81" i="94" s="1"/>
  <c r="T50" i="109"/>
  <c r="Z46" i="109"/>
  <c r="L27" i="53"/>
  <c r="D31" i="53"/>
  <c r="T150" i="39"/>
  <c r="V147" i="39"/>
  <c r="P80" i="59"/>
  <c r="X77" i="59"/>
  <c r="P67" i="105"/>
  <c r="X63" i="105"/>
  <c r="Z63" i="105" s="1"/>
  <c r="R63" i="105"/>
  <c r="T81" i="79"/>
  <c r="V78" i="79"/>
  <c r="X94" i="98"/>
  <c r="P98" i="98"/>
  <c r="R94" i="98"/>
  <c r="J99" i="108"/>
  <c r="X27" i="49"/>
  <c r="P31" i="49"/>
  <c r="P111" i="64"/>
  <c r="X107" i="64"/>
  <c r="Z107" i="64" s="1"/>
  <c r="P84" i="73"/>
  <c r="X25" i="73"/>
  <c r="Z25" i="73" s="1"/>
  <c r="X95" i="92"/>
  <c r="Z95" i="92" s="1"/>
  <c r="P99" i="92"/>
  <c r="P126" i="85"/>
  <c r="X51" i="85"/>
  <c r="Z51" i="85" s="1"/>
  <c r="T31" i="47"/>
  <c r="Z27" i="47"/>
  <c r="D31" i="40"/>
  <c r="L27" i="40"/>
  <c r="X62" i="61"/>
  <c r="P66" i="61"/>
  <c r="Z28" i="83"/>
  <c r="T32" i="83"/>
  <c r="V28" i="83"/>
  <c r="X27" i="17"/>
  <c r="P31" i="17"/>
  <c r="L27" i="113"/>
  <c r="D31" i="113"/>
  <c r="X56" i="77"/>
  <c r="Z56" i="77" s="1"/>
  <c r="P112" i="77"/>
  <c r="T31" i="32"/>
  <c r="Z27" i="32"/>
  <c r="L112" i="77"/>
  <c r="D116" i="77"/>
  <c r="F112" i="77"/>
  <c r="H130" i="85"/>
  <c r="J126" i="85"/>
  <c r="H96" i="104"/>
  <c r="J92" i="104"/>
  <c r="H147" i="39"/>
  <c r="N143" i="39"/>
  <c r="J143" i="39"/>
  <c r="T77" i="48"/>
  <c r="V73" i="48"/>
  <c r="D89" i="76"/>
  <c r="L29" i="76"/>
  <c r="N29" i="76" s="1"/>
  <c r="X27" i="113"/>
  <c r="P31" i="113"/>
  <c r="N26" i="78"/>
  <c r="H29" i="78"/>
  <c r="N29" i="78" s="1"/>
  <c r="T31" i="20"/>
  <c r="Z27" i="20"/>
  <c r="X25" i="45"/>
  <c r="Z25" i="45" s="1"/>
  <c r="P102" i="45"/>
  <c r="T93" i="95"/>
  <c r="V90" i="95"/>
  <c r="N27" i="111"/>
  <c r="H31" i="111"/>
  <c r="L25" i="45"/>
  <c r="N25" i="45" s="1"/>
  <c r="D102" i="45"/>
  <c r="N27" i="4"/>
  <c r="H31" i="4"/>
  <c r="T31" i="16"/>
  <c r="Z27" i="16"/>
  <c r="Z27" i="113"/>
  <c r="T31" i="113"/>
  <c r="H130" i="27"/>
  <c r="J126" i="27"/>
  <c r="X81" i="80"/>
  <c r="Z81" i="80" s="1"/>
  <c r="P85" i="80"/>
  <c r="R81" i="80"/>
  <c r="X27" i="11"/>
  <c r="P31" i="11"/>
  <c r="N27" i="31"/>
  <c r="H31" i="31"/>
  <c r="D95" i="102"/>
  <c r="L91" i="102"/>
  <c r="N91" i="102" s="1"/>
  <c r="F91" i="102"/>
  <c r="T324" i="3"/>
  <c r="V320" i="3"/>
  <c r="P31" i="52"/>
  <c r="X27" i="52"/>
  <c r="H324" i="3"/>
  <c r="J320" i="3"/>
  <c r="R51" i="85"/>
  <c r="D98" i="98"/>
  <c r="L94" i="98"/>
  <c r="N94" i="98" s="1"/>
  <c r="F94" i="98"/>
  <c r="N27" i="10"/>
  <c r="H31" i="10"/>
  <c r="H31" i="113"/>
  <c r="N27" i="113"/>
  <c r="P69" i="68"/>
  <c r="X65" i="68"/>
  <c r="D99" i="92"/>
  <c r="L95" i="92"/>
  <c r="N95" i="92" s="1"/>
  <c r="H31" i="28"/>
  <c r="N27" i="28"/>
  <c r="H31" i="29"/>
  <c r="N27" i="29"/>
  <c r="H120" i="21"/>
  <c r="J116" i="21"/>
  <c r="H31" i="32"/>
  <c r="N27" i="32"/>
  <c r="T85" i="80"/>
  <c r="V81" i="80"/>
  <c r="H31" i="52"/>
  <c r="N27" i="52"/>
  <c r="D31" i="111"/>
  <c r="L27" i="111"/>
  <c r="H80" i="59"/>
  <c r="J100" i="106"/>
  <c r="P73" i="110"/>
  <c r="X17" i="110"/>
  <c r="Z17" i="110" s="1"/>
  <c r="D103" i="84"/>
  <c r="F100" i="84"/>
  <c r="D31" i="25"/>
  <c r="L27" i="25"/>
  <c r="T31" i="29"/>
  <c r="Z27" i="29"/>
  <c r="T85" i="94"/>
  <c r="V81" i="94"/>
  <c r="T128" i="75"/>
  <c r="V125" i="75"/>
  <c r="F51" i="85"/>
  <c r="X27" i="5"/>
  <c r="P31" i="5"/>
  <c r="D31" i="112"/>
  <c r="L27" i="112"/>
  <c r="V39" i="86"/>
  <c r="T96" i="108"/>
  <c r="V92" i="108"/>
  <c r="L27" i="10"/>
  <c r="D31" i="10"/>
  <c r="X27" i="50"/>
  <c r="P31" i="50"/>
  <c r="D31" i="17"/>
  <c r="L27" i="17"/>
  <c r="V133" i="27"/>
  <c r="L54" i="74"/>
  <c r="N54" i="74" s="1"/>
  <c r="D97" i="74"/>
  <c r="X22" i="96"/>
  <c r="Z22" i="96" s="1"/>
  <c r="P101" i="96"/>
  <c r="T31" i="31"/>
  <c r="Z27" i="31"/>
  <c r="R29" i="21"/>
  <c r="P31" i="19"/>
  <c r="X27" i="19"/>
  <c r="X22" i="6"/>
  <c r="P26" i="6"/>
  <c r="L75" i="101"/>
  <c r="D79" i="101"/>
  <c r="Z27" i="22"/>
  <c r="T31" i="22"/>
  <c r="T100" i="84"/>
  <c r="V96" i="84"/>
  <c r="P324" i="3"/>
  <c r="X320" i="3"/>
  <c r="Z320" i="3" s="1"/>
  <c r="R320" i="3"/>
  <c r="T158" i="30"/>
  <c r="V154" i="30"/>
  <c r="N27" i="35"/>
  <c r="H31" i="35"/>
  <c r="H66" i="61"/>
  <c r="H86" i="81"/>
  <c r="J82" i="81"/>
  <c r="N27" i="14"/>
  <c r="H31" i="14"/>
  <c r="X27" i="43"/>
  <c r="P31" i="43"/>
  <c r="X73" i="48"/>
  <c r="Z73" i="48" s="1"/>
  <c r="P77" i="48"/>
  <c r="R73" i="48"/>
  <c r="D111" i="64"/>
  <c r="L107" i="64"/>
  <c r="L60" i="71"/>
  <c r="N60" i="71" s="1"/>
  <c r="D126" i="71"/>
  <c r="D26" i="78"/>
  <c r="L22" i="78"/>
  <c r="H80" i="110"/>
  <c r="J77" i="110"/>
  <c r="P31" i="38"/>
  <c r="X27" i="38"/>
  <c r="F60" i="27"/>
  <c r="H134" i="42"/>
  <c r="J130" i="42"/>
  <c r="H83" i="58"/>
  <c r="Z27" i="4"/>
  <c r="T31" i="4"/>
  <c r="T31" i="17"/>
  <c r="Z27" i="17"/>
  <c r="H116" i="51"/>
  <c r="J112" i="51"/>
  <c r="L63" i="103"/>
  <c r="N63" i="103" s="1"/>
  <c r="D67" i="103"/>
  <c r="T31" i="28"/>
  <c r="Z27" i="28"/>
  <c r="X101" i="9"/>
  <c r="P105" i="9"/>
  <c r="D280" i="12"/>
  <c r="L164" i="12"/>
  <c r="N164" i="12" s="1"/>
  <c r="L38" i="33"/>
  <c r="N38" i="33" s="1"/>
  <c r="D106" i="33"/>
  <c r="H54" i="99"/>
  <c r="N54" i="99" s="1"/>
  <c r="N51" i="99"/>
  <c r="H31" i="34"/>
  <c r="N27" i="34"/>
  <c r="D141" i="36"/>
  <c r="L137" i="36"/>
  <c r="N137" i="36" s="1"/>
  <c r="F137" i="36"/>
  <c r="X53" i="100"/>
  <c r="P57" i="100"/>
  <c r="X27" i="8"/>
  <c r="P31" i="8"/>
  <c r="P31" i="34"/>
  <c r="X27" i="34"/>
  <c r="X158" i="15"/>
  <c r="Z158" i="15" s="1"/>
  <c r="P267" i="15"/>
  <c r="T119" i="51"/>
  <c r="V116" i="51"/>
  <c r="H105" i="88"/>
  <c r="J102" i="88"/>
  <c r="X87" i="89"/>
  <c r="P91" i="89"/>
  <c r="R87" i="89"/>
  <c r="H31" i="43"/>
  <c r="N27" i="43"/>
  <c r="Z22" i="78"/>
  <c r="T26" i="78"/>
  <c r="D67" i="105"/>
  <c r="L63" i="105"/>
  <c r="F63" i="105"/>
  <c r="T31" i="40"/>
  <c r="Z27" i="40"/>
  <c r="H284" i="12"/>
  <c r="J280" i="12"/>
  <c r="H106" i="45"/>
  <c r="J102" i="45"/>
  <c r="X22" i="81"/>
  <c r="Z22" i="81" s="1"/>
  <c r="P82" i="81"/>
  <c r="L93" i="106"/>
  <c r="N93" i="106" s="1"/>
  <c r="D97" i="106"/>
  <c r="F93" i="106"/>
  <c r="Z27" i="26"/>
  <c r="T31" i="26"/>
  <c r="N27" i="38"/>
  <c r="H31" i="38"/>
  <c r="T82" i="57"/>
  <c r="Z78" i="57"/>
  <c r="F88" i="94"/>
  <c r="V108" i="96"/>
  <c r="Z27" i="19"/>
  <c r="T31" i="19"/>
  <c r="D31" i="49"/>
  <c r="L27" i="49"/>
  <c r="T101" i="74"/>
  <c r="V97" i="74"/>
  <c r="L27" i="31"/>
  <c r="D31" i="31"/>
  <c r="P31" i="23"/>
  <c r="X27" i="23"/>
  <c r="D37" i="55"/>
  <c r="L33" i="55"/>
  <c r="N33" i="55" s="1"/>
  <c r="L27" i="22"/>
  <c r="D31" i="22"/>
  <c r="D83" i="70"/>
  <c r="L79" i="70"/>
  <c r="F79" i="70"/>
  <c r="H133" i="71"/>
  <c r="J130" i="71"/>
  <c r="D74" i="79"/>
  <c r="L27" i="79"/>
  <c r="N27" i="79" s="1"/>
  <c r="P51" i="99"/>
  <c r="X47" i="99"/>
  <c r="R47" i="99"/>
  <c r="P31" i="14"/>
  <c r="X27" i="14"/>
  <c r="L27" i="11"/>
  <c r="D31" i="11"/>
  <c r="N27" i="22"/>
  <c r="H31" i="22"/>
  <c r="D84" i="73"/>
  <c r="L25" i="73"/>
  <c r="N25" i="73" s="1"/>
  <c r="D31" i="20"/>
  <c r="L27" i="20"/>
  <c r="H81" i="79"/>
  <c r="J78" i="79"/>
  <c r="P81" i="94"/>
  <c r="X23" i="94"/>
  <c r="Z23" i="94" s="1"/>
  <c r="D47" i="99"/>
  <c r="L19" i="99"/>
  <c r="X27" i="112"/>
  <c r="P31" i="112"/>
  <c r="P83" i="70"/>
  <c r="X79" i="70"/>
  <c r="Z79" i="70" s="1"/>
  <c r="R79" i="70"/>
  <c r="X38" i="33"/>
  <c r="Z38" i="33" s="1"/>
  <c r="P106" i="33"/>
  <c r="T130" i="71"/>
  <c r="V126" i="71"/>
  <c r="D31" i="43"/>
  <c r="L27" i="43"/>
  <c r="D73" i="59"/>
  <c r="L17" i="59"/>
  <c r="R22" i="81"/>
  <c r="P92" i="104"/>
  <c r="X23" i="104"/>
  <c r="Z23" i="104" s="1"/>
  <c r="T97" i="106"/>
  <c r="V93" i="106"/>
  <c r="D31" i="35"/>
  <c r="L27" i="35"/>
  <c r="V143" i="24"/>
  <c r="F158" i="15"/>
  <c r="T77" i="110"/>
  <c r="V73" i="110"/>
  <c r="D66" i="61"/>
  <c r="L62" i="61"/>
  <c r="N62" i="61" s="1"/>
  <c r="V92" i="93"/>
  <c r="F22" i="93"/>
  <c r="N27" i="8"/>
  <c r="H31" i="8"/>
  <c r="D324" i="3"/>
  <c r="L320" i="3"/>
  <c r="N320" i="3" s="1"/>
  <c r="F320" i="3"/>
  <c r="D68" i="60"/>
  <c r="T102" i="92"/>
  <c r="H67" i="103"/>
  <c r="P31" i="16"/>
  <c r="X27" i="16"/>
  <c r="D105" i="9"/>
  <c r="L101" i="9"/>
  <c r="D116" i="21"/>
  <c r="L29" i="21"/>
  <c r="N29" i="21" s="1"/>
  <c r="N27" i="53"/>
  <c r="H31" i="53"/>
  <c r="T271" i="15"/>
  <c r="V267" i="15"/>
  <c r="H31" i="49"/>
  <c r="N27" i="49"/>
  <c r="H90" i="95"/>
  <c r="J86" i="95"/>
  <c r="D31" i="37"/>
  <c r="L27" i="37"/>
  <c r="D57" i="100"/>
  <c r="L53" i="100"/>
  <c r="Z27" i="35"/>
  <c r="T31" i="35"/>
  <c r="Z27" i="49"/>
  <c r="T31" i="49"/>
  <c r="D86" i="81"/>
  <c r="L82" i="81"/>
  <c r="N82" i="81" s="1"/>
  <c r="F82" i="81"/>
  <c r="N27" i="13"/>
  <c r="H31" i="13"/>
  <c r="T141" i="36"/>
  <c r="V137" i="36"/>
  <c r="Z27" i="50"/>
  <c r="T31" i="50"/>
  <c r="P154" i="30"/>
  <c r="X66" i="30"/>
  <c r="Z66" i="30" s="1"/>
  <c r="H110" i="33"/>
  <c r="J106" i="33"/>
  <c r="T80" i="58"/>
  <c r="X27" i="25"/>
  <c r="P31" i="25"/>
  <c r="X37" i="55"/>
  <c r="Z37" i="55" s="1"/>
  <c r="P40" i="55"/>
  <c r="X40" i="55" s="1"/>
  <c r="X68" i="69"/>
  <c r="Z68" i="69" s="1"/>
  <c r="P122" i="69"/>
  <c r="N27" i="26"/>
  <c r="H31" i="26"/>
  <c r="Z27" i="38"/>
  <c r="T31" i="38"/>
  <c r="P67" i="103"/>
  <c r="X63" i="103"/>
  <c r="L27" i="32"/>
  <c r="D31" i="32"/>
  <c r="H93" i="76"/>
  <c r="J89" i="76"/>
  <c r="T102" i="88"/>
  <c r="V98" i="88"/>
  <c r="T299" i="18"/>
  <c r="V295" i="18"/>
  <c r="D73" i="48"/>
  <c r="L17" i="48"/>
  <c r="N17" i="48" s="1"/>
  <c r="N112" i="77"/>
  <c r="H116" i="77"/>
  <c r="J112" i="77"/>
  <c r="Z53" i="100"/>
  <c r="T57" i="100"/>
  <c r="H105" i="9"/>
  <c r="N101" i="9"/>
  <c r="X27" i="31"/>
  <c r="P31" i="31"/>
  <c r="P31" i="53"/>
  <c r="X27" i="53"/>
  <c r="P96" i="108"/>
  <c r="X92" i="108"/>
  <c r="Z92" i="108" s="1"/>
  <c r="R92" i="108"/>
  <c r="D122" i="69"/>
  <c r="L68" i="69"/>
  <c r="N68" i="69" s="1"/>
  <c r="D85" i="80"/>
  <c r="L81" i="80"/>
  <c r="N81" i="80" s="1"/>
  <c r="F81" i="80"/>
  <c r="X27" i="111"/>
  <c r="P31" i="111"/>
  <c r="H85" i="56"/>
  <c r="N81" i="56"/>
  <c r="D98" i="88"/>
  <c r="L22" i="88"/>
  <c r="N22" i="88" s="1"/>
  <c r="H31" i="11"/>
  <c r="N27" i="11"/>
  <c r="H37" i="55"/>
  <c r="L27" i="46"/>
  <c r="D31" i="46"/>
  <c r="P80" i="58"/>
  <c r="X76" i="58"/>
  <c r="Z76" i="58" s="1"/>
  <c r="F23" i="95"/>
  <c r="H31" i="5"/>
  <c r="N27" i="5"/>
  <c r="P112" i="51"/>
  <c r="X56" i="51"/>
  <c r="Z56" i="51" s="1"/>
  <c r="P31" i="46"/>
  <c r="X27" i="46"/>
  <c r="R66" i="30"/>
  <c r="V109" i="45"/>
  <c r="H271" i="15"/>
  <c r="J267" i="15"/>
  <c r="D36" i="86"/>
  <c r="L32" i="86"/>
  <c r="N32" i="86" s="1"/>
  <c r="F32" i="86"/>
  <c r="P79" i="101"/>
  <c r="X75" i="101"/>
  <c r="R75" i="101"/>
  <c r="X23" i="95"/>
  <c r="Z23" i="95" s="1"/>
  <c r="P86" i="95"/>
  <c r="T31" i="6"/>
  <c r="Z26" i="6"/>
  <c r="Z62" i="61"/>
  <c r="T66" i="61"/>
  <c r="H31" i="41"/>
  <c r="N27" i="41"/>
  <c r="H144" i="36"/>
  <c r="J141" i="36"/>
  <c r="D31" i="4"/>
  <c r="L27" i="4"/>
  <c r="D154" i="30"/>
  <c r="L66" i="30"/>
  <c r="N66" i="30" s="1"/>
  <c r="Z65" i="68"/>
  <c r="T69" i="68"/>
  <c r="R29" i="76"/>
  <c r="Z27" i="23"/>
  <c r="T31" i="23"/>
  <c r="P140" i="24"/>
  <c r="X136" i="24"/>
  <c r="Z136" i="24" s="1"/>
  <c r="R136" i="24"/>
  <c r="T88" i="73"/>
  <c r="V84" i="73"/>
  <c r="T31" i="13"/>
  <c r="Z27" i="13"/>
  <c r="D92" i="108"/>
  <c r="L23" i="108"/>
  <c r="N23" i="108" s="1"/>
  <c r="P31" i="37"/>
  <c r="X27" i="37"/>
  <c r="V96" i="76"/>
  <c r="Z94" i="98"/>
  <c r="T98" i="98"/>
  <c r="V94" i="98"/>
  <c r="D31" i="50"/>
  <c r="L27" i="50"/>
  <c r="P126" i="27"/>
  <c r="X60" i="27"/>
  <c r="Z60" i="27" s="1"/>
  <c r="L53" i="75"/>
  <c r="N53" i="75" s="1"/>
  <c r="D121" i="75"/>
  <c r="T91" i="89"/>
  <c r="Z87" i="89"/>
  <c r="V87" i="89"/>
  <c r="Z27" i="25"/>
  <c r="T31" i="25"/>
  <c r="P26" i="54"/>
  <c r="X22" i="54"/>
  <c r="J101" i="98"/>
  <c r="R56" i="77"/>
  <c r="P31" i="13"/>
  <c r="X27" i="13"/>
  <c r="D31" i="41"/>
  <c r="L27" i="41"/>
  <c r="Z27" i="43"/>
  <c r="T31" i="43"/>
  <c r="P295" i="18"/>
  <c r="X183" i="18"/>
  <c r="Z183" i="18" s="1"/>
  <c r="P137" i="36"/>
  <c r="X31" i="36"/>
  <c r="Z31" i="36" s="1"/>
  <c r="R23" i="95"/>
  <c r="X27" i="20"/>
  <c r="P31" i="20"/>
  <c r="N22" i="6"/>
  <c r="H26" i="6"/>
  <c r="L22" i="6"/>
  <c r="L183" i="18"/>
  <c r="N183" i="18" s="1"/>
  <c r="D295" i="18"/>
  <c r="L22" i="54"/>
  <c r="D26" i="54"/>
  <c r="F60" i="71"/>
  <c r="Z27" i="14"/>
  <c r="T31" i="14"/>
  <c r="L27" i="23"/>
  <c r="D31" i="23"/>
  <c r="F56" i="51"/>
  <c r="D88" i="56"/>
  <c r="H82" i="57"/>
  <c r="P130" i="42"/>
  <c r="X30" i="42"/>
  <c r="Z30" i="42" s="1"/>
  <c r="T134" i="42"/>
  <c r="V130" i="42"/>
  <c r="H57" i="100"/>
  <c r="N53" i="100"/>
  <c r="P31" i="28"/>
  <c r="X27" i="28"/>
  <c r="P126" i="71"/>
  <c r="X60" i="71"/>
  <c r="Z60" i="71" s="1"/>
  <c r="J97" i="74"/>
  <c r="H101" i="74"/>
  <c r="X22" i="88"/>
  <c r="Z22" i="88" s="1"/>
  <c r="P98" i="88"/>
  <c r="X27" i="26"/>
  <c r="P31" i="26"/>
  <c r="L78" i="57"/>
  <c r="N78" i="57" s="1"/>
  <c r="D82" i="57"/>
  <c r="H36" i="86"/>
  <c r="J32" i="86"/>
  <c r="D87" i="89"/>
  <c r="L23" i="89"/>
  <c r="N23" i="89" s="1"/>
  <c r="L23" i="104"/>
  <c r="N23" i="104" s="1"/>
  <c r="D92" i="104"/>
  <c r="D130" i="42"/>
  <c r="L30" i="42"/>
  <c r="N30" i="42" s="1"/>
  <c r="H31" i="16"/>
  <c r="N27" i="16"/>
  <c r="X82" i="57"/>
  <c r="P85" i="57"/>
  <c r="P31" i="22"/>
  <c r="X27" i="22"/>
  <c r="L27" i="47"/>
  <c r="D31" i="47"/>
  <c r="X20" i="86"/>
  <c r="Z20" i="86" s="1"/>
  <c r="P32" i="86"/>
  <c r="L27" i="26"/>
  <c r="D31" i="26"/>
  <c r="P97" i="74"/>
  <c r="X54" i="74"/>
  <c r="Z54" i="74" s="1"/>
  <c r="Z91" i="102"/>
  <c r="T95" i="102"/>
  <c r="V91" i="102"/>
  <c r="D31" i="7"/>
  <c r="L27" i="7"/>
  <c r="Z27" i="10"/>
  <c r="T31" i="10"/>
  <c r="L27" i="34"/>
  <c r="D31" i="34"/>
  <c r="H79" i="101"/>
  <c r="N75" i="101"/>
  <c r="J91" i="73"/>
  <c r="D31" i="8"/>
  <c r="L27" i="8"/>
  <c r="X164" i="12"/>
  <c r="Z164" i="12" s="1"/>
  <c r="P280" i="12"/>
  <c r="P121" i="75"/>
  <c r="X53" i="75"/>
  <c r="Z53" i="75" s="1"/>
  <c r="N107" i="64"/>
  <c r="H111" i="64"/>
  <c r="X27" i="4"/>
  <c r="P31" i="4"/>
  <c r="P31" i="41"/>
  <c r="X27" i="41"/>
  <c r="Z40" i="55"/>
  <c r="X27" i="7"/>
  <c r="P31" i="7"/>
  <c r="D31" i="44"/>
  <c r="L27" i="44"/>
  <c r="X96" i="84"/>
  <c r="Z96" i="84" s="1"/>
  <c r="P100" i="84"/>
  <c r="R96" i="84"/>
  <c r="H100" i="84"/>
  <c r="L100" i="84" s="1"/>
  <c r="N96" i="84"/>
  <c r="J96" i="84"/>
  <c r="N27" i="37"/>
  <c r="H31" i="37"/>
  <c r="H31" i="44"/>
  <c r="N27" i="44"/>
  <c r="T86" i="81"/>
  <c r="V82" i="81"/>
  <c r="H89" i="93"/>
  <c r="J85" i="93"/>
  <c r="Z27" i="8"/>
  <c r="T31" i="8"/>
  <c r="T31" i="37"/>
  <c r="Z27" i="37"/>
  <c r="Z27" i="111"/>
  <c r="T31" i="111"/>
  <c r="F23" i="108"/>
  <c r="L27" i="5"/>
  <c r="D31" i="5"/>
  <c r="N27" i="112"/>
  <c r="H31" i="112"/>
  <c r="T68" i="60"/>
  <c r="T67" i="103"/>
  <c r="Z63" i="103"/>
  <c r="R60" i="27"/>
  <c r="P89" i="93"/>
  <c r="X85" i="93"/>
  <c r="Z85" i="93" s="1"/>
  <c r="R85" i="93"/>
  <c r="P74" i="79"/>
  <c r="X27" i="79"/>
  <c r="Z27" i="79" s="1"/>
  <c r="Z101" i="9"/>
  <c r="T105" i="9"/>
  <c r="V101" i="9"/>
  <c r="D28" i="83"/>
  <c r="L22" i="83"/>
  <c r="N22" i="83" s="1"/>
  <c r="T31" i="46"/>
  <c r="Z27" i="46"/>
  <c r="J80" i="48"/>
  <c r="H83" i="70"/>
  <c r="N79" i="70"/>
  <c r="J79" i="70"/>
  <c r="T79" i="101"/>
  <c r="Z75" i="101"/>
  <c r="V75" i="101"/>
  <c r="X74" i="79" l="1"/>
  <c r="Z74" i="79" s="1"/>
  <c r="P78" i="79"/>
  <c r="R74" i="79"/>
  <c r="Z31" i="49"/>
  <c r="T36" i="49"/>
  <c r="Z36" i="49" s="1"/>
  <c r="L31" i="22"/>
  <c r="D36" i="22"/>
  <c r="X31" i="50"/>
  <c r="P36" i="50"/>
  <c r="T36" i="20"/>
  <c r="Z36" i="20" s="1"/>
  <c r="Z31" i="20"/>
  <c r="X112" i="77"/>
  <c r="Z112" i="77" s="1"/>
  <c r="P116" i="77"/>
  <c r="R112" i="77"/>
  <c r="T53" i="109"/>
  <c r="Z31" i="53"/>
  <c r="T36" i="53"/>
  <c r="Z36" i="53" s="1"/>
  <c r="H68" i="60"/>
  <c r="D36" i="44"/>
  <c r="L31" i="44"/>
  <c r="P284" i="12"/>
  <c r="X280" i="12"/>
  <c r="Z280" i="12" s="1"/>
  <c r="R280" i="12"/>
  <c r="H104" i="74"/>
  <c r="J101" i="74"/>
  <c r="D125" i="75"/>
  <c r="L121" i="75"/>
  <c r="N121" i="75" s="1"/>
  <c r="F121" i="75"/>
  <c r="X140" i="24"/>
  <c r="Z140" i="24" s="1"/>
  <c r="P143" i="24"/>
  <c r="R140" i="24"/>
  <c r="H274" i="15"/>
  <c r="J271" i="15"/>
  <c r="X31" i="111"/>
  <c r="P36" i="111"/>
  <c r="P36" i="31"/>
  <c r="X31" i="31"/>
  <c r="D77" i="48"/>
  <c r="L73" i="48"/>
  <c r="N73" i="48" s="1"/>
  <c r="F73" i="48"/>
  <c r="T83" i="58"/>
  <c r="P36" i="16"/>
  <c r="X31" i="16"/>
  <c r="X51" i="99"/>
  <c r="P54" i="99"/>
  <c r="R51" i="99"/>
  <c r="Z31" i="19"/>
  <c r="T36" i="19"/>
  <c r="Z36" i="19" s="1"/>
  <c r="T36" i="40"/>
  <c r="Z36" i="40" s="1"/>
  <c r="Z31" i="40"/>
  <c r="H119" i="51"/>
  <c r="J116" i="51"/>
  <c r="X77" i="48"/>
  <c r="P80" i="48"/>
  <c r="R77" i="48"/>
  <c r="L79" i="101"/>
  <c r="D82" i="101"/>
  <c r="P36" i="5"/>
  <c r="X31" i="5"/>
  <c r="T36" i="29"/>
  <c r="Z36" i="29" s="1"/>
  <c r="Z31" i="29"/>
  <c r="X31" i="52"/>
  <c r="P36" i="52"/>
  <c r="X85" i="80"/>
  <c r="Z85" i="80" s="1"/>
  <c r="P88" i="80"/>
  <c r="R85" i="80"/>
  <c r="X31" i="49"/>
  <c r="P36" i="49"/>
  <c r="P70" i="105"/>
  <c r="X67" i="105"/>
  <c r="Z67" i="105" s="1"/>
  <c r="R67" i="105"/>
  <c r="T36" i="44"/>
  <c r="Z36" i="44" s="1"/>
  <c r="Z31" i="44"/>
  <c r="P36" i="35"/>
  <c r="X31" i="35"/>
  <c r="T114" i="64"/>
  <c r="T133" i="85"/>
  <c r="V130" i="85"/>
  <c r="V113" i="33"/>
  <c r="P36" i="47"/>
  <c r="X31" i="47"/>
  <c r="P120" i="21"/>
  <c r="X116" i="21"/>
  <c r="Z116" i="21" s="1"/>
  <c r="R116" i="21"/>
  <c r="P36" i="29"/>
  <c r="X31" i="29"/>
  <c r="X95" i="102"/>
  <c r="P98" i="102"/>
  <c r="R95" i="102"/>
  <c r="Z31" i="35"/>
  <c r="T36" i="35"/>
  <c r="Z36" i="35" s="1"/>
  <c r="H36" i="49"/>
  <c r="N36" i="49" s="1"/>
  <c r="N31" i="49"/>
  <c r="H70" i="103"/>
  <c r="D36" i="20"/>
  <c r="L31" i="20"/>
  <c r="L97" i="106"/>
  <c r="N97" i="106" s="1"/>
  <c r="D100" i="106"/>
  <c r="F97" i="106"/>
  <c r="X57" i="100"/>
  <c r="P60" i="100"/>
  <c r="D284" i="12"/>
  <c r="L280" i="12"/>
  <c r="N280" i="12" s="1"/>
  <c r="F280" i="12"/>
  <c r="P36" i="38"/>
  <c r="X31" i="38"/>
  <c r="X101" i="96"/>
  <c r="Z101" i="96" s="1"/>
  <c r="P105" i="96"/>
  <c r="R101" i="96"/>
  <c r="L31" i="10"/>
  <c r="D36" i="10"/>
  <c r="D36" i="111"/>
  <c r="L31" i="111"/>
  <c r="H123" i="21"/>
  <c r="J120" i="21"/>
  <c r="H36" i="113"/>
  <c r="N36" i="113" s="1"/>
  <c r="N31" i="113"/>
  <c r="H99" i="104"/>
  <c r="J96" i="104"/>
  <c r="L31" i="113"/>
  <c r="D36" i="113"/>
  <c r="T36" i="47"/>
  <c r="Z36" i="47" s="1"/>
  <c r="Z31" i="47"/>
  <c r="T36" i="34"/>
  <c r="Z36" i="34" s="1"/>
  <c r="Z31" i="34"/>
  <c r="N31" i="25"/>
  <c r="H36" i="25"/>
  <c r="N36" i="25" s="1"/>
  <c r="H36" i="40"/>
  <c r="N36" i="40" s="1"/>
  <c r="N31" i="40"/>
  <c r="P147" i="39"/>
  <c r="X143" i="39"/>
  <c r="Z143" i="39" s="1"/>
  <c r="R143" i="39"/>
  <c r="P68" i="60"/>
  <c r="X68" i="60" s="1"/>
  <c r="X65" i="60"/>
  <c r="Z65" i="60" s="1"/>
  <c r="H35" i="83"/>
  <c r="J32" i="83"/>
  <c r="D96" i="104"/>
  <c r="L92" i="104"/>
  <c r="N92" i="104" s="1"/>
  <c r="F92" i="104"/>
  <c r="H93" i="95"/>
  <c r="J90" i="95"/>
  <c r="J81" i="79"/>
  <c r="X91" i="89"/>
  <c r="Z91" i="89" s="1"/>
  <c r="P94" i="89"/>
  <c r="R91" i="89"/>
  <c r="L102" i="45"/>
  <c r="N102" i="45" s="1"/>
  <c r="D106" i="45"/>
  <c r="F102" i="45"/>
  <c r="D36" i="40"/>
  <c r="L31" i="40"/>
  <c r="L31" i="14"/>
  <c r="D36" i="14"/>
  <c r="J94" i="89"/>
  <c r="X31" i="7"/>
  <c r="P36" i="7"/>
  <c r="L31" i="7"/>
  <c r="D36" i="7"/>
  <c r="P36" i="13"/>
  <c r="X31" i="13"/>
  <c r="Z31" i="23"/>
  <c r="T36" i="23"/>
  <c r="Z36" i="23" s="1"/>
  <c r="P90" i="95"/>
  <c r="X86" i="95"/>
  <c r="Z86" i="95" s="1"/>
  <c r="R86" i="95"/>
  <c r="P70" i="103"/>
  <c r="X67" i="103"/>
  <c r="Z67" i="103" s="1"/>
  <c r="T36" i="46"/>
  <c r="Z36" i="46" s="1"/>
  <c r="Z31" i="46"/>
  <c r="P36" i="22"/>
  <c r="X31" i="22"/>
  <c r="L87" i="89"/>
  <c r="N87" i="89" s="1"/>
  <c r="D91" i="89"/>
  <c r="F87" i="89"/>
  <c r="P36" i="37"/>
  <c r="X31" i="37"/>
  <c r="Z31" i="38"/>
  <c r="T36" i="38"/>
  <c r="Z36" i="38" s="1"/>
  <c r="L73" i="59"/>
  <c r="N73" i="59" s="1"/>
  <c r="D77" i="59"/>
  <c r="P86" i="70"/>
  <c r="X83" i="70"/>
  <c r="R83" i="70"/>
  <c r="D40" i="55"/>
  <c r="L37" i="55"/>
  <c r="J105" i="88"/>
  <c r="X105" i="9"/>
  <c r="P108" i="9"/>
  <c r="X31" i="43"/>
  <c r="P36" i="43"/>
  <c r="V158" i="30"/>
  <c r="T161" i="30"/>
  <c r="X26" i="6"/>
  <c r="P31" i="6"/>
  <c r="X31" i="6" s="1"/>
  <c r="Z31" i="6" s="1"/>
  <c r="D36" i="25"/>
  <c r="L31" i="25"/>
  <c r="N31" i="10"/>
  <c r="H36" i="10"/>
  <c r="N36" i="10" s="1"/>
  <c r="X31" i="113"/>
  <c r="P36" i="113"/>
  <c r="H88" i="94"/>
  <c r="J85" i="94"/>
  <c r="L85" i="94"/>
  <c r="N85" i="94" s="1"/>
  <c r="D36" i="38"/>
  <c r="L31" i="38"/>
  <c r="H36" i="20"/>
  <c r="N36" i="20" s="1"/>
  <c r="N31" i="20"/>
  <c r="T80" i="59"/>
  <c r="Z77" i="59"/>
  <c r="V77" i="59"/>
  <c r="T99" i="104"/>
  <c r="V96" i="104"/>
  <c r="L136" i="24"/>
  <c r="N136" i="24" s="1"/>
  <c r="D140" i="24"/>
  <c r="F136" i="24"/>
  <c r="L126" i="27"/>
  <c r="N126" i="27" s="1"/>
  <c r="D130" i="27"/>
  <c r="F126" i="27"/>
  <c r="X31" i="8"/>
  <c r="P36" i="8"/>
  <c r="D36" i="112"/>
  <c r="L31" i="112"/>
  <c r="H150" i="39"/>
  <c r="J147" i="39"/>
  <c r="X111" i="64"/>
  <c r="Z111" i="64" s="1"/>
  <c r="P114" i="64"/>
  <c r="L80" i="58"/>
  <c r="N80" i="58" s="1"/>
  <c r="D83" i="58"/>
  <c r="L83" i="58" s="1"/>
  <c r="N83" i="58" s="1"/>
  <c r="Z31" i="111"/>
  <c r="T36" i="111"/>
  <c r="Z36" i="111" s="1"/>
  <c r="T137" i="42"/>
  <c r="V134" i="42"/>
  <c r="X89" i="93"/>
  <c r="Z89" i="93" s="1"/>
  <c r="P92" i="93"/>
  <c r="R89" i="93"/>
  <c r="H36" i="44"/>
  <c r="N36" i="44" s="1"/>
  <c r="N31" i="44"/>
  <c r="N31" i="37"/>
  <c r="H36" i="37"/>
  <c r="N36" i="37" s="1"/>
  <c r="D36" i="8"/>
  <c r="L31" i="8"/>
  <c r="Z95" i="102"/>
  <c r="T98" i="102"/>
  <c r="V95" i="102"/>
  <c r="X130" i="42"/>
  <c r="Z130" i="42" s="1"/>
  <c r="P134" i="42"/>
  <c r="R130" i="42"/>
  <c r="H108" i="9"/>
  <c r="T302" i="18"/>
  <c r="V299" i="18"/>
  <c r="X31" i="112"/>
  <c r="P36" i="112"/>
  <c r="D88" i="73"/>
  <c r="L84" i="73"/>
  <c r="N84" i="73" s="1"/>
  <c r="F84" i="73"/>
  <c r="P86" i="81"/>
  <c r="X82" i="81"/>
  <c r="Z82" i="81" s="1"/>
  <c r="R82" i="81"/>
  <c r="L67" i="105"/>
  <c r="D70" i="105"/>
  <c r="F67" i="105"/>
  <c r="T36" i="17"/>
  <c r="Z36" i="17" s="1"/>
  <c r="Z31" i="17"/>
  <c r="J80" i="110"/>
  <c r="D101" i="74"/>
  <c r="L97" i="74"/>
  <c r="N97" i="74" s="1"/>
  <c r="F97" i="74"/>
  <c r="H36" i="52"/>
  <c r="N36" i="52" s="1"/>
  <c r="N31" i="52"/>
  <c r="H36" i="29"/>
  <c r="N36" i="29" s="1"/>
  <c r="N31" i="29"/>
  <c r="T329" i="3"/>
  <c r="V324" i="3"/>
  <c r="N31" i="111"/>
  <c r="H36" i="111"/>
  <c r="N36" i="111" s="1"/>
  <c r="P36" i="17"/>
  <c r="X31" i="17"/>
  <c r="X126" i="85"/>
  <c r="Z126" i="85" s="1"/>
  <c r="P130" i="85"/>
  <c r="R126" i="85"/>
  <c r="L31" i="16"/>
  <c r="D36" i="16"/>
  <c r="Z31" i="7"/>
  <c r="T36" i="7"/>
  <c r="Z36" i="7" s="1"/>
  <c r="L267" i="15"/>
  <c r="N267" i="15" s="1"/>
  <c r="D271" i="15"/>
  <c r="F267" i="15"/>
  <c r="D80" i="110"/>
  <c r="L77" i="110"/>
  <c r="N77" i="110" s="1"/>
  <c r="F77" i="110"/>
  <c r="H36" i="50"/>
  <c r="N36" i="50" s="1"/>
  <c r="N31" i="50"/>
  <c r="P35" i="83"/>
  <c r="X32" i="83"/>
  <c r="R32" i="83"/>
  <c r="D130" i="85"/>
  <c r="L126" i="85"/>
  <c r="N126" i="85" s="1"/>
  <c r="F126" i="85"/>
  <c r="X31" i="20"/>
  <c r="P36" i="20"/>
  <c r="P36" i="53"/>
  <c r="X31" i="53"/>
  <c r="T36" i="37"/>
  <c r="Z36" i="37" s="1"/>
  <c r="Z31" i="37"/>
  <c r="X126" i="71"/>
  <c r="Z126" i="71" s="1"/>
  <c r="P130" i="71"/>
  <c r="R126" i="71"/>
  <c r="L26" i="54"/>
  <c r="D31" i="54"/>
  <c r="L31" i="54" s="1"/>
  <c r="N31" i="54" s="1"/>
  <c r="P116" i="51"/>
  <c r="X112" i="51"/>
  <c r="Z112" i="51" s="1"/>
  <c r="R112" i="51"/>
  <c r="N37" i="55"/>
  <c r="H40" i="55"/>
  <c r="Z57" i="100"/>
  <c r="T60" i="100"/>
  <c r="N31" i="26"/>
  <c r="H36" i="26"/>
  <c r="N36" i="26" s="1"/>
  <c r="H113" i="33"/>
  <c r="J110" i="33"/>
  <c r="T274" i="15"/>
  <c r="V271" i="15"/>
  <c r="L31" i="43"/>
  <c r="D36" i="43"/>
  <c r="N31" i="22"/>
  <c r="H36" i="22"/>
  <c r="N36" i="22" s="1"/>
  <c r="D78" i="79"/>
  <c r="L74" i="79"/>
  <c r="N74" i="79" s="1"/>
  <c r="F74" i="79"/>
  <c r="P36" i="23"/>
  <c r="X31" i="23"/>
  <c r="Z26" i="78"/>
  <c r="T29" i="78"/>
  <c r="Z29" i="78" s="1"/>
  <c r="T36" i="4"/>
  <c r="Z36" i="4" s="1"/>
  <c r="Z31" i="4"/>
  <c r="N31" i="14"/>
  <c r="H36" i="14"/>
  <c r="N36" i="14" s="1"/>
  <c r="H133" i="27"/>
  <c r="J130" i="27"/>
  <c r="H133" i="85"/>
  <c r="J130" i="85"/>
  <c r="X80" i="59"/>
  <c r="P97" i="106"/>
  <c r="X93" i="106"/>
  <c r="Z93" i="106" s="1"/>
  <c r="R93" i="106"/>
  <c r="L31" i="52"/>
  <c r="D36" i="52"/>
  <c r="J88" i="80"/>
  <c r="D36" i="19"/>
  <c r="L31" i="19"/>
  <c r="N31" i="23"/>
  <c r="H36" i="23"/>
  <c r="N36" i="23" s="1"/>
  <c r="Z31" i="14"/>
  <c r="T36" i="14"/>
  <c r="Z36" i="14" s="1"/>
  <c r="P96" i="104"/>
  <c r="X92" i="104"/>
  <c r="Z92" i="104" s="1"/>
  <c r="R92" i="104"/>
  <c r="D36" i="49"/>
  <c r="L31" i="49"/>
  <c r="D32" i="83"/>
  <c r="L28" i="83"/>
  <c r="N28" i="83" s="1"/>
  <c r="F28" i="83"/>
  <c r="L92" i="108"/>
  <c r="N92" i="108" s="1"/>
  <c r="D96" i="108"/>
  <c r="F92" i="108"/>
  <c r="D88" i="80"/>
  <c r="L85" i="80"/>
  <c r="N85" i="80" s="1"/>
  <c r="F85" i="80"/>
  <c r="L57" i="100"/>
  <c r="D60" i="100"/>
  <c r="T70" i="103"/>
  <c r="Z31" i="8"/>
  <c r="T36" i="8"/>
  <c r="Z36" i="8" s="1"/>
  <c r="P36" i="41"/>
  <c r="X31" i="41"/>
  <c r="H39" i="86"/>
  <c r="J36" i="86"/>
  <c r="H85" i="57"/>
  <c r="X137" i="36"/>
  <c r="Z137" i="36" s="1"/>
  <c r="P141" i="36"/>
  <c r="R137" i="36"/>
  <c r="X126" i="27"/>
  <c r="Z126" i="27" s="1"/>
  <c r="P130" i="27"/>
  <c r="R126" i="27"/>
  <c r="J144" i="36"/>
  <c r="T144" i="36"/>
  <c r="V141" i="36"/>
  <c r="H36" i="53"/>
  <c r="N36" i="53" s="1"/>
  <c r="N31" i="53"/>
  <c r="L68" i="60"/>
  <c r="L31" i="31"/>
  <c r="D36" i="31"/>
  <c r="D144" i="36"/>
  <c r="L141" i="36"/>
  <c r="N141" i="36" s="1"/>
  <c r="F141" i="36"/>
  <c r="Z31" i="28"/>
  <c r="T36" i="28"/>
  <c r="Z36" i="28" s="1"/>
  <c r="P36" i="19"/>
  <c r="X31" i="19"/>
  <c r="T99" i="108"/>
  <c r="V96" i="108"/>
  <c r="V128" i="75"/>
  <c r="F103" i="84"/>
  <c r="H36" i="28"/>
  <c r="N36" i="28" s="1"/>
  <c r="N31" i="28"/>
  <c r="Z31" i="113"/>
  <c r="T36" i="113"/>
  <c r="Z36" i="113" s="1"/>
  <c r="L89" i="76"/>
  <c r="N89" i="76" s="1"/>
  <c r="D93" i="76"/>
  <c r="F89" i="76"/>
  <c r="X98" i="98"/>
  <c r="P101" i="98"/>
  <c r="R98" i="98"/>
  <c r="T86" i="70"/>
  <c r="Z83" i="70"/>
  <c r="V83" i="70"/>
  <c r="L86" i="95"/>
  <c r="N86" i="95" s="1"/>
  <c r="D90" i="95"/>
  <c r="F86" i="95"/>
  <c r="P93" i="76"/>
  <c r="X89" i="76"/>
  <c r="Z89" i="76" s="1"/>
  <c r="R89" i="76"/>
  <c r="T36" i="5"/>
  <c r="Z36" i="5" s="1"/>
  <c r="Z31" i="5"/>
  <c r="J140" i="24"/>
  <c r="H143" i="24"/>
  <c r="Z88" i="56"/>
  <c r="T123" i="21"/>
  <c r="V120" i="21"/>
  <c r="L31" i="47"/>
  <c r="D36" i="47"/>
  <c r="H88" i="56"/>
  <c r="Z68" i="60"/>
  <c r="X31" i="28"/>
  <c r="P36" i="28"/>
  <c r="T36" i="13"/>
  <c r="Z36" i="13" s="1"/>
  <c r="Z31" i="13"/>
  <c r="T72" i="68"/>
  <c r="H36" i="5"/>
  <c r="N36" i="5" s="1"/>
  <c r="N31" i="5"/>
  <c r="D126" i="69"/>
  <c r="L122" i="69"/>
  <c r="N122" i="69" s="1"/>
  <c r="F122" i="69"/>
  <c r="T105" i="88"/>
  <c r="V102" i="88"/>
  <c r="P126" i="69"/>
  <c r="X122" i="69"/>
  <c r="Z122" i="69" s="1"/>
  <c r="R122" i="69"/>
  <c r="N31" i="13"/>
  <c r="H36" i="13"/>
  <c r="N36" i="13" s="1"/>
  <c r="L65" i="60"/>
  <c r="N65" i="60" s="1"/>
  <c r="D36" i="35"/>
  <c r="L31" i="35"/>
  <c r="T133" i="71"/>
  <c r="V130" i="71"/>
  <c r="D51" i="99"/>
  <c r="L47" i="99"/>
  <c r="F47" i="99"/>
  <c r="L31" i="11"/>
  <c r="D36" i="11"/>
  <c r="J133" i="71"/>
  <c r="V119" i="51"/>
  <c r="L67" i="103"/>
  <c r="N67" i="103" s="1"/>
  <c r="D70" i="103"/>
  <c r="L70" i="103" s="1"/>
  <c r="L26" i="78"/>
  <c r="D29" i="78"/>
  <c r="L29" i="78" s="1"/>
  <c r="P329" i="3"/>
  <c r="X324" i="3"/>
  <c r="Z324" i="3" s="1"/>
  <c r="R324" i="3"/>
  <c r="T88" i="80"/>
  <c r="V85" i="80"/>
  <c r="D101" i="98"/>
  <c r="L98" i="98"/>
  <c r="N98" i="98" s="1"/>
  <c r="F98" i="98"/>
  <c r="L95" i="102"/>
  <c r="N95" i="102" s="1"/>
  <c r="D98" i="102"/>
  <c r="F95" i="102"/>
  <c r="Z32" i="83"/>
  <c r="V32" i="83"/>
  <c r="T35" i="83"/>
  <c r="X99" i="92"/>
  <c r="Z99" i="92" s="1"/>
  <c r="P102" i="92"/>
  <c r="X102" i="92" s="1"/>
  <c r="Z102" i="92" s="1"/>
  <c r="V150" i="39"/>
  <c r="X50" i="109"/>
  <c r="Z50" i="109" s="1"/>
  <c r="P53" i="109"/>
  <c r="X53" i="109" s="1"/>
  <c r="H108" i="96"/>
  <c r="J105" i="96"/>
  <c r="N31" i="17"/>
  <c r="H36" i="17"/>
  <c r="N36" i="17" s="1"/>
  <c r="H128" i="75"/>
  <c r="J125" i="75"/>
  <c r="L50" i="109"/>
  <c r="N50" i="109" s="1"/>
  <c r="D53" i="109"/>
  <c r="L53" i="109" s="1"/>
  <c r="N53" i="109" s="1"/>
  <c r="D150" i="39"/>
  <c r="L147" i="39"/>
  <c r="N147" i="39" s="1"/>
  <c r="F147" i="39"/>
  <c r="L31" i="4"/>
  <c r="D36" i="4"/>
  <c r="L82" i="57"/>
  <c r="N82" i="57" s="1"/>
  <c r="D85" i="57"/>
  <c r="L85" i="57" s="1"/>
  <c r="L85" i="56"/>
  <c r="N85" i="56" s="1"/>
  <c r="X295" i="18"/>
  <c r="Z295" i="18" s="1"/>
  <c r="P299" i="18"/>
  <c r="R295" i="18"/>
  <c r="T85" i="57"/>
  <c r="Z82" i="57"/>
  <c r="H109" i="45"/>
  <c r="J106" i="45"/>
  <c r="N31" i="43"/>
  <c r="H36" i="43"/>
  <c r="N36" i="43" s="1"/>
  <c r="X267" i="15"/>
  <c r="Z267" i="15" s="1"/>
  <c r="P271" i="15"/>
  <c r="R267" i="15"/>
  <c r="H36" i="34"/>
  <c r="N36" i="34" s="1"/>
  <c r="N31" i="34"/>
  <c r="D130" i="71"/>
  <c r="L126" i="71"/>
  <c r="N126" i="71" s="1"/>
  <c r="F126" i="71"/>
  <c r="X73" i="110"/>
  <c r="Z73" i="110" s="1"/>
  <c r="P77" i="110"/>
  <c r="R73" i="110"/>
  <c r="D102" i="92"/>
  <c r="L99" i="92"/>
  <c r="N99" i="92" s="1"/>
  <c r="N31" i="31"/>
  <c r="H36" i="31"/>
  <c r="N36" i="31" s="1"/>
  <c r="V93" i="95"/>
  <c r="L116" i="77"/>
  <c r="N116" i="77" s="1"/>
  <c r="D119" i="77"/>
  <c r="F116" i="77"/>
  <c r="L85" i="93"/>
  <c r="N85" i="93" s="1"/>
  <c r="D89" i="93"/>
  <c r="F85" i="93"/>
  <c r="L31" i="29"/>
  <c r="D36" i="29"/>
  <c r="T287" i="12"/>
  <c r="V284" i="12"/>
  <c r="N31" i="46"/>
  <c r="H36" i="46"/>
  <c r="N36" i="46" s="1"/>
  <c r="L31" i="28"/>
  <c r="D36" i="28"/>
  <c r="N31" i="35"/>
  <c r="H36" i="35"/>
  <c r="N36" i="35" s="1"/>
  <c r="P101" i="74"/>
  <c r="X97" i="74"/>
  <c r="Z97" i="74" s="1"/>
  <c r="R97" i="74"/>
  <c r="X26" i="54"/>
  <c r="P31" i="54"/>
  <c r="X31" i="54" s="1"/>
  <c r="Z31" i="54" s="1"/>
  <c r="H103" i="84"/>
  <c r="N100" i="84"/>
  <c r="J100" i="84"/>
  <c r="N79" i="101"/>
  <c r="H82" i="101"/>
  <c r="Z31" i="25"/>
  <c r="T36" i="25"/>
  <c r="Z36" i="25" s="1"/>
  <c r="P82" i="101"/>
  <c r="X79" i="101"/>
  <c r="R79" i="101"/>
  <c r="H36" i="11"/>
  <c r="N36" i="11" s="1"/>
  <c r="N31" i="11"/>
  <c r="T108" i="9"/>
  <c r="Z105" i="9"/>
  <c r="V105" i="9"/>
  <c r="H92" i="93"/>
  <c r="J89" i="93"/>
  <c r="H114" i="64"/>
  <c r="L31" i="34"/>
  <c r="D36" i="34"/>
  <c r="H36" i="16"/>
  <c r="N36" i="16" s="1"/>
  <c r="N31" i="16"/>
  <c r="X31" i="26"/>
  <c r="P36" i="26"/>
  <c r="N57" i="100"/>
  <c r="H60" i="100"/>
  <c r="Z31" i="43"/>
  <c r="T36" i="43"/>
  <c r="Z36" i="43" s="1"/>
  <c r="T91" i="73"/>
  <c r="V88" i="73"/>
  <c r="N31" i="41"/>
  <c r="H36" i="41"/>
  <c r="N36" i="41" s="1"/>
  <c r="D36" i="37"/>
  <c r="L31" i="37"/>
  <c r="D120" i="21"/>
  <c r="L116" i="21"/>
  <c r="N116" i="21" s="1"/>
  <c r="F116" i="21"/>
  <c r="L66" i="61"/>
  <c r="D69" i="61"/>
  <c r="P110" i="33"/>
  <c r="X106" i="33"/>
  <c r="Z106" i="33" s="1"/>
  <c r="R106" i="33"/>
  <c r="P85" i="94"/>
  <c r="X81" i="94"/>
  <c r="Z81" i="94" s="1"/>
  <c r="R81" i="94"/>
  <c r="N31" i="38"/>
  <c r="H36" i="38"/>
  <c r="N36" i="38" s="1"/>
  <c r="H89" i="81"/>
  <c r="J86" i="81"/>
  <c r="D36" i="17"/>
  <c r="L31" i="17"/>
  <c r="T36" i="16"/>
  <c r="Z36" i="16" s="1"/>
  <c r="Z31" i="16"/>
  <c r="P106" i="45"/>
  <c r="X102" i="45"/>
  <c r="Z102" i="45" s="1"/>
  <c r="R102" i="45"/>
  <c r="Z77" i="48"/>
  <c r="T80" i="48"/>
  <c r="V77" i="48"/>
  <c r="X66" i="61"/>
  <c r="Z66" i="61" s="1"/>
  <c r="P69" i="61"/>
  <c r="V81" i="79"/>
  <c r="L31" i="53"/>
  <c r="D36" i="53"/>
  <c r="T36" i="52"/>
  <c r="Z36" i="52" s="1"/>
  <c r="Z31" i="52"/>
  <c r="Z31" i="41"/>
  <c r="T36" i="41"/>
  <c r="Z36" i="41" s="1"/>
  <c r="Z51" i="99"/>
  <c r="T54" i="99"/>
  <c r="Z54" i="99" s="1"/>
  <c r="L105" i="96"/>
  <c r="N105" i="96" s="1"/>
  <c r="D108" i="96"/>
  <c r="F105" i="96"/>
  <c r="T129" i="69"/>
  <c r="V126" i="69"/>
  <c r="V119" i="77"/>
  <c r="H102" i="92"/>
  <c r="N67" i="105"/>
  <c r="H70" i="105"/>
  <c r="J67" i="105"/>
  <c r="P36" i="32"/>
  <c r="X31" i="32"/>
  <c r="P36" i="40"/>
  <c r="X31" i="40"/>
  <c r="T89" i="81"/>
  <c r="V86" i="81"/>
  <c r="D36" i="41"/>
  <c r="L31" i="41"/>
  <c r="L295" i="18"/>
  <c r="N295" i="18" s="1"/>
  <c r="D299" i="18"/>
  <c r="F295" i="18"/>
  <c r="T82" i="101"/>
  <c r="Z79" i="101"/>
  <c r="V79" i="101"/>
  <c r="L31" i="26"/>
  <c r="D36" i="26"/>
  <c r="D36" i="50"/>
  <c r="L31" i="50"/>
  <c r="N31" i="112"/>
  <c r="H36" i="112"/>
  <c r="N36" i="112" s="1"/>
  <c r="P103" i="84"/>
  <c r="X100" i="84"/>
  <c r="R100" i="84"/>
  <c r="X32" i="86"/>
  <c r="Z32" i="86" s="1"/>
  <c r="P36" i="86"/>
  <c r="R32" i="86"/>
  <c r="L31" i="23"/>
  <c r="D36" i="23"/>
  <c r="N26" i="6"/>
  <c r="H31" i="6"/>
  <c r="L26" i="6"/>
  <c r="T101" i="98"/>
  <c r="Z98" i="98"/>
  <c r="V98" i="98"/>
  <c r="D158" i="30"/>
  <c r="L154" i="30"/>
  <c r="N154" i="30" s="1"/>
  <c r="F154" i="30"/>
  <c r="T69" i="61"/>
  <c r="P83" i="58"/>
  <c r="X83" i="58" s="1"/>
  <c r="X80" i="58"/>
  <c r="Z80" i="58" s="1"/>
  <c r="L98" i="88"/>
  <c r="N98" i="88" s="1"/>
  <c r="D102" i="88"/>
  <c r="F98" i="88"/>
  <c r="X96" i="108"/>
  <c r="Z96" i="108" s="1"/>
  <c r="P99" i="108"/>
  <c r="R96" i="108"/>
  <c r="H119" i="77"/>
  <c r="J116" i="77"/>
  <c r="H96" i="76"/>
  <c r="J93" i="76"/>
  <c r="L324" i="3"/>
  <c r="N324" i="3" s="1"/>
  <c r="D329" i="3"/>
  <c r="F324" i="3"/>
  <c r="T100" i="106"/>
  <c r="V97" i="106"/>
  <c r="P36" i="14"/>
  <c r="X31" i="14"/>
  <c r="T104" i="74"/>
  <c r="V101" i="74"/>
  <c r="Z100" i="84"/>
  <c r="T103" i="84"/>
  <c r="V100" i="84"/>
  <c r="P72" i="68"/>
  <c r="X72" i="68" s="1"/>
  <c r="X69" i="68"/>
  <c r="Z69" i="68" s="1"/>
  <c r="H329" i="3"/>
  <c r="J324" i="3"/>
  <c r="X31" i="11"/>
  <c r="P36" i="11"/>
  <c r="N31" i="4"/>
  <c r="H36" i="4"/>
  <c r="N36" i="4" s="1"/>
  <c r="X84" i="73"/>
  <c r="Z84" i="73" s="1"/>
  <c r="P88" i="73"/>
  <c r="R84" i="73"/>
  <c r="D116" i="51"/>
  <c r="L112" i="51"/>
  <c r="N112" i="51" s="1"/>
  <c r="F112" i="51"/>
  <c r="X31" i="44"/>
  <c r="P36" i="44"/>
  <c r="Z31" i="112"/>
  <c r="T36" i="112"/>
  <c r="Z36" i="112" s="1"/>
  <c r="X31" i="10"/>
  <c r="P36" i="10"/>
  <c r="L31" i="13"/>
  <c r="D36" i="13"/>
  <c r="X121" i="75"/>
  <c r="Z121" i="75" s="1"/>
  <c r="P125" i="75"/>
  <c r="R121" i="75"/>
  <c r="T94" i="89"/>
  <c r="V91" i="89"/>
  <c r="Z31" i="50"/>
  <c r="T36" i="50"/>
  <c r="Z36" i="50" s="1"/>
  <c r="X31" i="4"/>
  <c r="P36" i="4"/>
  <c r="H86" i="70"/>
  <c r="J83" i="70"/>
  <c r="L31" i="5"/>
  <c r="D36" i="5"/>
  <c r="Z31" i="10"/>
  <c r="T36" i="10"/>
  <c r="Z36" i="10" s="1"/>
  <c r="D134" i="42"/>
  <c r="L130" i="42"/>
  <c r="N130" i="42" s="1"/>
  <c r="F130" i="42"/>
  <c r="P102" i="88"/>
  <c r="X98" i="88"/>
  <c r="Z98" i="88" s="1"/>
  <c r="R98" i="88"/>
  <c r="L36" i="86"/>
  <c r="N36" i="86" s="1"/>
  <c r="D39" i="86"/>
  <c r="F36" i="86"/>
  <c r="P36" i="46"/>
  <c r="X31" i="46"/>
  <c r="L31" i="46"/>
  <c r="D36" i="46"/>
  <c r="L31" i="32"/>
  <c r="D36" i="32"/>
  <c r="X31" i="25"/>
  <c r="P36" i="25"/>
  <c r="P158" i="30"/>
  <c r="X154" i="30"/>
  <c r="Z154" i="30" s="1"/>
  <c r="R154" i="30"/>
  <c r="L86" i="81"/>
  <c r="N86" i="81" s="1"/>
  <c r="D89" i="81"/>
  <c r="F86" i="81"/>
  <c r="L105" i="9"/>
  <c r="N105" i="9" s="1"/>
  <c r="D108" i="9"/>
  <c r="L108" i="9" s="1"/>
  <c r="N31" i="8"/>
  <c r="H36" i="8"/>
  <c r="N36" i="8" s="1"/>
  <c r="T80" i="110"/>
  <c r="V77" i="110"/>
  <c r="L83" i="70"/>
  <c r="N83" i="70" s="1"/>
  <c r="D86" i="70"/>
  <c r="F83" i="70"/>
  <c r="Z31" i="26"/>
  <c r="T36" i="26"/>
  <c r="Z36" i="26" s="1"/>
  <c r="H287" i="12"/>
  <c r="J284" i="12"/>
  <c r="P36" i="34"/>
  <c r="X31" i="34"/>
  <c r="D110" i="33"/>
  <c r="L106" i="33"/>
  <c r="N106" i="33" s="1"/>
  <c r="F106" i="33"/>
  <c r="H137" i="42"/>
  <c r="J134" i="42"/>
  <c r="D114" i="64"/>
  <c r="L114" i="64" s="1"/>
  <c r="L111" i="64"/>
  <c r="N111" i="64" s="1"/>
  <c r="H69" i="61"/>
  <c r="N66" i="61"/>
  <c r="T36" i="22"/>
  <c r="Z36" i="22" s="1"/>
  <c r="Z31" i="22"/>
  <c r="T36" i="31"/>
  <c r="Z36" i="31" s="1"/>
  <c r="Z31" i="31"/>
  <c r="T88" i="94"/>
  <c r="V85" i="94"/>
  <c r="H36" i="32"/>
  <c r="N36" i="32" s="1"/>
  <c r="N31" i="32"/>
  <c r="Z31" i="32"/>
  <c r="T36" i="32"/>
  <c r="Z36" i="32" s="1"/>
  <c r="X26" i="78"/>
  <c r="P29" i="78"/>
  <c r="X29" i="78" s="1"/>
  <c r="N31" i="7"/>
  <c r="H36" i="7"/>
  <c r="N36" i="7" s="1"/>
  <c r="N31" i="47"/>
  <c r="H36" i="47"/>
  <c r="N36" i="47" s="1"/>
  <c r="T36" i="11"/>
  <c r="Z36" i="11" s="1"/>
  <c r="Z31" i="11"/>
  <c r="H36" i="19"/>
  <c r="N36" i="19" s="1"/>
  <c r="N31" i="19"/>
  <c r="H302" i="18"/>
  <c r="J299" i="18"/>
  <c r="H161" i="30"/>
  <c r="J158" i="30"/>
  <c r="X108" i="9" l="1"/>
  <c r="L36" i="26"/>
  <c r="X36" i="53"/>
  <c r="L36" i="49"/>
  <c r="X36" i="44"/>
  <c r="L36" i="37"/>
  <c r="L36" i="23"/>
  <c r="X36" i="20"/>
  <c r="X36" i="29"/>
  <c r="L36" i="53"/>
  <c r="X36" i="40"/>
  <c r="X36" i="49"/>
  <c r="X36" i="37"/>
  <c r="X36" i="46"/>
  <c r="L36" i="28"/>
  <c r="X36" i="14"/>
  <c r="L36" i="46"/>
  <c r="X36" i="11"/>
  <c r="L36" i="40"/>
  <c r="L36" i="111"/>
  <c r="X36" i="28"/>
  <c r="L36" i="13"/>
  <c r="L36" i="22"/>
  <c r="L36" i="34"/>
  <c r="L36" i="47"/>
  <c r="X36" i="23"/>
  <c r="L120" i="21"/>
  <c r="N120" i="21" s="1"/>
  <c r="D123" i="21"/>
  <c r="F120" i="21"/>
  <c r="L140" i="24"/>
  <c r="N140" i="24" s="1"/>
  <c r="D143" i="24"/>
  <c r="F140" i="24"/>
  <c r="L284" i="12"/>
  <c r="N284" i="12" s="1"/>
  <c r="D287" i="12"/>
  <c r="F284" i="12"/>
  <c r="Z94" i="89"/>
  <c r="V94" i="89"/>
  <c r="J329" i="3"/>
  <c r="L36" i="41"/>
  <c r="L119" i="77"/>
  <c r="N119" i="77" s="1"/>
  <c r="F119" i="77"/>
  <c r="L36" i="4"/>
  <c r="Z72" i="68"/>
  <c r="L93" i="76"/>
  <c r="N93" i="76" s="1"/>
  <c r="D96" i="76"/>
  <c r="F93" i="76"/>
  <c r="X141" i="36"/>
  <c r="Z141" i="36" s="1"/>
  <c r="P144" i="36"/>
  <c r="R141" i="36"/>
  <c r="L96" i="108"/>
  <c r="N96" i="108" s="1"/>
  <c r="D99" i="108"/>
  <c r="F96" i="108"/>
  <c r="L36" i="16"/>
  <c r="L70" i="105"/>
  <c r="F70" i="105"/>
  <c r="V302" i="18"/>
  <c r="V98" i="102"/>
  <c r="J150" i="39"/>
  <c r="L36" i="38"/>
  <c r="L36" i="25"/>
  <c r="L36" i="14"/>
  <c r="X60" i="100"/>
  <c r="Z60" i="100" s="1"/>
  <c r="X36" i="52"/>
  <c r="Z83" i="58"/>
  <c r="P287" i="12"/>
  <c r="X284" i="12"/>
  <c r="Z284" i="12" s="1"/>
  <c r="R284" i="12"/>
  <c r="V35" i="83"/>
  <c r="X329" i="3"/>
  <c r="R329" i="3"/>
  <c r="V123" i="21"/>
  <c r="L90" i="95"/>
  <c r="N90" i="95" s="1"/>
  <c r="D93" i="95"/>
  <c r="F90" i="95"/>
  <c r="V274" i="15"/>
  <c r="P119" i="51"/>
  <c r="X116" i="51"/>
  <c r="Z116" i="51" s="1"/>
  <c r="R116" i="51"/>
  <c r="L40" i="55"/>
  <c r="P93" i="95"/>
  <c r="X90" i="95"/>
  <c r="Z90" i="95" s="1"/>
  <c r="R90" i="95"/>
  <c r="X36" i="35"/>
  <c r="J119" i="51"/>
  <c r="D137" i="42"/>
  <c r="L134" i="42"/>
  <c r="N134" i="42" s="1"/>
  <c r="F134" i="42"/>
  <c r="J119" i="77"/>
  <c r="X36" i="26"/>
  <c r="L89" i="81"/>
  <c r="F89" i="81"/>
  <c r="L36" i="5"/>
  <c r="L158" i="30"/>
  <c r="N158" i="30" s="1"/>
  <c r="D161" i="30"/>
  <c r="F158" i="30"/>
  <c r="X36" i="86"/>
  <c r="Z36" i="86" s="1"/>
  <c r="P39" i="86"/>
  <c r="R36" i="86"/>
  <c r="L36" i="50"/>
  <c r="V89" i="81"/>
  <c r="P109" i="45"/>
  <c r="X106" i="45"/>
  <c r="Z106" i="45" s="1"/>
  <c r="R106" i="45"/>
  <c r="Z108" i="9"/>
  <c r="V108" i="9"/>
  <c r="J109" i="45"/>
  <c r="N108" i="96"/>
  <c r="J108" i="96"/>
  <c r="L51" i="99"/>
  <c r="D54" i="99"/>
  <c r="F51" i="99"/>
  <c r="X36" i="19"/>
  <c r="N85" i="57"/>
  <c r="L36" i="112"/>
  <c r="V99" i="104"/>
  <c r="L91" i="89"/>
  <c r="N91" i="89" s="1"/>
  <c r="D94" i="89"/>
  <c r="F91" i="89"/>
  <c r="L36" i="113"/>
  <c r="L36" i="10"/>
  <c r="P123" i="21"/>
  <c r="X120" i="21"/>
  <c r="Z120" i="21" s="1"/>
  <c r="R120" i="21"/>
  <c r="X143" i="24"/>
  <c r="Z143" i="24" s="1"/>
  <c r="R143" i="24"/>
  <c r="L36" i="44"/>
  <c r="X36" i="50"/>
  <c r="V88" i="94"/>
  <c r="X125" i="75"/>
  <c r="Z125" i="75" s="1"/>
  <c r="P128" i="75"/>
  <c r="R125" i="75"/>
  <c r="L116" i="51"/>
  <c r="N116" i="51" s="1"/>
  <c r="D119" i="51"/>
  <c r="F116" i="51"/>
  <c r="X99" i="108"/>
  <c r="R99" i="108"/>
  <c r="X85" i="94"/>
  <c r="Z85" i="94" s="1"/>
  <c r="P88" i="94"/>
  <c r="R85" i="94"/>
  <c r="J103" i="84"/>
  <c r="L98" i="102"/>
  <c r="N98" i="102" s="1"/>
  <c r="F98" i="102"/>
  <c r="P129" i="69"/>
  <c r="X126" i="69"/>
  <c r="Z126" i="69" s="1"/>
  <c r="R126" i="69"/>
  <c r="J143" i="24"/>
  <c r="L36" i="19"/>
  <c r="J113" i="33"/>
  <c r="X130" i="85"/>
  <c r="Z130" i="85" s="1"/>
  <c r="P133" i="85"/>
  <c r="R130" i="85"/>
  <c r="N108" i="9"/>
  <c r="L36" i="8"/>
  <c r="V137" i="42"/>
  <c r="X36" i="8"/>
  <c r="J88" i="94"/>
  <c r="L88" i="94"/>
  <c r="N88" i="94" s="1"/>
  <c r="V161" i="30"/>
  <c r="J93" i="95"/>
  <c r="L100" i="106"/>
  <c r="N100" i="106" s="1"/>
  <c r="F100" i="106"/>
  <c r="D80" i="48"/>
  <c r="L77" i="48"/>
  <c r="N77" i="48" s="1"/>
  <c r="F77" i="48"/>
  <c r="N68" i="60"/>
  <c r="L39" i="86"/>
  <c r="N39" i="86" s="1"/>
  <c r="F39" i="86"/>
  <c r="D133" i="71"/>
  <c r="L130" i="71"/>
  <c r="N130" i="71" s="1"/>
  <c r="F130" i="71"/>
  <c r="L150" i="39"/>
  <c r="N150" i="39" s="1"/>
  <c r="F150" i="39"/>
  <c r="V144" i="36"/>
  <c r="L60" i="100"/>
  <c r="N60" i="100" s="1"/>
  <c r="L32" i="83"/>
  <c r="N32" i="83" s="1"/>
  <c r="D35" i="83"/>
  <c r="F32" i="83"/>
  <c r="J133" i="85"/>
  <c r="L80" i="110"/>
  <c r="N80" i="110" s="1"/>
  <c r="F80" i="110"/>
  <c r="P89" i="81"/>
  <c r="X86" i="81"/>
  <c r="Z86" i="81" s="1"/>
  <c r="R86" i="81"/>
  <c r="X86" i="70"/>
  <c r="R86" i="70"/>
  <c r="X36" i="47"/>
  <c r="J35" i="83"/>
  <c r="X88" i="73"/>
  <c r="Z88" i="73" s="1"/>
  <c r="P91" i="73"/>
  <c r="R88" i="73"/>
  <c r="V133" i="71"/>
  <c r="Z86" i="70"/>
  <c r="V86" i="70"/>
  <c r="J39" i="86"/>
  <c r="L77" i="59"/>
  <c r="N77" i="59" s="1"/>
  <c r="D80" i="59"/>
  <c r="L80" i="59" s="1"/>
  <c r="N80" i="59" s="1"/>
  <c r="X36" i="22"/>
  <c r="X36" i="13"/>
  <c r="L106" i="45"/>
  <c r="N106" i="45" s="1"/>
  <c r="D109" i="45"/>
  <c r="F106" i="45"/>
  <c r="P150" i="39"/>
  <c r="X147" i="39"/>
  <c r="Z147" i="39" s="1"/>
  <c r="R147" i="39"/>
  <c r="J99" i="104"/>
  <c r="P108" i="96"/>
  <c r="X105" i="96"/>
  <c r="Z105" i="96" s="1"/>
  <c r="R105" i="96"/>
  <c r="X36" i="5"/>
  <c r="X36" i="31"/>
  <c r="Z99" i="108"/>
  <c r="V99" i="108"/>
  <c r="X35" i="83"/>
  <c r="Z35" i="83" s="1"/>
  <c r="R35" i="83"/>
  <c r="J137" i="42"/>
  <c r="V100" i="106"/>
  <c r="V129" i="69"/>
  <c r="J86" i="70"/>
  <c r="P161" i="30"/>
  <c r="X158" i="30"/>
  <c r="Z158" i="30" s="1"/>
  <c r="R158" i="30"/>
  <c r="L329" i="3"/>
  <c r="N329" i="3" s="1"/>
  <c r="F329" i="3"/>
  <c r="L102" i="88"/>
  <c r="N102" i="88" s="1"/>
  <c r="D105" i="88"/>
  <c r="F102" i="88"/>
  <c r="X103" i="84"/>
  <c r="Z103" i="84" s="1"/>
  <c r="R103" i="84"/>
  <c r="P113" i="33"/>
  <c r="X110" i="33"/>
  <c r="Z110" i="33" s="1"/>
  <c r="R110" i="33"/>
  <c r="L36" i="29"/>
  <c r="V105" i="88"/>
  <c r="L36" i="52"/>
  <c r="L78" i="79"/>
  <c r="N78" i="79" s="1"/>
  <c r="D81" i="79"/>
  <c r="F78" i="79"/>
  <c r="D274" i="15"/>
  <c r="L271" i="15"/>
  <c r="N271" i="15" s="1"/>
  <c r="F271" i="15"/>
  <c r="X36" i="17"/>
  <c r="D104" i="74"/>
  <c r="L101" i="74"/>
  <c r="N101" i="74" s="1"/>
  <c r="F101" i="74"/>
  <c r="Z80" i="59"/>
  <c r="V80" i="59"/>
  <c r="X36" i="113"/>
  <c r="X36" i="43"/>
  <c r="L36" i="7"/>
  <c r="L36" i="20"/>
  <c r="X70" i="105"/>
  <c r="Z70" i="105" s="1"/>
  <c r="R70" i="105"/>
  <c r="L82" i="101"/>
  <c r="X36" i="111"/>
  <c r="D128" i="75"/>
  <c r="L125" i="75"/>
  <c r="N125" i="75" s="1"/>
  <c r="F125" i="75"/>
  <c r="L86" i="70"/>
  <c r="N86" i="70" s="1"/>
  <c r="F86" i="70"/>
  <c r="V287" i="12"/>
  <c r="V101" i="98"/>
  <c r="J161" i="30"/>
  <c r="D113" i="33"/>
  <c r="L110" i="33"/>
  <c r="N110" i="33" s="1"/>
  <c r="F110" i="33"/>
  <c r="V80" i="110"/>
  <c r="X36" i="25"/>
  <c r="X36" i="4"/>
  <c r="X36" i="10"/>
  <c r="V103" i="84"/>
  <c r="L31" i="6"/>
  <c r="N31" i="6" s="1"/>
  <c r="V82" i="101"/>
  <c r="X36" i="32"/>
  <c r="L108" i="96"/>
  <c r="F108" i="96"/>
  <c r="X69" i="61"/>
  <c r="Z69" i="61" s="1"/>
  <c r="L36" i="17"/>
  <c r="L69" i="61"/>
  <c r="N69" i="61" s="1"/>
  <c r="V91" i="73"/>
  <c r="X82" i="101"/>
  <c r="Z82" i="101" s="1"/>
  <c r="R82" i="101"/>
  <c r="L102" i="92"/>
  <c r="X299" i="18"/>
  <c r="Z299" i="18" s="1"/>
  <c r="P302" i="18"/>
  <c r="R299" i="18"/>
  <c r="L101" i="98"/>
  <c r="N101" i="98" s="1"/>
  <c r="F101" i="98"/>
  <c r="L36" i="35"/>
  <c r="X101" i="98"/>
  <c r="Z101" i="98" s="1"/>
  <c r="R101" i="98"/>
  <c r="L103" i="84"/>
  <c r="N103" i="84" s="1"/>
  <c r="L144" i="36"/>
  <c r="N144" i="36" s="1"/>
  <c r="F144" i="36"/>
  <c r="X85" i="57"/>
  <c r="Z85" i="57" s="1"/>
  <c r="J133" i="27"/>
  <c r="L88" i="73"/>
  <c r="N88" i="73" s="1"/>
  <c r="D91" i="73"/>
  <c r="F88" i="73"/>
  <c r="X134" i="42"/>
  <c r="Z134" i="42" s="1"/>
  <c r="P137" i="42"/>
  <c r="R134" i="42"/>
  <c r="X54" i="99"/>
  <c r="R54" i="99"/>
  <c r="N102" i="92"/>
  <c r="P105" i="88"/>
  <c r="X102" i="88"/>
  <c r="Z102" i="88" s="1"/>
  <c r="R102" i="88"/>
  <c r="N114" i="64"/>
  <c r="X101" i="74"/>
  <c r="Z101" i="74" s="1"/>
  <c r="P104" i="74"/>
  <c r="R101" i="74"/>
  <c r="L36" i="31"/>
  <c r="L88" i="80"/>
  <c r="N88" i="80" s="1"/>
  <c r="F88" i="80"/>
  <c r="D133" i="85"/>
  <c r="L130" i="85"/>
  <c r="N130" i="85" s="1"/>
  <c r="F130" i="85"/>
  <c r="X36" i="112"/>
  <c r="X114" i="64"/>
  <c r="Z114" i="64" s="1"/>
  <c r="L130" i="27"/>
  <c r="N130" i="27" s="1"/>
  <c r="D133" i="27"/>
  <c r="F130" i="27"/>
  <c r="X36" i="7"/>
  <c r="X36" i="38"/>
  <c r="X98" i="102"/>
  <c r="Z98" i="102" s="1"/>
  <c r="R98" i="102"/>
  <c r="V133" i="85"/>
  <c r="J104" i="74"/>
  <c r="Z53" i="109"/>
  <c r="J287" i="12"/>
  <c r="J302" i="18"/>
  <c r="D302" i="18"/>
  <c r="L299" i="18"/>
  <c r="N299" i="18" s="1"/>
  <c r="F299" i="18"/>
  <c r="N70" i="105"/>
  <c r="J70" i="105"/>
  <c r="N89" i="81"/>
  <c r="J89" i="81"/>
  <c r="L89" i="93"/>
  <c r="N89" i="93" s="1"/>
  <c r="D92" i="93"/>
  <c r="F89" i="93"/>
  <c r="P274" i="15"/>
  <c r="X271" i="15"/>
  <c r="Z271" i="15" s="1"/>
  <c r="R271" i="15"/>
  <c r="J128" i="75"/>
  <c r="V88" i="80"/>
  <c r="L126" i="69"/>
  <c r="N126" i="69" s="1"/>
  <c r="D129" i="69"/>
  <c r="F126" i="69"/>
  <c r="P133" i="27"/>
  <c r="X130" i="27"/>
  <c r="Z130" i="27" s="1"/>
  <c r="R130" i="27"/>
  <c r="X36" i="41"/>
  <c r="X96" i="104"/>
  <c r="Z96" i="104" s="1"/>
  <c r="P99" i="104"/>
  <c r="R96" i="104"/>
  <c r="L36" i="43"/>
  <c r="N40" i="55"/>
  <c r="X130" i="71"/>
  <c r="Z130" i="71" s="1"/>
  <c r="P133" i="71"/>
  <c r="R130" i="71"/>
  <c r="X92" i="93"/>
  <c r="Z92" i="93" s="1"/>
  <c r="R92" i="93"/>
  <c r="X70" i="103"/>
  <c r="Z70" i="103" s="1"/>
  <c r="D99" i="104"/>
  <c r="L96" i="104"/>
  <c r="N96" i="104" s="1"/>
  <c r="F96" i="104"/>
  <c r="X80" i="48"/>
  <c r="Z80" i="48" s="1"/>
  <c r="R80" i="48"/>
  <c r="X78" i="79"/>
  <c r="Z78" i="79" s="1"/>
  <c r="P81" i="79"/>
  <c r="R78" i="79"/>
  <c r="N82" i="101"/>
  <c r="X36" i="34"/>
  <c r="L36" i="32"/>
  <c r="J96" i="76"/>
  <c r="V104" i="74"/>
  <c r="V80" i="48"/>
  <c r="J92" i="93"/>
  <c r="L88" i="56"/>
  <c r="N88" i="56" s="1"/>
  <c r="X77" i="110"/>
  <c r="Z77" i="110" s="1"/>
  <c r="P80" i="110"/>
  <c r="R77" i="110"/>
  <c r="L36" i="11"/>
  <c r="P96" i="76"/>
  <c r="X93" i="76"/>
  <c r="Z93" i="76" s="1"/>
  <c r="R93" i="76"/>
  <c r="X97" i="106"/>
  <c r="Z97" i="106" s="1"/>
  <c r="P100" i="106"/>
  <c r="R97" i="106"/>
  <c r="Z329" i="3"/>
  <c r="V329" i="3"/>
  <c r="X94" i="89"/>
  <c r="R94" i="89"/>
  <c r="J123" i="21"/>
  <c r="N70" i="103"/>
  <c r="X88" i="80"/>
  <c r="Z88" i="80" s="1"/>
  <c r="R88" i="80"/>
  <c r="X36" i="16"/>
  <c r="J274" i="15"/>
  <c r="X116" i="77"/>
  <c r="Z116" i="77" s="1"/>
  <c r="P119" i="77"/>
  <c r="R116" i="77"/>
  <c r="L274" i="15" l="1"/>
  <c r="N274" i="15" s="1"/>
  <c r="F274" i="15"/>
  <c r="L94" i="89"/>
  <c r="N94" i="89" s="1"/>
  <c r="F94" i="89"/>
  <c r="X39" i="86"/>
  <c r="Z39" i="86" s="1"/>
  <c r="R39" i="86"/>
  <c r="X133" i="27"/>
  <c r="Z133" i="27" s="1"/>
  <c r="R133" i="27"/>
  <c r="L92" i="93"/>
  <c r="N92" i="93" s="1"/>
  <c r="F92" i="93"/>
  <c r="L133" i="27"/>
  <c r="N133" i="27" s="1"/>
  <c r="F133" i="27"/>
  <c r="X104" i="74"/>
  <c r="Z104" i="74" s="1"/>
  <c r="R104" i="74"/>
  <c r="X91" i="73"/>
  <c r="Z91" i="73" s="1"/>
  <c r="R91" i="73"/>
  <c r="L133" i="71"/>
  <c r="N133" i="71" s="1"/>
  <c r="F133" i="71"/>
  <c r="X119" i="51"/>
  <c r="Z119" i="51" s="1"/>
  <c r="R119" i="51"/>
  <c r="L81" i="79"/>
  <c r="N81" i="79" s="1"/>
  <c r="F81" i="79"/>
  <c r="X88" i="94"/>
  <c r="Z88" i="94" s="1"/>
  <c r="R88" i="94"/>
  <c r="L96" i="76"/>
  <c r="N96" i="76" s="1"/>
  <c r="F96" i="76"/>
  <c r="L91" i="73"/>
  <c r="N91" i="73" s="1"/>
  <c r="F91" i="73"/>
  <c r="X108" i="96"/>
  <c r="Z108" i="96" s="1"/>
  <c r="R108" i="96"/>
  <c r="X133" i="71"/>
  <c r="Z133" i="71" s="1"/>
  <c r="R133" i="71"/>
  <c r="L129" i="69"/>
  <c r="N129" i="69" s="1"/>
  <c r="F129" i="69"/>
  <c r="L161" i="30"/>
  <c r="N161" i="30" s="1"/>
  <c r="F161" i="30"/>
  <c r="L137" i="42"/>
  <c r="N137" i="42" s="1"/>
  <c r="F137" i="42"/>
  <c r="X287" i="12"/>
  <c r="Z287" i="12" s="1"/>
  <c r="R287" i="12"/>
  <c r="L287" i="12"/>
  <c r="N287" i="12" s="1"/>
  <c r="F287" i="12"/>
  <c r="X80" i="110"/>
  <c r="Z80" i="110" s="1"/>
  <c r="R80" i="110"/>
  <c r="L105" i="88"/>
  <c r="N105" i="88" s="1"/>
  <c r="F105" i="88"/>
  <c r="X81" i="79"/>
  <c r="Z81" i="79" s="1"/>
  <c r="R81" i="79"/>
  <c r="L35" i="83"/>
  <c r="N35" i="83" s="1"/>
  <c r="F35" i="83"/>
  <c r="X119" i="77"/>
  <c r="Z119" i="77" s="1"/>
  <c r="R119" i="77"/>
  <c r="X100" i="106"/>
  <c r="Z100" i="106" s="1"/>
  <c r="R100" i="106"/>
  <c r="X302" i="18"/>
  <c r="Z302" i="18" s="1"/>
  <c r="R302" i="18"/>
  <c r="L93" i="95"/>
  <c r="N93" i="95" s="1"/>
  <c r="F93" i="95"/>
  <c r="X105" i="88"/>
  <c r="Z105" i="88" s="1"/>
  <c r="R105" i="88"/>
  <c r="L143" i="24"/>
  <c r="N143" i="24" s="1"/>
  <c r="F143" i="24"/>
  <c r="L133" i="85"/>
  <c r="N133" i="85" s="1"/>
  <c r="F133" i="85"/>
  <c r="L113" i="33"/>
  <c r="N113" i="33" s="1"/>
  <c r="F113" i="33"/>
  <c r="L128" i="75"/>
  <c r="N128" i="75" s="1"/>
  <c r="F128" i="75"/>
  <c r="X150" i="39"/>
  <c r="Z150" i="39" s="1"/>
  <c r="R150" i="39"/>
  <c r="L80" i="48"/>
  <c r="N80" i="48" s="1"/>
  <c r="F80" i="48"/>
  <c r="L119" i="51"/>
  <c r="N119" i="51" s="1"/>
  <c r="F119" i="51"/>
  <c r="X109" i="45"/>
  <c r="Z109" i="45" s="1"/>
  <c r="R109" i="45"/>
  <c r="L104" i="74"/>
  <c r="N104" i="74" s="1"/>
  <c r="F104" i="74"/>
  <c r="X123" i="21"/>
  <c r="Z123" i="21" s="1"/>
  <c r="R123" i="21"/>
  <c r="X161" i="30"/>
  <c r="Z161" i="30" s="1"/>
  <c r="R161" i="30"/>
  <c r="X129" i="69"/>
  <c r="Z129" i="69" s="1"/>
  <c r="R129" i="69"/>
  <c r="L99" i="108"/>
  <c r="N99" i="108" s="1"/>
  <c r="F99" i="108"/>
  <c r="L54" i="99"/>
  <c r="F54" i="99"/>
  <c r="L99" i="104"/>
  <c r="N99" i="104" s="1"/>
  <c r="F99" i="104"/>
  <c r="X113" i="33"/>
  <c r="Z113" i="33" s="1"/>
  <c r="R113" i="33"/>
  <c r="X89" i="81"/>
  <c r="Z89" i="81" s="1"/>
  <c r="R89" i="81"/>
  <c r="X128" i="75"/>
  <c r="Z128" i="75" s="1"/>
  <c r="R128" i="75"/>
  <c r="L123" i="21"/>
  <c r="N123" i="21" s="1"/>
  <c r="F123" i="21"/>
  <c r="X99" i="104"/>
  <c r="Z99" i="104" s="1"/>
  <c r="R99" i="104"/>
  <c r="X96" i="76"/>
  <c r="Z96" i="76" s="1"/>
  <c r="R96" i="76"/>
  <c r="L302" i="18"/>
  <c r="N302" i="18" s="1"/>
  <c r="F302" i="18"/>
  <c r="L109" i="45"/>
  <c r="N109" i="45" s="1"/>
  <c r="F109" i="45"/>
  <c r="X93" i="95"/>
  <c r="Z93" i="95" s="1"/>
  <c r="R93" i="95"/>
  <c r="X274" i="15"/>
  <c r="Z274" i="15" s="1"/>
  <c r="R274" i="15"/>
  <c r="X137" i="42"/>
  <c r="Z137" i="42" s="1"/>
  <c r="R137" i="42"/>
  <c r="X133" i="85"/>
  <c r="Z133" i="85" s="1"/>
  <c r="R133" i="85"/>
  <c r="X144" i="36"/>
  <c r="Z144" i="36" s="1"/>
  <c r="R144" i="36"/>
</calcChain>
</file>

<file path=xl/sharedStrings.xml><?xml version="1.0" encoding="utf-8"?>
<sst xmlns="http://schemas.openxmlformats.org/spreadsheetml/2006/main" count="2948" uniqueCount="315">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</sst>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0" fontId="0" fillId="0" borderId="0" xfId="0" applyBorder="1"/>
    <xf numFmtId="0" fontId="0" fillId="0" borderId="0" xfId="0" applyFill="1" applyAlignment="1">
      <alignment horizontal="centerContinuous"/>
    </xf>
    <xf numFmtId="0" fontId="3" fillId="0" borderId="0" xfId="0" applyFont="1" applyAlignment="1">
      <alignment horizontal="left"/>
    </xf>
    <xf numFmtId="0" fontId="4" fillId="0" borderId="0" xfId="0" applyFont="1"/>
    <xf numFmtId="165" fontId="0" fillId="0" borderId="0" xfId="0" applyNumberFormat="1"/>
    <xf numFmtId="164" fontId="2" fillId="0" borderId="0" xfId="1" applyNumberFormat="1" applyFont="1" applyFill="1" applyAlignment="1">
      <alignment horizontal="centerContinuous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5" fillId="0" borderId="0" xfId="0" applyFont="1" applyFill="1"/>
    <xf numFmtId="0" fontId="2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4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1983421.1100000006</v>
      </c>
      <c r="E12" s="4"/>
      <c r="F12" s="12"/>
      <c r="G12" s="4"/>
      <c r="H12" s="4">
        <f>SUM(OSRRefH13x_0)</f>
        <v>2427666.0239800001</v>
      </c>
      <c r="I12" s="4"/>
      <c r="J12" s="12"/>
      <c r="K12" s="4"/>
      <c r="L12" s="4">
        <f t="shared" ref="L12:L132" si="0">+D12-H12</f>
        <v>-444244.91397999949</v>
      </c>
      <c r="M12" s="4"/>
      <c r="N12" s="12">
        <f t="shared" ref="N12:N132" si="1">IF(H12=0,0,L12/H12)</f>
        <v>-0.18299259848423835</v>
      </c>
      <c r="O12" s="10"/>
      <c r="P12" s="4">
        <f>SUM(OSRRefP13x_0)</f>
        <v>18077831.070000008</v>
      </c>
      <c r="Q12" s="4"/>
      <c r="R12" s="12"/>
      <c r="S12" s="4"/>
      <c r="T12" s="4">
        <f>SUM(OSRRefT13x_0)</f>
        <v>18906590.16928</v>
      </c>
      <c r="U12" s="4"/>
      <c r="V12" s="12"/>
      <c r="W12" s="4"/>
      <c r="X12" s="4">
        <f t="shared" ref="X12:X132" si="2">+P12-T12</f>
        <v>-828759.09927999228</v>
      </c>
      <c r="Y12" s="4"/>
      <c r="Z12" s="12">
        <f t="shared" ref="Z12:Z132" si="3">IF(T12=0,0,X12/T12)</f>
        <v>-4.3834403340830073E-2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929367.02398000006</v>
      </c>
      <c r="I13" s="2"/>
      <c r="J13" s="19"/>
      <c r="K13" s="2"/>
      <c r="L13" s="2">
        <f t="shared" si="0"/>
        <v>-929367.02398000006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5968903.16928</v>
      </c>
      <c r="U13" s="2"/>
      <c r="V13" s="19"/>
      <c r="W13" s="2"/>
      <c r="X13" s="2">
        <f t="shared" si="2"/>
        <v>-5968903.16928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/>
      <c r="I14" s="2"/>
      <c r="J14" s="19"/>
      <c r="K14" s="2"/>
      <c r="L14" s="2">
        <f t="shared" si="0"/>
        <v>36689.949999999997</v>
      </c>
      <c r="M14" s="2"/>
      <c r="N14" s="19">
        <f t="shared" si="1"/>
        <v>0</v>
      </c>
      <c r="O14" s="11"/>
      <c r="P14" s="2">
        <f>--1540034.38</f>
        <v>1540034.38</v>
      </c>
      <c r="Q14" s="2"/>
      <c r="R14" s="19"/>
      <c r="S14" s="2"/>
      <c r="T14" s="2"/>
      <c r="U14" s="2"/>
      <c r="V14" s="19"/>
      <c r="W14" s="2"/>
      <c r="X14" s="2">
        <f t="shared" si="2"/>
        <v>1540034.38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/>
      <c r="I15" s="2"/>
      <c r="J15" s="19"/>
      <c r="K15" s="2"/>
      <c r="L15" s="2">
        <f t="shared" si="0"/>
        <v>10615.68</v>
      </c>
      <c r="M15" s="2"/>
      <c r="N15" s="19">
        <f t="shared" si="1"/>
        <v>0</v>
      </c>
      <c r="O15" s="11"/>
      <c r="P15" s="2">
        <f>--681094.97</f>
        <v>681094.97</v>
      </c>
      <c r="Q15" s="2"/>
      <c r="R15" s="19"/>
      <c r="S15" s="2"/>
      <c r="T15" s="2"/>
      <c r="U15" s="2"/>
      <c r="V15" s="19"/>
      <c r="W15" s="2"/>
      <c r="X15" s="2">
        <f t="shared" si="2"/>
        <v>681094.97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/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/>
      <c r="U16" s="2"/>
      <c r="V16" s="19"/>
      <c r="W16" s="2"/>
      <c r="X16" s="2">
        <f t="shared" si="2"/>
        <v>16430.669999999998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/>
      <c r="I18" s="2"/>
      <c r="J18" s="19"/>
      <c r="K18" s="2"/>
      <c r="L18" s="2">
        <f t="shared" si="0"/>
        <v>3.62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/>
      <c r="I19" s="2"/>
      <c r="J19" s="19"/>
      <c r="K19" s="2"/>
      <c r="L19" s="2">
        <f t="shared" si="0"/>
        <v>167.6</v>
      </c>
      <c r="M19" s="2"/>
      <c r="N19" s="19">
        <f t="shared" si="1"/>
        <v>0</v>
      </c>
      <c r="O19" s="11"/>
      <c r="P19" s="2">
        <f>--1280.32</f>
        <v>1280.32</v>
      </c>
      <c r="Q19" s="2"/>
      <c r="R19" s="19"/>
      <c r="S19" s="2"/>
      <c r="T19" s="2"/>
      <c r="U19" s="2"/>
      <c r="V19" s="19"/>
      <c r="W19" s="2"/>
      <c r="X19" s="2">
        <f t="shared" si="2"/>
        <v>1280.32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/>
      <c r="I20" s="2"/>
      <c r="J20" s="19"/>
      <c r="K20" s="2"/>
      <c r="L20" s="2">
        <f t="shared" si="0"/>
        <v>109.34</v>
      </c>
      <c r="M20" s="2"/>
      <c r="N20" s="19">
        <f t="shared" si="1"/>
        <v>0</v>
      </c>
      <c r="O20" s="11"/>
      <c r="P20" s="2">
        <f>--992.69</f>
        <v>992.69</v>
      </c>
      <c r="Q20" s="2"/>
      <c r="R20" s="19"/>
      <c r="S20" s="2"/>
      <c r="T20" s="2"/>
      <c r="U20" s="2"/>
      <c r="V20" s="19"/>
      <c r="W20" s="2"/>
      <c r="X20" s="2">
        <f t="shared" si="2"/>
        <v>992.69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--242.14</f>
        <v>242.14</v>
      </c>
      <c r="Q21" s="2"/>
      <c r="R21" s="19"/>
      <c r="S21" s="2"/>
      <c r="T21" s="2"/>
      <c r="U21" s="2"/>
      <c r="V21" s="19"/>
      <c r="W21" s="2"/>
      <c r="X21" s="2">
        <f t="shared" si="2"/>
        <v>242.14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/>
      <c r="I22" s="2"/>
      <c r="J22" s="19"/>
      <c r="K22" s="2"/>
      <c r="L22" s="2">
        <f t="shared" si="0"/>
        <v>157.74</v>
      </c>
      <c r="M22" s="2"/>
      <c r="N22" s="19">
        <f t="shared" si="1"/>
        <v>0</v>
      </c>
      <c r="O22" s="11"/>
      <c r="P22" s="2">
        <f>--2890.39</f>
        <v>2890.39</v>
      </c>
      <c r="Q22" s="2"/>
      <c r="R22" s="19"/>
      <c r="S22" s="2"/>
      <c r="T22" s="2"/>
      <c r="U22" s="2"/>
      <c r="V22" s="19"/>
      <c r="W22" s="2"/>
      <c r="X22" s="2">
        <f t="shared" si="2"/>
        <v>2890.39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/>
      <c r="I24" s="2"/>
      <c r="J24" s="19"/>
      <c r="K24" s="2"/>
      <c r="L24" s="2">
        <f t="shared" si="0"/>
        <v>5588.38</v>
      </c>
      <c r="M24" s="2"/>
      <c r="N24" s="19">
        <f t="shared" si="1"/>
        <v>0</v>
      </c>
      <c r="O24" s="11"/>
      <c r="P24" s="2">
        <f>--35133.1</f>
        <v>35133.1</v>
      </c>
      <c r="Q24" s="2"/>
      <c r="R24" s="19"/>
      <c r="S24" s="2"/>
      <c r="T24" s="2"/>
      <c r="U24" s="2"/>
      <c r="V24" s="19"/>
      <c r="W24" s="2"/>
      <c r="X24" s="2">
        <f t="shared" si="2"/>
        <v>35133.1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/>
      <c r="I25" s="2"/>
      <c r="J25" s="19"/>
      <c r="K25" s="2"/>
      <c r="L25" s="2">
        <f t="shared" si="0"/>
        <v>6254.22</v>
      </c>
      <c r="M25" s="2"/>
      <c r="N25" s="19">
        <f t="shared" si="1"/>
        <v>0</v>
      </c>
      <c r="O25" s="11"/>
      <c r="P25" s="2">
        <f>--49928.17</f>
        <v>49928.17</v>
      </c>
      <c r="Q25" s="2"/>
      <c r="R25" s="19"/>
      <c r="S25" s="2"/>
      <c r="T25" s="2"/>
      <c r="U25" s="2"/>
      <c r="V25" s="19"/>
      <c r="W25" s="2"/>
      <c r="X25" s="2">
        <f t="shared" si="2"/>
        <v>49928.17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/>
      <c r="I26" s="2"/>
      <c r="J26" s="19"/>
      <c r="K26" s="2"/>
      <c r="L26" s="2">
        <f t="shared" si="0"/>
        <v>10568.39</v>
      </c>
      <c r="M26" s="2"/>
      <c r="N26" s="19">
        <f t="shared" si="1"/>
        <v>0</v>
      </c>
      <c r="O26" s="11"/>
      <c r="P26" s="2">
        <f>--165357.47</f>
        <v>165357.47</v>
      </c>
      <c r="Q26" s="2"/>
      <c r="R26" s="19"/>
      <c r="S26" s="2"/>
      <c r="T26" s="2"/>
      <c r="U26" s="2"/>
      <c r="V26" s="19"/>
      <c r="W26" s="2"/>
      <c r="X26" s="2">
        <f t="shared" si="2"/>
        <v>165357.47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/>
      <c r="I27" s="2"/>
      <c r="J27" s="19"/>
      <c r="K27" s="2"/>
      <c r="L27" s="2">
        <f t="shared" si="0"/>
        <v>13684.86</v>
      </c>
      <c r="M27" s="2"/>
      <c r="N27" s="19">
        <f t="shared" si="1"/>
        <v>0</v>
      </c>
      <c r="O27" s="11"/>
      <c r="P27" s="2">
        <f>--189637.57</f>
        <v>189637.57</v>
      </c>
      <c r="Q27" s="2"/>
      <c r="R27" s="19"/>
      <c r="S27" s="2"/>
      <c r="T27" s="2"/>
      <c r="U27" s="2"/>
      <c r="V27" s="19"/>
      <c r="W27" s="2"/>
      <c r="X27" s="2">
        <f t="shared" si="2"/>
        <v>189637.57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/>
      <c r="I28" s="2"/>
      <c r="J28" s="19"/>
      <c r="K28" s="2"/>
      <c r="L28" s="2">
        <f t="shared" si="0"/>
        <v>26.89</v>
      </c>
      <c r="M28" s="2"/>
      <c r="N28" s="19">
        <f t="shared" si="1"/>
        <v>0</v>
      </c>
      <c r="O28" s="11"/>
      <c r="P28" s="2">
        <f>--306.94</f>
        <v>306.94</v>
      </c>
      <c r="Q28" s="2"/>
      <c r="R28" s="19"/>
      <c r="S28" s="2"/>
      <c r="T28" s="2"/>
      <c r="U28" s="2"/>
      <c r="V28" s="19"/>
      <c r="W28" s="2"/>
      <c r="X28" s="2">
        <f t="shared" si="2"/>
        <v>306.94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--28638.41</f>
        <v>28638.41</v>
      </c>
      <c r="E29" s="2"/>
      <c r="F29" s="19"/>
      <c r="G29" s="2"/>
      <c r="H29" s="2"/>
      <c r="I29" s="2"/>
      <c r="J29" s="19"/>
      <c r="K29" s="2"/>
      <c r="L29" s="2">
        <f t="shared" si="0"/>
        <v>28638.41</v>
      </c>
      <c r="M29" s="2"/>
      <c r="N29" s="19">
        <f t="shared" si="1"/>
        <v>0</v>
      </c>
      <c r="O29" s="11"/>
      <c r="P29" s="2">
        <f>--190815.22</f>
        <v>190815.22</v>
      </c>
      <c r="Q29" s="2"/>
      <c r="R29" s="19"/>
      <c r="S29" s="2"/>
      <c r="T29" s="2"/>
      <c r="U29" s="2"/>
      <c r="V29" s="19"/>
      <c r="W29" s="2"/>
      <c r="X29" s="2">
        <f t="shared" si="2"/>
        <v>190815.22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/>
      <c r="I30" s="2"/>
      <c r="J30" s="19"/>
      <c r="K30" s="2"/>
      <c r="L30" s="2">
        <f t="shared" si="0"/>
        <v>22.41</v>
      </c>
      <c r="M30" s="2"/>
      <c r="N30" s="19">
        <f t="shared" si="1"/>
        <v>0</v>
      </c>
      <c r="O30" s="11"/>
      <c r="P30" s="2">
        <f>--131.02</f>
        <v>131.02000000000001</v>
      </c>
      <c r="Q30" s="2"/>
      <c r="R30" s="19"/>
      <c r="S30" s="2"/>
      <c r="T30" s="2"/>
      <c r="U30" s="2"/>
      <c r="V30" s="19"/>
      <c r="W30" s="2"/>
      <c r="X30" s="2">
        <f t="shared" si="2"/>
        <v>131.02000000000001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--830.01</f>
        <v>830.01</v>
      </c>
      <c r="E31" s="2"/>
      <c r="F31" s="19"/>
      <c r="G31" s="2"/>
      <c r="H31" s="2"/>
      <c r="I31" s="2"/>
      <c r="J31" s="19"/>
      <c r="K31" s="2"/>
      <c r="L31" s="2">
        <f t="shared" si="0"/>
        <v>830.01</v>
      </c>
      <c r="M31" s="2"/>
      <c r="N31" s="19">
        <f t="shared" si="1"/>
        <v>0</v>
      </c>
      <c r="O31" s="11"/>
      <c r="P31" s="2">
        <f>--7473.43</f>
        <v>7473.43</v>
      </c>
      <c r="Q31" s="2"/>
      <c r="R31" s="19"/>
      <c r="S31" s="2"/>
      <c r="T31" s="2"/>
      <c r="U31" s="2"/>
      <c r="V31" s="19"/>
      <c r="W31" s="2"/>
      <c r="X31" s="2">
        <f t="shared" si="2"/>
        <v>7473.43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/>
      <c r="I32" s="2"/>
      <c r="J32" s="19"/>
      <c r="K32" s="2"/>
      <c r="L32" s="2">
        <f t="shared" si="0"/>
        <v>133.49</v>
      </c>
      <c r="M32" s="2"/>
      <c r="N32" s="19">
        <f t="shared" si="1"/>
        <v>0</v>
      </c>
      <c r="O32" s="11"/>
      <c r="P32" s="2">
        <f>--1267.09</f>
        <v>1267.0899999999999</v>
      </c>
      <c r="Q32" s="2"/>
      <c r="R32" s="19"/>
      <c r="S32" s="2"/>
      <c r="T32" s="2"/>
      <c r="U32" s="2"/>
      <c r="V32" s="19"/>
      <c r="W32" s="2"/>
      <c r="X32" s="2">
        <f t="shared" si="2"/>
        <v>1267.0899999999999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/>
      <c r="I33" s="2"/>
      <c r="J33" s="19"/>
      <c r="K33" s="2"/>
      <c r="L33" s="2">
        <f t="shared" si="0"/>
        <v>19.09</v>
      </c>
      <c r="M33" s="2"/>
      <c r="N33" s="19">
        <f t="shared" si="1"/>
        <v>0</v>
      </c>
      <c r="O33" s="11"/>
      <c r="P33" s="2">
        <f>--396.26</f>
        <v>396.26</v>
      </c>
      <c r="Q33" s="2"/>
      <c r="R33" s="19"/>
      <c r="S33" s="2"/>
      <c r="T33" s="2"/>
      <c r="U33" s="2"/>
      <c r="V33" s="19"/>
      <c r="W33" s="2"/>
      <c r="X33" s="2">
        <f t="shared" si="2"/>
        <v>396.26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/>
      <c r="I34" s="2"/>
      <c r="J34" s="19"/>
      <c r="K34" s="2"/>
      <c r="L34" s="2">
        <f t="shared" si="0"/>
        <v>193654.24</v>
      </c>
      <c r="M34" s="2"/>
      <c r="N34" s="19">
        <f t="shared" si="1"/>
        <v>0</v>
      </c>
      <c r="O34" s="11"/>
      <c r="P34" s="2">
        <f>--1291791.18</f>
        <v>1291791.18</v>
      </c>
      <c r="Q34" s="2"/>
      <c r="R34" s="19"/>
      <c r="S34" s="2"/>
      <c r="T34" s="2"/>
      <c r="U34" s="2"/>
      <c r="V34" s="19"/>
      <c r="W34" s="2"/>
      <c r="X34" s="2">
        <f t="shared" si="2"/>
        <v>1291791.18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/>
      <c r="I35" s="2"/>
      <c r="J35" s="19"/>
      <c r="K35" s="2"/>
      <c r="L35" s="2">
        <f t="shared" si="0"/>
        <v>37979.160000000003</v>
      </c>
      <c r="M35" s="2"/>
      <c r="N35" s="19">
        <f t="shared" si="1"/>
        <v>0</v>
      </c>
      <c r="O35" s="11"/>
      <c r="P35" s="2">
        <f>--296126.81</f>
        <v>296126.81</v>
      </c>
      <c r="Q35" s="2"/>
      <c r="R35" s="19"/>
      <c r="S35" s="2"/>
      <c r="T35" s="2"/>
      <c r="U35" s="2"/>
      <c r="V35" s="19"/>
      <c r="W35" s="2"/>
      <c r="X35" s="2">
        <f t="shared" si="2"/>
        <v>296126.81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/>
      <c r="I36" s="2"/>
      <c r="J36" s="19"/>
      <c r="K36" s="2"/>
      <c r="L36" s="2">
        <f t="shared" si="0"/>
        <v>44973.91</v>
      </c>
      <c r="M36" s="2"/>
      <c r="N36" s="19">
        <f t="shared" si="1"/>
        <v>0</v>
      </c>
      <c r="O36" s="11"/>
      <c r="P36" s="2">
        <f>--199952.1</f>
        <v>199952.1</v>
      </c>
      <c r="Q36" s="2"/>
      <c r="R36" s="19"/>
      <c r="S36" s="2"/>
      <c r="T36" s="2"/>
      <c r="U36" s="2"/>
      <c r="V36" s="19"/>
      <c r="W36" s="2"/>
      <c r="X36" s="2">
        <f t="shared" si="2"/>
        <v>199952.1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/>
      <c r="I37" s="2"/>
      <c r="J37" s="19"/>
      <c r="K37" s="2"/>
      <c r="L37" s="2">
        <f t="shared" si="0"/>
        <v>9497.44</v>
      </c>
      <c r="M37" s="2"/>
      <c r="N37" s="19">
        <f t="shared" si="1"/>
        <v>0</v>
      </c>
      <c r="O37" s="11"/>
      <c r="P37" s="2">
        <f>--14320.46</f>
        <v>14320.46</v>
      </c>
      <c r="Q37" s="2"/>
      <c r="R37" s="19"/>
      <c r="S37" s="2"/>
      <c r="T37" s="2"/>
      <c r="U37" s="2"/>
      <c r="V37" s="19"/>
      <c r="W37" s="2"/>
      <c r="X37" s="2">
        <f t="shared" si="2"/>
        <v>14320.46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/>
      <c r="I38" s="2"/>
      <c r="J38" s="19"/>
      <c r="K38" s="2"/>
      <c r="L38" s="2">
        <f t="shared" si="0"/>
        <v>5438.42</v>
      </c>
      <c r="M38" s="2"/>
      <c r="N38" s="19">
        <f t="shared" si="1"/>
        <v>0</v>
      </c>
      <c r="O38" s="11"/>
      <c r="P38" s="2">
        <f>--46736.2</f>
        <v>46736.2</v>
      </c>
      <c r="Q38" s="2"/>
      <c r="R38" s="19"/>
      <c r="S38" s="2"/>
      <c r="T38" s="2"/>
      <c r="U38" s="2"/>
      <c r="V38" s="19"/>
      <c r="W38" s="2"/>
      <c r="X38" s="2">
        <f t="shared" si="2"/>
        <v>46736.2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/>
      <c r="I39" s="2"/>
      <c r="J39" s="19"/>
      <c r="K39" s="2"/>
      <c r="L39" s="2">
        <f t="shared" si="0"/>
        <v>6487.38</v>
      </c>
      <c r="M39" s="2"/>
      <c r="N39" s="19">
        <f t="shared" si="1"/>
        <v>0</v>
      </c>
      <c r="O39" s="11"/>
      <c r="P39" s="2">
        <f>--61005.82</f>
        <v>61005.82</v>
      </c>
      <c r="Q39" s="2"/>
      <c r="R39" s="19"/>
      <c r="S39" s="2"/>
      <c r="T39" s="2"/>
      <c r="U39" s="2"/>
      <c r="V39" s="19"/>
      <c r="W39" s="2"/>
      <c r="X39" s="2">
        <f t="shared" si="2"/>
        <v>61005.82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/>
      <c r="I40" s="2"/>
      <c r="J40" s="19"/>
      <c r="K40" s="2"/>
      <c r="L40" s="2">
        <f t="shared" si="0"/>
        <v>115.39</v>
      </c>
      <c r="M40" s="2"/>
      <c r="N40" s="19">
        <f t="shared" si="1"/>
        <v>0</v>
      </c>
      <c r="O40" s="11"/>
      <c r="P40" s="2">
        <f>--1793.94</f>
        <v>1793.94</v>
      </c>
      <c r="Q40" s="2"/>
      <c r="R40" s="19"/>
      <c r="S40" s="2"/>
      <c r="T40" s="2"/>
      <c r="U40" s="2"/>
      <c r="V40" s="19"/>
      <c r="W40" s="2"/>
      <c r="X40" s="2">
        <f t="shared" si="2"/>
        <v>1793.94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--57092.23</f>
        <v>57092.23</v>
      </c>
      <c r="E41" s="2"/>
      <c r="F41" s="19"/>
      <c r="G41" s="2"/>
      <c r="H41" s="2"/>
      <c r="I41" s="2"/>
      <c r="J41" s="19"/>
      <c r="K41" s="2"/>
      <c r="L41" s="2">
        <f t="shared" si="0"/>
        <v>57092.23</v>
      </c>
      <c r="M41" s="2"/>
      <c r="N41" s="19">
        <f t="shared" si="1"/>
        <v>0</v>
      </c>
      <c r="O41" s="11"/>
      <c r="P41" s="2">
        <f>--432096.75</f>
        <v>432096.75</v>
      </c>
      <c r="Q41" s="2"/>
      <c r="R41" s="19"/>
      <c r="S41" s="2"/>
      <c r="T41" s="2"/>
      <c r="U41" s="2"/>
      <c r="V41" s="19"/>
      <c r="W41" s="2"/>
      <c r="X41" s="2">
        <f t="shared" si="2"/>
        <v>432096.75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--82451.12</f>
        <v>82451.12</v>
      </c>
      <c r="E42" s="2"/>
      <c r="F42" s="19"/>
      <c r="G42" s="2"/>
      <c r="H42" s="2"/>
      <c r="I42" s="2"/>
      <c r="J42" s="19"/>
      <c r="K42" s="2"/>
      <c r="L42" s="2">
        <f t="shared" si="0"/>
        <v>82451.12</v>
      </c>
      <c r="M42" s="2"/>
      <c r="N42" s="19">
        <f t="shared" si="1"/>
        <v>0</v>
      </c>
      <c r="O42" s="11"/>
      <c r="P42" s="2">
        <f>--536296.65</f>
        <v>536296.65</v>
      </c>
      <c r="Q42" s="2"/>
      <c r="R42" s="19"/>
      <c r="S42" s="2"/>
      <c r="T42" s="2"/>
      <c r="U42" s="2"/>
      <c r="V42" s="19"/>
      <c r="W42" s="2"/>
      <c r="X42" s="2">
        <f t="shared" si="2"/>
        <v>536296.65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--16599.9</f>
        <v>16599.900000000001</v>
      </c>
      <c r="E43" s="2"/>
      <c r="F43" s="19"/>
      <c r="G43" s="2"/>
      <c r="H43" s="2"/>
      <c r="I43" s="2"/>
      <c r="J43" s="19"/>
      <c r="K43" s="2"/>
      <c r="L43" s="2">
        <f t="shared" si="0"/>
        <v>16599.900000000001</v>
      </c>
      <c r="M43" s="2"/>
      <c r="N43" s="19">
        <f t="shared" si="1"/>
        <v>0</v>
      </c>
      <c r="O43" s="11"/>
      <c r="P43" s="2">
        <f>--106770.83</f>
        <v>106770.83</v>
      </c>
      <c r="Q43" s="2"/>
      <c r="R43" s="19"/>
      <c r="S43" s="2"/>
      <c r="T43" s="2"/>
      <c r="U43" s="2"/>
      <c r="V43" s="19"/>
      <c r="W43" s="2"/>
      <c r="X43" s="2">
        <f t="shared" si="2"/>
        <v>106770.83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--36915.55</f>
        <v>36915.550000000003</v>
      </c>
      <c r="E44" s="2"/>
      <c r="F44" s="19"/>
      <c r="G44" s="2"/>
      <c r="H44" s="2"/>
      <c r="I44" s="2"/>
      <c r="J44" s="19"/>
      <c r="K44" s="2"/>
      <c r="L44" s="2">
        <f t="shared" si="0"/>
        <v>36915.550000000003</v>
      </c>
      <c r="M44" s="2"/>
      <c r="N44" s="19">
        <f t="shared" si="1"/>
        <v>0</v>
      </c>
      <c r="O44" s="11"/>
      <c r="P44" s="2">
        <f>--272827.44</f>
        <v>272827.44</v>
      </c>
      <c r="Q44" s="2"/>
      <c r="R44" s="19"/>
      <c r="S44" s="2"/>
      <c r="T44" s="2"/>
      <c r="U44" s="2"/>
      <c r="V44" s="19"/>
      <c r="W44" s="2"/>
      <c r="X44" s="2">
        <f t="shared" si="2"/>
        <v>272827.44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--9096.8</f>
        <v>9096.7999999999993</v>
      </c>
      <c r="E45" s="2"/>
      <c r="F45" s="19"/>
      <c r="G45" s="2"/>
      <c r="H45" s="2"/>
      <c r="I45" s="2"/>
      <c r="J45" s="19"/>
      <c r="K45" s="2"/>
      <c r="L45" s="2">
        <f t="shared" si="0"/>
        <v>9096.7999999999993</v>
      </c>
      <c r="M45" s="2"/>
      <c r="N45" s="19">
        <f t="shared" si="1"/>
        <v>0</v>
      </c>
      <c r="O45" s="11"/>
      <c r="P45" s="2">
        <f>--87899.21</f>
        <v>87899.21</v>
      </c>
      <c r="Q45" s="2"/>
      <c r="R45" s="19"/>
      <c r="S45" s="2"/>
      <c r="T45" s="2"/>
      <c r="U45" s="2"/>
      <c r="V45" s="19"/>
      <c r="W45" s="2"/>
      <c r="X45" s="2">
        <f t="shared" si="2"/>
        <v>87899.21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--14865.23</f>
        <v>14865.23</v>
      </c>
      <c r="E46" s="2"/>
      <c r="F46" s="19"/>
      <c r="G46" s="2"/>
      <c r="H46" s="2"/>
      <c r="I46" s="2"/>
      <c r="J46" s="19"/>
      <c r="K46" s="2"/>
      <c r="L46" s="2">
        <f t="shared" si="0"/>
        <v>14865.23</v>
      </c>
      <c r="M46" s="2"/>
      <c r="N46" s="19">
        <f t="shared" si="1"/>
        <v>0</v>
      </c>
      <c r="O46" s="11"/>
      <c r="P46" s="2">
        <f>--246669.48</f>
        <v>246669.48</v>
      </c>
      <c r="Q46" s="2"/>
      <c r="R46" s="19"/>
      <c r="S46" s="2"/>
      <c r="T46" s="2"/>
      <c r="U46" s="2"/>
      <c r="V46" s="19"/>
      <c r="W46" s="2"/>
      <c r="X46" s="2">
        <f t="shared" si="2"/>
        <v>246669.48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--59585.42</f>
        <v>59585.42</v>
      </c>
      <c r="E47" s="2"/>
      <c r="F47" s="19"/>
      <c r="G47" s="2"/>
      <c r="H47" s="2"/>
      <c r="I47" s="2"/>
      <c r="J47" s="19"/>
      <c r="K47" s="2"/>
      <c r="L47" s="2">
        <f t="shared" si="0"/>
        <v>59585.42</v>
      </c>
      <c r="M47" s="2"/>
      <c r="N47" s="19">
        <f t="shared" si="1"/>
        <v>0</v>
      </c>
      <c r="O47" s="11"/>
      <c r="P47" s="2">
        <f>--1342516.26</f>
        <v>1342516.26</v>
      </c>
      <c r="Q47" s="2"/>
      <c r="R47" s="19"/>
      <c r="S47" s="2"/>
      <c r="T47" s="2"/>
      <c r="U47" s="2"/>
      <c r="V47" s="19"/>
      <c r="W47" s="2"/>
      <c r="X47" s="2">
        <f t="shared" si="2"/>
        <v>1342516.26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--7057.06</f>
        <v>7057.06</v>
      </c>
      <c r="E48" s="2"/>
      <c r="F48" s="19"/>
      <c r="G48" s="2"/>
      <c r="H48" s="2"/>
      <c r="I48" s="2"/>
      <c r="J48" s="19"/>
      <c r="K48" s="2"/>
      <c r="L48" s="2">
        <f t="shared" si="0"/>
        <v>7057.06</v>
      </c>
      <c r="M48" s="2"/>
      <c r="N48" s="19">
        <f t="shared" si="1"/>
        <v>0</v>
      </c>
      <c r="O48" s="11"/>
      <c r="P48" s="2">
        <f>--71130.68</f>
        <v>71130.679999999993</v>
      </c>
      <c r="Q48" s="2"/>
      <c r="R48" s="19"/>
      <c r="S48" s="2"/>
      <c r="T48" s="2"/>
      <c r="U48" s="2"/>
      <c r="V48" s="19"/>
      <c r="W48" s="2"/>
      <c r="X48" s="2">
        <f t="shared" si="2"/>
        <v>71130.679999999993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--4407.94</f>
        <v>4407.9399999999996</v>
      </c>
      <c r="Q50" s="2"/>
      <c r="R50" s="19"/>
      <c r="S50" s="2"/>
      <c r="T50" s="2"/>
      <c r="U50" s="2"/>
      <c r="V50" s="19"/>
      <c r="W50" s="2"/>
      <c r="X50" s="2">
        <f t="shared" si="2"/>
        <v>4407.9399999999996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--2769.54</f>
        <v>2769.54</v>
      </c>
      <c r="E51" s="2"/>
      <c r="F51" s="19"/>
      <c r="G51" s="2"/>
      <c r="H51" s="2"/>
      <c r="I51" s="2"/>
      <c r="J51" s="19"/>
      <c r="K51" s="2"/>
      <c r="L51" s="2">
        <f t="shared" si="0"/>
        <v>2769.54</v>
      </c>
      <c r="M51" s="2"/>
      <c r="N51" s="19">
        <f t="shared" si="1"/>
        <v>0</v>
      </c>
      <c r="O51" s="11"/>
      <c r="P51" s="2">
        <f>--33777.24</f>
        <v>33777.24</v>
      </c>
      <c r="Q51" s="2"/>
      <c r="R51" s="19"/>
      <c r="S51" s="2"/>
      <c r="T51" s="2"/>
      <c r="U51" s="2"/>
      <c r="V51" s="19"/>
      <c r="W51" s="2"/>
      <c r="X51" s="2">
        <f t="shared" si="2"/>
        <v>33777.24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0</f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--936.91</f>
        <v>936.91</v>
      </c>
      <c r="Q52" s="2"/>
      <c r="R52" s="19"/>
      <c r="S52" s="2"/>
      <c r="T52" s="2"/>
      <c r="U52" s="2"/>
      <c r="V52" s="19"/>
      <c r="W52" s="2"/>
      <c r="X52" s="2">
        <f t="shared" si="2"/>
        <v>936.91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--218.75</f>
        <v>218.75</v>
      </c>
      <c r="E53" s="2"/>
      <c r="F53" s="19"/>
      <c r="G53" s="2"/>
      <c r="H53" s="2"/>
      <c r="I53" s="2"/>
      <c r="J53" s="19"/>
      <c r="K53" s="2"/>
      <c r="L53" s="2">
        <f t="shared" si="0"/>
        <v>218.75</v>
      </c>
      <c r="M53" s="2"/>
      <c r="N53" s="19">
        <f t="shared" si="1"/>
        <v>0</v>
      </c>
      <c r="O53" s="11"/>
      <c r="P53" s="2">
        <f>--7659.37</f>
        <v>7659.37</v>
      </c>
      <c r="Q53" s="2"/>
      <c r="R53" s="19"/>
      <c r="S53" s="2"/>
      <c r="T53" s="2"/>
      <c r="U53" s="2"/>
      <c r="V53" s="19"/>
      <c r="W53" s="2"/>
      <c r="X53" s="2">
        <f t="shared" si="2"/>
        <v>7659.37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--20.89</f>
        <v>20.89</v>
      </c>
      <c r="E54" s="2"/>
      <c r="F54" s="19"/>
      <c r="G54" s="2"/>
      <c r="H54" s="2"/>
      <c r="I54" s="2"/>
      <c r="J54" s="19"/>
      <c r="K54" s="2"/>
      <c r="L54" s="2">
        <f t="shared" si="0"/>
        <v>20.89</v>
      </c>
      <c r="M54" s="2"/>
      <c r="N54" s="19">
        <f t="shared" si="1"/>
        <v>0</v>
      </c>
      <c r="O54" s="11"/>
      <c r="P54" s="2">
        <f>--297.33</f>
        <v>297.33</v>
      </c>
      <c r="Q54" s="2"/>
      <c r="R54" s="19"/>
      <c r="S54" s="2"/>
      <c r="T54" s="2"/>
      <c r="U54" s="2"/>
      <c r="V54" s="19"/>
      <c r="W54" s="2"/>
      <c r="X54" s="2">
        <f t="shared" si="2"/>
        <v>297.33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--21437.99</f>
        <v>21437.99</v>
      </c>
      <c r="E55" s="2"/>
      <c r="F55" s="19"/>
      <c r="G55" s="2"/>
      <c r="H55" s="2">
        <v>1498299</v>
      </c>
      <c r="I55" s="2"/>
      <c r="J55" s="19"/>
      <c r="K55" s="2"/>
      <c r="L55" s="2">
        <f t="shared" si="0"/>
        <v>-1476861.01</v>
      </c>
      <c r="M55" s="2"/>
      <c r="N55" s="19">
        <f t="shared" si="1"/>
        <v>-0.98569178114648681</v>
      </c>
      <c r="O55" s="11"/>
      <c r="P55" s="2">
        <f>--502729.55</f>
        <v>502729.55</v>
      </c>
      <c r="Q55" s="2"/>
      <c r="R55" s="19"/>
      <c r="S55" s="2"/>
      <c r="T55" s="2">
        <v>12937687</v>
      </c>
      <c r="U55" s="2"/>
      <c r="V55" s="19"/>
      <c r="W55" s="2"/>
      <c r="X55" s="2">
        <f t="shared" si="2"/>
        <v>-12434957.449999999</v>
      </c>
      <c r="Y55" s="2"/>
      <c r="Z55" s="19">
        <f t="shared" si="3"/>
        <v>-0.96114223894889395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--2606.82</f>
        <v>2606.8200000000002</v>
      </c>
      <c r="E56" s="2"/>
      <c r="F56" s="19"/>
      <c r="G56" s="2"/>
      <c r="H56" s="2"/>
      <c r="I56" s="2"/>
      <c r="J56" s="19"/>
      <c r="K56" s="2"/>
      <c r="L56" s="2">
        <f t="shared" si="0"/>
        <v>2606.8200000000002</v>
      </c>
      <c r="M56" s="2"/>
      <c r="N56" s="19">
        <f t="shared" si="1"/>
        <v>0</v>
      </c>
      <c r="O56" s="11"/>
      <c r="P56" s="2">
        <f>--95287.57</f>
        <v>95287.57</v>
      </c>
      <c r="Q56" s="2"/>
      <c r="R56" s="19"/>
      <c r="S56" s="2"/>
      <c r="T56" s="2"/>
      <c r="U56" s="2"/>
      <c r="V56" s="19"/>
      <c r="W56" s="2"/>
      <c r="X56" s="2">
        <f t="shared" si="2"/>
        <v>95287.57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--595.75</f>
        <v>595.75</v>
      </c>
      <c r="E57" s="2"/>
      <c r="F57" s="19"/>
      <c r="G57" s="2"/>
      <c r="H57" s="2"/>
      <c r="I57" s="2"/>
      <c r="J57" s="19"/>
      <c r="K57" s="2"/>
      <c r="L57" s="2">
        <f t="shared" si="0"/>
        <v>595.75</v>
      </c>
      <c r="M57" s="2"/>
      <c r="N57" s="19">
        <f t="shared" si="1"/>
        <v>0</v>
      </c>
      <c r="O57" s="11"/>
      <c r="P57" s="2">
        <f>--38202.59</f>
        <v>38202.589999999997</v>
      </c>
      <c r="Q57" s="2"/>
      <c r="R57" s="19"/>
      <c r="S57" s="2"/>
      <c r="T57" s="2"/>
      <c r="U57" s="2"/>
      <c r="V57" s="19"/>
      <c r="W57" s="2"/>
      <c r="X57" s="2">
        <f t="shared" si="2"/>
        <v>38202.589999999997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/>
      <c r="U58" s="2"/>
      <c r="V58" s="19"/>
      <c r="W58" s="2"/>
      <c r="X58" s="2">
        <f t="shared" si="2"/>
        <v>329.98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--12189.74</f>
        <v>12189.74</v>
      </c>
      <c r="E59" s="2"/>
      <c r="F59" s="19"/>
      <c r="G59" s="2"/>
      <c r="H59" s="2"/>
      <c r="I59" s="2"/>
      <c r="J59" s="19"/>
      <c r="K59" s="2"/>
      <c r="L59" s="2">
        <f t="shared" si="0"/>
        <v>12189.74</v>
      </c>
      <c r="M59" s="2"/>
      <c r="N59" s="19">
        <f t="shared" si="1"/>
        <v>0</v>
      </c>
      <c r="O59" s="11"/>
      <c r="P59" s="2">
        <f>--332888.83</f>
        <v>332888.83</v>
      </c>
      <c r="Q59" s="2"/>
      <c r="R59" s="19"/>
      <c r="S59" s="2"/>
      <c r="T59" s="2"/>
      <c r="U59" s="2"/>
      <c r="V59" s="19"/>
      <c r="W59" s="2"/>
      <c r="X59" s="2">
        <f t="shared" si="2"/>
        <v>332888.83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--431.78</f>
        <v>431.78</v>
      </c>
      <c r="E60" s="2"/>
      <c r="F60" s="19"/>
      <c r="G60" s="2"/>
      <c r="H60" s="2"/>
      <c r="I60" s="2"/>
      <c r="J60" s="19"/>
      <c r="K60" s="2"/>
      <c r="L60" s="2">
        <f t="shared" si="0"/>
        <v>431.78</v>
      </c>
      <c r="M60" s="2"/>
      <c r="N60" s="19">
        <f t="shared" si="1"/>
        <v>0</v>
      </c>
      <c r="O60" s="11"/>
      <c r="P60" s="2">
        <f>--8023.97</f>
        <v>8023.97</v>
      </c>
      <c r="Q60" s="2"/>
      <c r="R60" s="19"/>
      <c r="S60" s="2"/>
      <c r="T60" s="2"/>
      <c r="U60" s="2"/>
      <c r="V60" s="19"/>
      <c r="W60" s="2"/>
      <c r="X60" s="2">
        <f t="shared" si="2"/>
        <v>8023.97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/>
      <c r="U61" s="2"/>
      <c r="V61" s="19"/>
      <c r="W61" s="2"/>
      <c r="X61" s="2">
        <f t="shared" si="2"/>
        <v>1146.72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--6.95</f>
        <v>6.95</v>
      </c>
      <c r="E62" s="2"/>
      <c r="F62" s="19"/>
      <c r="G62" s="2"/>
      <c r="H62" s="2"/>
      <c r="I62" s="2"/>
      <c r="J62" s="19"/>
      <c r="K62" s="2"/>
      <c r="L62" s="2">
        <f t="shared" si="0"/>
        <v>6.95</v>
      </c>
      <c r="M62" s="2"/>
      <c r="N62" s="19">
        <f t="shared" si="1"/>
        <v>0</v>
      </c>
      <c r="O62" s="11"/>
      <c r="P62" s="2">
        <f>--41.91</f>
        <v>41.91</v>
      </c>
      <c r="Q62" s="2"/>
      <c r="R62" s="19"/>
      <c r="S62" s="2"/>
      <c r="T62" s="2"/>
      <c r="U62" s="2"/>
      <c r="V62" s="19"/>
      <c r="W62" s="2"/>
      <c r="X62" s="2">
        <f t="shared" si="2"/>
        <v>41.91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/>
      <c r="U63" s="2"/>
      <c r="V63" s="19"/>
      <c r="W63" s="2"/>
      <c r="X63" s="2">
        <f t="shared" si="2"/>
        <v>124.18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--38.73</f>
        <v>38.729999999999997</v>
      </c>
      <c r="E64" s="2"/>
      <c r="F64" s="19"/>
      <c r="G64" s="2"/>
      <c r="H64" s="2"/>
      <c r="I64" s="2"/>
      <c r="J64" s="19"/>
      <c r="K64" s="2"/>
      <c r="L64" s="2">
        <f t="shared" si="0"/>
        <v>38.729999999999997</v>
      </c>
      <c r="M64" s="2"/>
      <c r="N64" s="19">
        <f t="shared" si="1"/>
        <v>0</v>
      </c>
      <c r="O64" s="11"/>
      <c r="P64" s="2">
        <f>--1509.11</f>
        <v>1509.11</v>
      </c>
      <c r="Q64" s="2"/>
      <c r="R64" s="19"/>
      <c r="S64" s="2"/>
      <c r="T64" s="2"/>
      <c r="U64" s="2"/>
      <c r="V64" s="19"/>
      <c r="W64" s="2"/>
      <c r="X64" s="2">
        <f t="shared" si="2"/>
        <v>1509.11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 t="shared" ref="D65:D66" si="5"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--2603.4</f>
        <v>2603.4</v>
      </c>
      <c r="Q65" s="2"/>
      <c r="R65" s="19"/>
      <c r="S65" s="2"/>
      <c r="T65" s="2"/>
      <c r="U65" s="2"/>
      <c r="V65" s="19"/>
      <c r="W65" s="2"/>
      <c r="X65" s="2">
        <f t="shared" si="2"/>
        <v>2603.4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 t="shared" si="5"/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--348.72</f>
        <v>348.72</v>
      </c>
      <c r="Q66" s="2"/>
      <c r="R66" s="19"/>
      <c r="S66" s="2"/>
      <c r="T66" s="2"/>
      <c r="U66" s="2"/>
      <c r="V66" s="19"/>
      <c r="W66" s="2"/>
      <c r="X66" s="2">
        <f t="shared" si="2"/>
        <v>348.72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--4058.22</f>
        <v>4058.22</v>
      </c>
      <c r="E67" s="2"/>
      <c r="F67" s="19"/>
      <c r="G67" s="2"/>
      <c r="H67" s="2"/>
      <c r="I67" s="2"/>
      <c r="J67" s="19"/>
      <c r="K67" s="2"/>
      <c r="L67" s="2">
        <f t="shared" si="0"/>
        <v>4058.22</v>
      </c>
      <c r="M67" s="2"/>
      <c r="N67" s="19">
        <f t="shared" si="1"/>
        <v>0</v>
      </c>
      <c r="O67" s="11"/>
      <c r="P67" s="2">
        <f>--39085.73</f>
        <v>39085.730000000003</v>
      </c>
      <c r="Q67" s="2"/>
      <c r="R67" s="19"/>
      <c r="S67" s="2"/>
      <c r="T67" s="2"/>
      <c r="U67" s="2"/>
      <c r="V67" s="19"/>
      <c r="W67" s="2"/>
      <c r="X67" s="2">
        <f t="shared" si="2"/>
        <v>39085.730000000003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--85222.13</f>
        <v>85222.13</v>
      </c>
      <c r="E68" s="2"/>
      <c r="F68" s="19"/>
      <c r="G68" s="2"/>
      <c r="H68" s="2"/>
      <c r="I68" s="2"/>
      <c r="J68" s="19"/>
      <c r="K68" s="2"/>
      <c r="L68" s="2">
        <f t="shared" si="0"/>
        <v>85222.13</v>
      </c>
      <c r="M68" s="2"/>
      <c r="N68" s="19">
        <f t="shared" si="1"/>
        <v>0</v>
      </c>
      <c r="O68" s="11"/>
      <c r="P68" s="2">
        <f>--750566.92</f>
        <v>750566.92</v>
      </c>
      <c r="Q68" s="2"/>
      <c r="R68" s="19"/>
      <c r="S68" s="2"/>
      <c r="T68" s="2"/>
      <c r="U68" s="2"/>
      <c r="V68" s="19"/>
      <c r="W68" s="2"/>
      <c r="X68" s="2">
        <f t="shared" si="2"/>
        <v>750566.92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--1305.22</f>
        <v>1305.22</v>
      </c>
      <c r="E69" s="2"/>
      <c r="F69" s="19"/>
      <c r="G69" s="2"/>
      <c r="H69" s="2"/>
      <c r="I69" s="2"/>
      <c r="J69" s="19"/>
      <c r="K69" s="2"/>
      <c r="L69" s="2">
        <f t="shared" si="0"/>
        <v>1305.22</v>
      </c>
      <c r="M69" s="2"/>
      <c r="N69" s="19">
        <f t="shared" si="1"/>
        <v>0</v>
      </c>
      <c r="O69" s="11"/>
      <c r="P69" s="2">
        <f>--12121.78</f>
        <v>12121.78</v>
      </c>
      <c r="Q69" s="2"/>
      <c r="R69" s="19"/>
      <c r="S69" s="2"/>
      <c r="T69" s="2"/>
      <c r="U69" s="2"/>
      <c r="V69" s="19"/>
      <c r="W69" s="2"/>
      <c r="X69" s="2">
        <f t="shared" si="2"/>
        <v>12121.78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/>
      <c r="U70" s="2"/>
      <c r="V70" s="19"/>
      <c r="W70" s="2"/>
      <c r="X70" s="2">
        <f t="shared" si="2"/>
        <v>0.39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--3.59</f>
        <v>3.59</v>
      </c>
      <c r="E71" s="2"/>
      <c r="F71" s="19"/>
      <c r="G71" s="2"/>
      <c r="H71" s="2"/>
      <c r="I71" s="2"/>
      <c r="J71" s="19"/>
      <c r="K71" s="2"/>
      <c r="L71" s="2">
        <f t="shared" si="0"/>
        <v>3.59</v>
      </c>
      <c r="M71" s="2"/>
      <c r="N71" s="19">
        <f t="shared" si="1"/>
        <v>0</v>
      </c>
      <c r="O71" s="11"/>
      <c r="P71" s="2">
        <f>--118.32</f>
        <v>118.32</v>
      </c>
      <c r="Q71" s="2"/>
      <c r="R71" s="19"/>
      <c r="S71" s="2"/>
      <c r="T71" s="2"/>
      <c r="U71" s="2"/>
      <c r="V71" s="19"/>
      <c r="W71" s="2"/>
      <c r="X71" s="2">
        <f t="shared" si="2"/>
        <v>118.32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--749.29</f>
        <v>749.29</v>
      </c>
      <c r="E72" s="2"/>
      <c r="F72" s="19"/>
      <c r="G72" s="2"/>
      <c r="H72" s="2"/>
      <c r="I72" s="2"/>
      <c r="J72" s="19"/>
      <c r="K72" s="2"/>
      <c r="L72" s="2">
        <f t="shared" si="0"/>
        <v>749.29</v>
      </c>
      <c r="M72" s="2"/>
      <c r="N72" s="19">
        <f t="shared" si="1"/>
        <v>0</v>
      </c>
      <c r="O72" s="11"/>
      <c r="P72" s="2">
        <f>--7063.17</f>
        <v>7063.17</v>
      </c>
      <c r="Q72" s="2"/>
      <c r="R72" s="19"/>
      <c r="S72" s="2"/>
      <c r="T72" s="2"/>
      <c r="U72" s="2"/>
      <c r="V72" s="19"/>
      <c r="W72" s="2"/>
      <c r="X72" s="2">
        <f t="shared" si="2"/>
        <v>7063.17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--18815.05</f>
        <v>18815.05</v>
      </c>
      <c r="E73" s="2"/>
      <c r="F73" s="19"/>
      <c r="G73" s="2"/>
      <c r="H73" s="2"/>
      <c r="I73" s="2"/>
      <c r="J73" s="19"/>
      <c r="K73" s="2"/>
      <c r="L73" s="2">
        <f t="shared" si="0"/>
        <v>18815.05</v>
      </c>
      <c r="M73" s="2"/>
      <c r="N73" s="19">
        <f t="shared" si="1"/>
        <v>0</v>
      </c>
      <c r="O73" s="11"/>
      <c r="P73" s="2">
        <f>--38823.84</f>
        <v>38823.839999999997</v>
      </c>
      <c r="Q73" s="2"/>
      <c r="R73" s="19"/>
      <c r="S73" s="2"/>
      <c r="T73" s="2"/>
      <c r="U73" s="2"/>
      <c r="V73" s="19"/>
      <c r="W73" s="2"/>
      <c r="X73" s="2">
        <f t="shared" si="2"/>
        <v>38823.839999999997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--699.6</f>
        <v>699.6</v>
      </c>
      <c r="E74" s="2"/>
      <c r="F74" s="19"/>
      <c r="G74" s="2"/>
      <c r="H74" s="2"/>
      <c r="I74" s="2"/>
      <c r="J74" s="19"/>
      <c r="K74" s="2"/>
      <c r="L74" s="2">
        <f t="shared" si="0"/>
        <v>699.6</v>
      </c>
      <c r="M74" s="2"/>
      <c r="N74" s="19">
        <f t="shared" si="1"/>
        <v>0</v>
      </c>
      <c r="O74" s="11"/>
      <c r="P74" s="2">
        <f>--2529.88</f>
        <v>2529.88</v>
      </c>
      <c r="Q74" s="2"/>
      <c r="R74" s="19"/>
      <c r="S74" s="2"/>
      <c r="T74" s="2"/>
      <c r="U74" s="2"/>
      <c r="V74" s="19"/>
      <c r="W74" s="2"/>
      <c r="X74" s="2">
        <f t="shared" si="2"/>
        <v>2529.88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--2554.55</f>
        <v>2554.5500000000002</v>
      </c>
      <c r="E75" s="2"/>
      <c r="F75" s="19"/>
      <c r="G75" s="2"/>
      <c r="H75" s="2"/>
      <c r="I75" s="2"/>
      <c r="J75" s="19"/>
      <c r="K75" s="2"/>
      <c r="L75" s="2">
        <f t="shared" si="0"/>
        <v>2554.5500000000002</v>
      </c>
      <c r="M75" s="2"/>
      <c r="N75" s="19">
        <f t="shared" si="1"/>
        <v>0</v>
      </c>
      <c r="O75" s="11"/>
      <c r="P75" s="2">
        <f>--10487.38</f>
        <v>10487.38</v>
      </c>
      <c r="Q75" s="2"/>
      <c r="R75" s="19"/>
      <c r="S75" s="2"/>
      <c r="T75" s="2"/>
      <c r="U75" s="2"/>
      <c r="V75" s="19"/>
      <c r="W75" s="2"/>
      <c r="X75" s="2">
        <f t="shared" si="2"/>
        <v>10487.38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--351.29</f>
        <v>351.29</v>
      </c>
      <c r="E76" s="2"/>
      <c r="F76" s="19"/>
      <c r="G76" s="2"/>
      <c r="H76" s="2"/>
      <c r="I76" s="2"/>
      <c r="J76" s="19"/>
      <c r="K76" s="2"/>
      <c r="L76" s="2">
        <f t="shared" si="0"/>
        <v>351.29</v>
      </c>
      <c r="M76" s="2"/>
      <c r="N76" s="19">
        <f t="shared" si="1"/>
        <v>0</v>
      </c>
      <c r="O76" s="11"/>
      <c r="P76" s="2">
        <f>--592.85</f>
        <v>592.85</v>
      </c>
      <c r="Q76" s="2"/>
      <c r="R76" s="19"/>
      <c r="S76" s="2"/>
      <c r="T76" s="2"/>
      <c r="U76" s="2"/>
      <c r="V76" s="19"/>
      <c r="W76" s="2"/>
      <c r="X76" s="2">
        <f t="shared" si="2"/>
        <v>592.85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--140</f>
        <v>140</v>
      </c>
      <c r="Q77" s="2"/>
      <c r="R77" s="19"/>
      <c r="S77" s="2"/>
      <c r="T77" s="2"/>
      <c r="U77" s="2"/>
      <c r="V77" s="19"/>
      <c r="W77" s="2"/>
      <c r="X77" s="2">
        <f t="shared" si="2"/>
        <v>140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--27126.9</f>
        <v>27126.9</v>
      </c>
      <c r="E78" s="2"/>
      <c r="F78" s="19"/>
      <c r="G78" s="2"/>
      <c r="H78" s="2"/>
      <c r="I78" s="2"/>
      <c r="J78" s="19"/>
      <c r="K78" s="2"/>
      <c r="L78" s="2">
        <f t="shared" si="0"/>
        <v>27126.9</v>
      </c>
      <c r="M78" s="2"/>
      <c r="N78" s="19">
        <f t="shared" si="1"/>
        <v>0</v>
      </c>
      <c r="O78" s="11"/>
      <c r="P78" s="2">
        <f>--146467.95</f>
        <v>146467.95000000001</v>
      </c>
      <c r="Q78" s="2"/>
      <c r="R78" s="19"/>
      <c r="S78" s="2"/>
      <c r="T78" s="2"/>
      <c r="U78" s="2"/>
      <c r="V78" s="19"/>
      <c r="W78" s="2"/>
      <c r="X78" s="2">
        <f t="shared" si="2"/>
        <v>146467.95000000001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--57.5</f>
        <v>57.5</v>
      </c>
      <c r="E79" s="2"/>
      <c r="F79" s="19"/>
      <c r="G79" s="2"/>
      <c r="H79" s="2"/>
      <c r="I79" s="2"/>
      <c r="J79" s="19"/>
      <c r="K79" s="2"/>
      <c r="L79" s="2">
        <f t="shared" si="0"/>
        <v>57.5</v>
      </c>
      <c r="M79" s="2"/>
      <c r="N79" s="19">
        <f t="shared" si="1"/>
        <v>0</v>
      </c>
      <c r="O79" s="11"/>
      <c r="P79" s="2">
        <f>--307.4</f>
        <v>307.39999999999998</v>
      </c>
      <c r="Q79" s="2"/>
      <c r="R79" s="19"/>
      <c r="S79" s="2"/>
      <c r="T79" s="2"/>
      <c r="U79" s="2"/>
      <c r="V79" s="19"/>
      <c r="W79" s="2"/>
      <c r="X79" s="2">
        <f t="shared" si="2"/>
        <v>307.39999999999998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--991045.96</f>
        <v>991045.96</v>
      </c>
      <c r="E80" s="2"/>
      <c r="F80" s="19"/>
      <c r="G80" s="2"/>
      <c r="H80" s="2"/>
      <c r="I80" s="2"/>
      <c r="J80" s="19"/>
      <c r="K80" s="2"/>
      <c r="L80" s="2">
        <f t="shared" si="0"/>
        <v>991045.96</v>
      </c>
      <c r="M80" s="2"/>
      <c r="N80" s="19">
        <f t="shared" si="1"/>
        <v>0</v>
      </c>
      <c r="O80" s="11"/>
      <c r="P80" s="2">
        <f>--7370128.48</f>
        <v>7370128.4800000004</v>
      </c>
      <c r="Q80" s="2"/>
      <c r="R80" s="19"/>
      <c r="S80" s="2"/>
      <c r="T80" s="2"/>
      <c r="U80" s="2"/>
      <c r="V80" s="19"/>
      <c r="W80" s="2"/>
      <c r="X80" s="2">
        <f t="shared" si="2"/>
        <v>7370128.4800000004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--4293.35</f>
        <v>4293.3500000000004</v>
      </c>
      <c r="E81" s="2"/>
      <c r="F81" s="19"/>
      <c r="G81" s="2"/>
      <c r="H81" s="2"/>
      <c r="I81" s="2"/>
      <c r="J81" s="19"/>
      <c r="K81" s="2"/>
      <c r="L81" s="2">
        <f t="shared" si="0"/>
        <v>4293.3500000000004</v>
      </c>
      <c r="M81" s="2"/>
      <c r="N81" s="19">
        <f t="shared" si="1"/>
        <v>0</v>
      </c>
      <c r="O81" s="11"/>
      <c r="P81" s="2">
        <f>--34634.8</f>
        <v>34634.800000000003</v>
      </c>
      <c r="Q81" s="2"/>
      <c r="R81" s="19"/>
      <c r="S81" s="2"/>
      <c r="T81" s="2"/>
      <c r="U81" s="2"/>
      <c r="V81" s="19"/>
      <c r="W81" s="2"/>
      <c r="X81" s="2">
        <f t="shared" si="2"/>
        <v>34634.800000000003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--13493.38</f>
        <v>13493.38</v>
      </c>
      <c r="E82" s="2"/>
      <c r="F82" s="19"/>
      <c r="G82" s="2"/>
      <c r="H82" s="2"/>
      <c r="I82" s="2"/>
      <c r="J82" s="19"/>
      <c r="K82" s="2"/>
      <c r="L82" s="2">
        <f t="shared" si="0"/>
        <v>13493.38</v>
      </c>
      <c r="M82" s="2"/>
      <c r="N82" s="19">
        <f t="shared" si="1"/>
        <v>0</v>
      </c>
      <c r="O82" s="11"/>
      <c r="P82" s="2">
        <f>--232316.54</f>
        <v>232316.54</v>
      </c>
      <c r="Q82" s="2"/>
      <c r="R82" s="19"/>
      <c r="S82" s="2"/>
      <c r="T82" s="2"/>
      <c r="U82" s="2"/>
      <c r="V82" s="19"/>
      <c r="W82" s="2"/>
      <c r="X82" s="2">
        <f t="shared" si="2"/>
        <v>232316.54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--63957.35</f>
        <v>63957.35</v>
      </c>
      <c r="E83" s="2"/>
      <c r="F83" s="19"/>
      <c r="G83" s="2"/>
      <c r="H83" s="2"/>
      <c r="I83" s="2"/>
      <c r="J83" s="19"/>
      <c r="K83" s="2"/>
      <c r="L83" s="2">
        <f t="shared" si="0"/>
        <v>63957.35</v>
      </c>
      <c r="M83" s="2"/>
      <c r="N83" s="19">
        <f t="shared" si="1"/>
        <v>0</v>
      </c>
      <c r="O83" s="11"/>
      <c r="P83" s="2">
        <f>--488454.35</f>
        <v>488454.35</v>
      </c>
      <c r="Q83" s="2"/>
      <c r="R83" s="19"/>
      <c r="S83" s="2"/>
      <c r="T83" s="2"/>
      <c r="U83" s="2"/>
      <c r="V83" s="19"/>
      <c r="W83" s="2"/>
      <c r="X83" s="2">
        <f t="shared" si="2"/>
        <v>488454.35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--45728.68</f>
        <v>45728.68</v>
      </c>
      <c r="E84" s="2"/>
      <c r="F84" s="19"/>
      <c r="G84" s="2"/>
      <c r="H84" s="2"/>
      <c r="I84" s="2"/>
      <c r="J84" s="19"/>
      <c r="K84" s="2"/>
      <c r="L84" s="2">
        <f t="shared" si="0"/>
        <v>45728.68</v>
      </c>
      <c r="M84" s="2"/>
      <c r="N84" s="19">
        <f t="shared" si="1"/>
        <v>0</v>
      </c>
      <c r="O84" s="11"/>
      <c r="P84" s="2">
        <f>--318615.94</f>
        <v>318615.94</v>
      </c>
      <c r="Q84" s="2"/>
      <c r="R84" s="19"/>
      <c r="S84" s="2"/>
      <c r="T84" s="2"/>
      <c r="U84" s="2"/>
      <c r="V84" s="19"/>
      <c r="W84" s="2"/>
      <c r="X84" s="2">
        <f t="shared" si="2"/>
        <v>318615.94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--1462.51</f>
        <v>1462.51</v>
      </c>
      <c r="Q85" s="2"/>
      <c r="R85" s="19"/>
      <c r="S85" s="2"/>
      <c r="T85" s="2"/>
      <c r="U85" s="2"/>
      <c r="V85" s="19"/>
      <c r="W85" s="2"/>
      <c r="X85" s="2">
        <f t="shared" si="2"/>
        <v>1462.51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--8486</f>
        <v>8486</v>
      </c>
      <c r="E86" s="2"/>
      <c r="F86" s="19"/>
      <c r="G86" s="2"/>
      <c r="H86" s="2"/>
      <c r="I86" s="2"/>
      <c r="J86" s="19"/>
      <c r="K86" s="2"/>
      <c r="L86" s="2">
        <f t="shared" si="0"/>
        <v>8486</v>
      </c>
      <c r="M86" s="2"/>
      <c r="N86" s="19">
        <f t="shared" si="1"/>
        <v>0</v>
      </c>
      <c r="O86" s="11"/>
      <c r="P86" s="2">
        <f>--70795</f>
        <v>70795</v>
      </c>
      <c r="Q86" s="2"/>
      <c r="R86" s="19"/>
      <c r="S86" s="2"/>
      <c r="T86" s="2"/>
      <c r="U86" s="2"/>
      <c r="V86" s="19"/>
      <c r="W86" s="2"/>
      <c r="X86" s="2">
        <f t="shared" si="2"/>
        <v>70795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--266.75</f>
        <v>266.75</v>
      </c>
      <c r="E87" s="2"/>
      <c r="F87" s="19"/>
      <c r="G87" s="2"/>
      <c r="H87" s="2"/>
      <c r="I87" s="2"/>
      <c r="J87" s="19"/>
      <c r="K87" s="2"/>
      <c r="L87" s="2">
        <f t="shared" si="0"/>
        <v>266.75</v>
      </c>
      <c r="M87" s="2"/>
      <c r="N87" s="19">
        <f t="shared" si="1"/>
        <v>0</v>
      </c>
      <c r="O87" s="11"/>
      <c r="P87" s="2">
        <f>--3571.63</f>
        <v>3571.63</v>
      </c>
      <c r="Q87" s="2"/>
      <c r="R87" s="19"/>
      <c r="S87" s="2"/>
      <c r="T87" s="2"/>
      <c r="U87" s="2"/>
      <c r="V87" s="19"/>
      <c r="W87" s="2"/>
      <c r="X87" s="2">
        <f t="shared" si="2"/>
        <v>3571.63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--2728</f>
        <v>2728</v>
      </c>
      <c r="Q88" s="2"/>
      <c r="R88" s="19"/>
      <c r="S88" s="2"/>
      <c r="T88" s="2"/>
      <c r="U88" s="2"/>
      <c r="V88" s="19"/>
      <c r="W88" s="2"/>
      <c r="X88" s="2">
        <f t="shared" si="2"/>
        <v>2728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"4185", " - ", "NON-TAXABLE SALES-SOFTWARE")</f>
        <v xml:space="preserve">          4185 - NON-TAXABLE SALES-SOFTWARE</v>
      </c>
      <c r="C89" s="11"/>
      <c r="D89" s="2">
        <f>--437.97</f>
        <v>437.97</v>
      </c>
      <c r="E89" s="2"/>
      <c r="F89" s="19"/>
      <c r="G89" s="2"/>
      <c r="H89" s="2"/>
      <c r="I89" s="2"/>
      <c r="J89" s="19"/>
      <c r="K89" s="2"/>
      <c r="L89" s="2">
        <f t="shared" si="0"/>
        <v>437.97</v>
      </c>
      <c r="M89" s="2"/>
      <c r="N89" s="19">
        <f t="shared" si="1"/>
        <v>0</v>
      </c>
      <c r="O89" s="11"/>
      <c r="P89" s="2">
        <f>--9401.84</f>
        <v>9401.84</v>
      </c>
      <c r="Q89" s="2"/>
      <c r="R89" s="19"/>
      <c r="S89" s="2"/>
      <c r="T89" s="2"/>
      <c r="U89" s="2"/>
      <c r="V89" s="19"/>
      <c r="W89" s="2"/>
      <c r="X89" s="2">
        <f t="shared" si="2"/>
        <v>9401.84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--49.99</f>
        <v>49.99</v>
      </c>
      <c r="E90" s="2"/>
      <c r="F90" s="19"/>
      <c r="G90" s="2"/>
      <c r="H90" s="2"/>
      <c r="I90" s="2"/>
      <c r="J90" s="19"/>
      <c r="K90" s="2"/>
      <c r="L90" s="2">
        <f t="shared" si="0"/>
        <v>49.99</v>
      </c>
      <c r="M90" s="2"/>
      <c r="N90" s="19">
        <f t="shared" si="1"/>
        <v>0</v>
      </c>
      <c r="O90" s="11"/>
      <c r="P90" s="2">
        <f>--1622.39</f>
        <v>1622.39</v>
      </c>
      <c r="Q90" s="2"/>
      <c r="R90" s="19"/>
      <c r="S90" s="2"/>
      <c r="T90" s="2"/>
      <c r="U90" s="2"/>
      <c r="V90" s="19"/>
      <c r="W90" s="2"/>
      <c r="X90" s="2">
        <f t="shared" si="2"/>
        <v>1622.39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--219.96</f>
        <v>219.96</v>
      </c>
      <c r="Q91" s="2"/>
      <c r="R91" s="19"/>
      <c r="S91" s="2"/>
      <c r="T91" s="2"/>
      <c r="U91" s="2"/>
      <c r="V91" s="19"/>
      <c r="W91" s="2"/>
      <c r="X91" s="2">
        <f t="shared" si="2"/>
        <v>219.96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-631.8</f>
        <v>-631.79999999999995</v>
      </c>
      <c r="E92" s="2"/>
      <c r="F92" s="19"/>
      <c r="G92" s="2"/>
      <c r="H92" s="2"/>
      <c r="I92" s="2"/>
      <c r="J92" s="19"/>
      <c r="K92" s="2"/>
      <c r="L92" s="2">
        <f t="shared" si="0"/>
        <v>-631.79999999999995</v>
      </c>
      <c r="M92" s="2"/>
      <c r="N92" s="19">
        <f t="shared" si="1"/>
        <v>0</v>
      </c>
      <c r="O92" s="11"/>
      <c r="P92" s="2">
        <f>-78730.37</f>
        <v>-78730.37</v>
      </c>
      <c r="Q92" s="2"/>
      <c r="R92" s="19"/>
      <c r="S92" s="2"/>
      <c r="T92" s="2"/>
      <c r="U92" s="2"/>
      <c r="V92" s="19"/>
      <c r="W92" s="2"/>
      <c r="X92" s="2">
        <f t="shared" si="2"/>
        <v>-78730.37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-166.15</f>
        <v>-166.15</v>
      </c>
      <c r="E93" s="2"/>
      <c r="F93" s="19"/>
      <c r="G93" s="2"/>
      <c r="H93" s="2"/>
      <c r="I93" s="2"/>
      <c r="J93" s="19"/>
      <c r="K93" s="2"/>
      <c r="L93" s="2">
        <f t="shared" si="0"/>
        <v>-166.15</v>
      </c>
      <c r="M93" s="2"/>
      <c r="N93" s="19">
        <f t="shared" si="1"/>
        <v>0</v>
      </c>
      <c r="O93" s="11"/>
      <c r="P93" s="2">
        <f>-27208.35</f>
        <v>-27208.35</v>
      </c>
      <c r="Q93" s="2"/>
      <c r="R93" s="19"/>
      <c r="S93" s="2"/>
      <c r="T93" s="2"/>
      <c r="U93" s="2"/>
      <c r="V93" s="19"/>
      <c r="W93" s="2"/>
      <c r="X93" s="2">
        <f t="shared" si="2"/>
        <v>-27208.35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"4203", " - ", "SALES RETURN TAXABLE-RENTAL TE")</f>
        <v xml:space="preserve">          4203 - SALES RETURN TAXABLE-RENTAL TE</v>
      </c>
      <c r="C94" s="11"/>
      <c r="D94" s="2">
        <f t="shared" ref="D94:D96" si="6"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-144.99</f>
        <v>-144.99</v>
      </c>
      <c r="Q94" s="2"/>
      <c r="R94" s="19"/>
      <c r="S94" s="2"/>
      <c r="T94" s="2"/>
      <c r="U94" s="2"/>
      <c r="V94" s="19"/>
      <c r="W94" s="2"/>
      <c r="X94" s="2">
        <f t="shared" si="2"/>
        <v>-144.99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"4204", " - ", "SALES RETURN TAXABLE-DIGITAL T")</f>
        <v xml:space="preserve">          4204 - SALES RETURN TAXABLE-DIGITAL T</v>
      </c>
      <c r="C95" s="11"/>
      <c r="D95" s="2">
        <f t="shared" si="6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-11369.46</f>
        <v>-11369.46</v>
      </c>
      <c r="Q95" s="2"/>
      <c r="R95" s="19"/>
      <c r="S95" s="2"/>
      <c r="T95" s="2"/>
      <c r="U95" s="2"/>
      <c r="V95" s="19"/>
      <c r="W95" s="2"/>
      <c r="X95" s="2">
        <f t="shared" si="2"/>
        <v>-11369.46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"4213", " - ", "NON-TAXABLE SALES-TRADE BOOKS")</f>
        <v xml:space="preserve">          4213 - NON-TAXABLE SALES-TRADE BOOKS</v>
      </c>
      <c r="C96" s="11"/>
      <c r="D96" s="2">
        <f t="shared" si="6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-102.71</f>
        <v>-102.71</v>
      </c>
      <c r="Q96" s="2"/>
      <c r="R96" s="19"/>
      <c r="S96" s="2"/>
      <c r="T96" s="2"/>
      <c r="U96" s="2"/>
      <c r="V96" s="19"/>
      <c r="W96" s="2"/>
      <c r="X96" s="2">
        <f t="shared" si="2"/>
        <v>-102.71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"4214", " - ", "SALES RETURN TAXABLE-REMAINDER")</f>
        <v xml:space="preserve">          4214 - SALES RETURN TAXABLE-REMAINDER</v>
      </c>
      <c r="C97" s="11"/>
      <c r="D97" s="2">
        <f>-11.94</f>
        <v>-11.94</v>
      </c>
      <c r="E97" s="2"/>
      <c r="F97" s="19"/>
      <c r="G97" s="2"/>
      <c r="H97" s="2"/>
      <c r="I97" s="2"/>
      <c r="J97" s="19"/>
      <c r="K97" s="2"/>
      <c r="L97" s="2">
        <f t="shared" si="0"/>
        <v>-11.94</v>
      </c>
      <c r="M97" s="2"/>
      <c r="N97" s="19">
        <f t="shared" si="1"/>
        <v>0</v>
      </c>
      <c r="O97" s="11"/>
      <c r="P97" s="2">
        <f>-11.94</f>
        <v>-11.94</v>
      </c>
      <c r="Q97" s="2"/>
      <c r="R97" s="19"/>
      <c r="S97" s="2"/>
      <c r="T97" s="2"/>
      <c r="U97" s="2"/>
      <c r="V97" s="19"/>
      <c r="W97" s="2"/>
      <c r="X97" s="2">
        <f t="shared" si="2"/>
        <v>-11.94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 t="shared" ref="D98:D99" si="7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-2.98</f>
        <v>-2.98</v>
      </c>
      <c r="Q98" s="2"/>
      <c r="R98" s="19"/>
      <c r="S98" s="2"/>
      <c r="T98" s="2"/>
      <c r="U98" s="2"/>
      <c r="V98" s="19"/>
      <c r="W98" s="2"/>
      <c r="X98" s="2">
        <f t="shared" si="2"/>
        <v>-2.98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 t="shared" si="7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-32.75</f>
        <v>-32.75</v>
      </c>
      <c r="Q99" s="2"/>
      <c r="R99" s="19"/>
      <c r="S99" s="2"/>
      <c r="T99" s="2"/>
      <c r="U99" s="2"/>
      <c r="V99" s="19"/>
      <c r="W99" s="2"/>
      <c r="X99" s="2">
        <f t="shared" si="2"/>
        <v>-32.75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>-15.51</f>
        <v>-15.51</v>
      </c>
      <c r="E100" s="2"/>
      <c r="F100" s="19"/>
      <c r="G100" s="2"/>
      <c r="H100" s="2"/>
      <c r="I100" s="2"/>
      <c r="J100" s="19"/>
      <c r="K100" s="2"/>
      <c r="L100" s="2">
        <f t="shared" si="0"/>
        <v>-15.51</v>
      </c>
      <c r="M100" s="2"/>
      <c r="N100" s="19">
        <f t="shared" si="1"/>
        <v>0</v>
      </c>
      <c r="O100" s="11"/>
      <c r="P100" s="2">
        <f>-80.97</f>
        <v>-80.97</v>
      </c>
      <c r="Q100" s="2"/>
      <c r="R100" s="19"/>
      <c r="S100" s="2"/>
      <c r="T100" s="2"/>
      <c r="U100" s="2"/>
      <c r="V100" s="19"/>
      <c r="W100" s="2"/>
      <c r="X100" s="2">
        <f t="shared" si="2"/>
        <v>-80.97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>-41.65</f>
        <v>-41.65</v>
      </c>
      <c r="E101" s="2"/>
      <c r="F101" s="19"/>
      <c r="G101" s="2"/>
      <c r="H101" s="2"/>
      <c r="I101" s="2"/>
      <c r="J101" s="19"/>
      <c r="K101" s="2"/>
      <c r="L101" s="2">
        <f t="shared" si="0"/>
        <v>-41.65</v>
      </c>
      <c r="M101" s="2"/>
      <c r="N101" s="19">
        <f t="shared" si="1"/>
        <v>0</v>
      </c>
      <c r="O101" s="11"/>
      <c r="P101" s="2">
        <f>-531.36</f>
        <v>-531.36</v>
      </c>
      <c r="Q101" s="2"/>
      <c r="R101" s="19"/>
      <c r="S101" s="2"/>
      <c r="T101" s="2"/>
      <c r="U101" s="2"/>
      <c r="V101" s="19"/>
      <c r="W101" s="2"/>
      <c r="X101" s="2">
        <f t="shared" si="2"/>
        <v>-531.36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-204.76</f>
        <v>-204.76</v>
      </c>
      <c r="E102" s="2"/>
      <c r="F102" s="19"/>
      <c r="G102" s="2"/>
      <c r="H102" s="2"/>
      <c r="I102" s="2"/>
      <c r="J102" s="19"/>
      <c r="K102" s="2"/>
      <c r="L102" s="2">
        <f t="shared" si="0"/>
        <v>-204.76</v>
      </c>
      <c r="M102" s="2"/>
      <c r="N102" s="19">
        <f t="shared" si="1"/>
        <v>0</v>
      </c>
      <c r="O102" s="11"/>
      <c r="P102" s="2">
        <f>-5948.58</f>
        <v>-5948.58</v>
      </c>
      <c r="Q102" s="2"/>
      <c r="R102" s="19"/>
      <c r="S102" s="2"/>
      <c r="T102" s="2"/>
      <c r="U102" s="2"/>
      <c r="V102" s="19"/>
      <c r="W102" s="2"/>
      <c r="X102" s="2">
        <f t="shared" si="2"/>
        <v>-5948.58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-277.33</f>
        <v>-277.33</v>
      </c>
      <c r="E103" s="2"/>
      <c r="F103" s="19"/>
      <c r="G103" s="2"/>
      <c r="H103" s="2"/>
      <c r="I103" s="2"/>
      <c r="J103" s="19"/>
      <c r="K103" s="2"/>
      <c r="L103" s="2">
        <f t="shared" si="0"/>
        <v>-277.33</v>
      </c>
      <c r="M103" s="2"/>
      <c r="N103" s="19">
        <f t="shared" si="1"/>
        <v>0</v>
      </c>
      <c r="O103" s="11"/>
      <c r="P103" s="2">
        <f>-3148.62</f>
        <v>-3148.62</v>
      </c>
      <c r="Q103" s="2"/>
      <c r="R103" s="19"/>
      <c r="S103" s="2"/>
      <c r="T103" s="2"/>
      <c r="U103" s="2"/>
      <c r="V103" s="19"/>
      <c r="W103" s="2"/>
      <c r="X103" s="2">
        <f t="shared" si="2"/>
        <v>-3148.62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"4233", " - ", "SALES RETURN TAXABLE-CANDY")</f>
        <v xml:space="preserve">          4233 - SALES RETURN TAXABLE-CANDY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-1.29</f>
        <v>-1.29</v>
      </c>
      <c r="Q104" s="2"/>
      <c r="R104" s="19"/>
      <c r="S104" s="2"/>
      <c r="T104" s="2"/>
      <c r="U104" s="2"/>
      <c r="V104" s="19"/>
      <c r="W104" s="2"/>
      <c r="X104" s="2">
        <f t="shared" si="2"/>
        <v>-1.29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"4240", " - ", "SALES RETURN TAXABLE-LOGO CLOT")</f>
        <v xml:space="preserve">          4240 - SALES RETURN TAXABLE-LOGO CLOT</v>
      </c>
      <c r="C105" s="11"/>
      <c r="D105" s="2">
        <f>-8212.91</f>
        <v>-8212.91</v>
      </c>
      <c r="E105" s="2"/>
      <c r="F105" s="19"/>
      <c r="G105" s="2"/>
      <c r="H105" s="2"/>
      <c r="I105" s="2"/>
      <c r="J105" s="19"/>
      <c r="K105" s="2"/>
      <c r="L105" s="2">
        <f t="shared" si="0"/>
        <v>-8212.91</v>
      </c>
      <c r="M105" s="2"/>
      <c r="N105" s="19">
        <f t="shared" si="1"/>
        <v>0</v>
      </c>
      <c r="O105" s="11"/>
      <c r="P105" s="2">
        <f>-49321.94</f>
        <v>-49321.94</v>
      </c>
      <c r="Q105" s="2"/>
      <c r="R105" s="19"/>
      <c r="S105" s="2"/>
      <c r="T105" s="2"/>
      <c r="U105" s="2"/>
      <c r="V105" s="19"/>
      <c r="W105" s="2"/>
      <c r="X105" s="2">
        <f t="shared" si="2"/>
        <v>-49321.94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"4241", " - ", "SALES RETURN TAXABLE-LOGO GIFT")</f>
        <v xml:space="preserve">          4241 - SALES RETURN TAXABLE-LOGO GIFT</v>
      </c>
      <c r="C106" s="11"/>
      <c r="D106" s="2">
        <f>-939.28</f>
        <v>-939.28</v>
      </c>
      <c r="E106" s="2"/>
      <c r="F106" s="19"/>
      <c r="G106" s="2"/>
      <c r="H106" s="2"/>
      <c r="I106" s="2"/>
      <c r="J106" s="19"/>
      <c r="K106" s="2"/>
      <c r="L106" s="2">
        <f t="shared" si="0"/>
        <v>-939.28</v>
      </c>
      <c r="M106" s="2"/>
      <c r="N106" s="19">
        <f t="shared" si="1"/>
        <v>0</v>
      </c>
      <c r="O106" s="11"/>
      <c r="P106" s="2">
        <f>-4148.87</f>
        <v>-4148.87</v>
      </c>
      <c r="Q106" s="2"/>
      <c r="R106" s="19"/>
      <c r="S106" s="2"/>
      <c r="T106" s="2"/>
      <c r="U106" s="2"/>
      <c r="V106" s="19"/>
      <c r="W106" s="2"/>
      <c r="X106" s="2">
        <f t="shared" si="2"/>
        <v>-4148.87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"4242", " - ", "SALES RETURN TAXABLE-EVERYDAY")</f>
        <v xml:space="preserve">          4242 - SALES RETURN TAXABLE-EVERYDAY</v>
      </c>
      <c r="C107" s="11"/>
      <c r="D107" s="2">
        <f>-1097.55</f>
        <v>-1097.55</v>
      </c>
      <c r="E107" s="2"/>
      <c r="F107" s="19"/>
      <c r="G107" s="2"/>
      <c r="H107" s="2"/>
      <c r="I107" s="2"/>
      <c r="J107" s="19"/>
      <c r="K107" s="2"/>
      <c r="L107" s="2">
        <f t="shared" si="0"/>
        <v>-1097.55</v>
      </c>
      <c r="M107" s="2"/>
      <c r="N107" s="19">
        <f t="shared" si="1"/>
        <v>0</v>
      </c>
      <c r="O107" s="11"/>
      <c r="P107" s="2">
        <f>-2789.42</f>
        <v>-2789.42</v>
      </c>
      <c r="Q107" s="2"/>
      <c r="R107" s="19"/>
      <c r="S107" s="2"/>
      <c r="T107" s="2"/>
      <c r="U107" s="2"/>
      <c r="V107" s="19"/>
      <c r="W107" s="2"/>
      <c r="X107" s="2">
        <f t="shared" si="2"/>
        <v>-2789.42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"4243", " - ", "SALES RETURN TAXABLE-CARDS")</f>
        <v xml:space="preserve">          4243 - SALES RETURN TAXABLE-CARDS</v>
      </c>
      <c r="C108" s="11"/>
      <c r="D108" s="2">
        <f>-558.63</f>
        <v>-558.63</v>
      </c>
      <c r="E108" s="2"/>
      <c r="F108" s="19"/>
      <c r="G108" s="2"/>
      <c r="H108" s="2"/>
      <c r="I108" s="2"/>
      <c r="J108" s="19"/>
      <c r="K108" s="2"/>
      <c r="L108" s="2">
        <f t="shared" si="0"/>
        <v>-558.63</v>
      </c>
      <c r="M108" s="2"/>
      <c r="N108" s="19">
        <f t="shared" si="1"/>
        <v>0</v>
      </c>
      <c r="O108" s="11"/>
      <c r="P108" s="2">
        <f>-879.47</f>
        <v>-879.47</v>
      </c>
      <c r="Q108" s="2"/>
      <c r="R108" s="19"/>
      <c r="S108" s="2"/>
      <c r="T108" s="2"/>
      <c r="U108" s="2"/>
      <c r="V108" s="19"/>
      <c r="W108" s="2"/>
      <c r="X108" s="2">
        <f t="shared" si="2"/>
        <v>-879.47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"4244", " - ", "SALES RETURN TAXABLE-ACCESSORI")</f>
        <v xml:space="preserve">          4244 - SALES RETURN TAXABLE-ACCESSORI</v>
      </c>
      <c r="C109" s="11"/>
      <c r="D109" s="2">
        <f>-202.71</f>
        <v>-202.71</v>
      </c>
      <c r="E109" s="2"/>
      <c r="F109" s="19"/>
      <c r="G109" s="2"/>
      <c r="H109" s="2"/>
      <c r="I109" s="2"/>
      <c r="J109" s="19"/>
      <c r="K109" s="2"/>
      <c r="L109" s="2">
        <f t="shared" si="0"/>
        <v>-202.71</v>
      </c>
      <c r="M109" s="2"/>
      <c r="N109" s="19">
        <f t="shared" si="1"/>
        <v>0</v>
      </c>
      <c r="O109" s="11"/>
      <c r="P109" s="2">
        <f>-1731.77</f>
        <v>-1731.77</v>
      </c>
      <c r="Q109" s="2"/>
      <c r="R109" s="19"/>
      <c r="S109" s="2"/>
      <c r="T109" s="2"/>
      <c r="U109" s="2"/>
      <c r="V109" s="19"/>
      <c r="W109" s="2"/>
      <c r="X109" s="2">
        <f t="shared" si="2"/>
        <v>-1731.77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"4245", " - ", "SALES RETURN TAXABLE-SPECIAL O")</f>
        <v xml:space="preserve">          4245 - SALES RETURN TAXABLE-SPECIAL O</v>
      </c>
      <c r="C110" s="11"/>
      <c r="D110" s="2">
        <f>0</f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-91.96</f>
        <v>-91.96</v>
      </c>
      <c r="Q110" s="2"/>
      <c r="R110" s="19"/>
      <c r="S110" s="2"/>
      <c r="T110" s="2"/>
      <c r="U110" s="2"/>
      <c r="V110" s="19"/>
      <c r="W110" s="2"/>
      <c r="X110" s="2">
        <f t="shared" si="2"/>
        <v>-91.96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"4281", " - ", "SALES RETURN TAXABLE-ELECTRONI")</f>
        <v xml:space="preserve">          4281 - SALES RETURN TAXABLE-ELECTRONI</v>
      </c>
      <c r="C111" s="11"/>
      <c r="D111" s="2">
        <f>-814.9</f>
        <v>-814.9</v>
      </c>
      <c r="E111" s="2"/>
      <c r="F111" s="19"/>
      <c r="G111" s="2"/>
      <c r="H111" s="2"/>
      <c r="I111" s="2"/>
      <c r="J111" s="19"/>
      <c r="K111" s="2"/>
      <c r="L111" s="2">
        <f t="shared" si="0"/>
        <v>-814.9</v>
      </c>
      <c r="M111" s="2"/>
      <c r="N111" s="19">
        <f t="shared" si="1"/>
        <v>0</v>
      </c>
      <c r="O111" s="11"/>
      <c r="P111" s="2">
        <f>-5861.96</f>
        <v>-5861.96</v>
      </c>
      <c r="Q111" s="2"/>
      <c r="R111" s="19"/>
      <c r="S111" s="2"/>
      <c r="T111" s="2"/>
      <c r="U111" s="2"/>
      <c r="V111" s="19"/>
      <c r="W111" s="2"/>
      <c r="X111" s="2">
        <f t="shared" si="2"/>
        <v>-5861.96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"4282", " - ", "SALES RETURN TAXABLE-COMPUTER")</f>
        <v xml:space="preserve">          4282 - SALES RETURN TAXABLE-COMPUTER</v>
      </c>
      <c r="C112" s="11"/>
      <c r="D112" s="2">
        <f>-7175.99</f>
        <v>-7175.99</v>
      </c>
      <c r="E112" s="2"/>
      <c r="F112" s="19"/>
      <c r="G112" s="2"/>
      <c r="H112" s="2"/>
      <c r="I112" s="2"/>
      <c r="J112" s="19"/>
      <c r="K112" s="2"/>
      <c r="L112" s="2">
        <f t="shared" si="0"/>
        <v>-7175.99</v>
      </c>
      <c r="M112" s="2"/>
      <c r="N112" s="19">
        <f t="shared" si="1"/>
        <v>0</v>
      </c>
      <c r="O112" s="11"/>
      <c r="P112" s="2">
        <f>-187653.58</f>
        <v>-187653.58</v>
      </c>
      <c r="Q112" s="2"/>
      <c r="R112" s="19"/>
      <c r="S112" s="2"/>
      <c r="T112" s="2"/>
      <c r="U112" s="2"/>
      <c r="V112" s="19"/>
      <c r="W112" s="2"/>
      <c r="X112" s="2">
        <f t="shared" si="2"/>
        <v>-187653.58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"4283", " - ", "SALES RETURN TAXABLE-COMPUTER")</f>
        <v xml:space="preserve">          4283 - SALES RETURN TAXABLE-COMPUTER</v>
      </c>
      <c r="C113" s="11"/>
      <c r="D113" s="2">
        <f>-325.91</f>
        <v>-325.91000000000003</v>
      </c>
      <c r="E113" s="2"/>
      <c r="F113" s="19"/>
      <c r="G113" s="2"/>
      <c r="H113" s="2"/>
      <c r="I113" s="2"/>
      <c r="J113" s="19"/>
      <c r="K113" s="2"/>
      <c r="L113" s="2">
        <f t="shared" si="0"/>
        <v>-325.91000000000003</v>
      </c>
      <c r="M113" s="2"/>
      <c r="N113" s="19">
        <f t="shared" si="1"/>
        <v>0</v>
      </c>
      <c r="O113" s="11"/>
      <c r="P113" s="2">
        <f>-3282.15</f>
        <v>-3282.15</v>
      </c>
      <c r="Q113" s="2"/>
      <c r="R113" s="19"/>
      <c r="S113" s="2"/>
      <c r="T113" s="2"/>
      <c r="U113" s="2"/>
      <c r="V113" s="19"/>
      <c r="W113" s="2"/>
      <c r="X113" s="2">
        <f t="shared" si="2"/>
        <v>-3282.15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"4284", " - ", "SALES RETURN TAXABLE-SOFTWARE")</f>
        <v xml:space="preserve">          4284 - SALES RETURN TAXABLE-SOFTWARE</v>
      </c>
      <c r="C114" s="11"/>
      <c r="D114" s="2">
        <f t="shared" ref="D114:D115" si="8">0</f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-129</f>
        <v>-129</v>
      </c>
      <c r="Q114" s="2"/>
      <c r="R114" s="19"/>
      <c r="S114" s="2"/>
      <c r="T114" s="2"/>
      <c r="U114" s="2"/>
      <c r="V114" s="19"/>
      <c r="W114" s="2"/>
      <c r="X114" s="2">
        <f t="shared" si="2"/>
        <v>-129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"4285", " - ", "SALES RETURN TAXABLE-SOFTWARE")</f>
        <v xml:space="preserve">          4285 - SALES RETURN TAXABLE-SOFTWARE</v>
      </c>
      <c r="C115" s="11"/>
      <c r="D115" s="2">
        <f t="shared" si="8"/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-655.98</f>
        <v>-655.98</v>
      </c>
      <c r="Q115" s="2"/>
      <c r="R115" s="19"/>
      <c r="S115" s="2"/>
      <c r="T115" s="2"/>
      <c r="U115" s="2"/>
      <c r="V115" s="19"/>
      <c r="W115" s="2"/>
      <c r="X115" s="2">
        <f t="shared" si="2"/>
        <v>-655.98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"4286", " - ", "SALES RETURN TAXABLE-COMPUTER")</f>
        <v xml:space="preserve">          4286 - SALES RETURN TAXABLE-COMPUTER</v>
      </c>
      <c r="C116" s="11"/>
      <c r="D116" s="2">
        <f>-195.9</f>
        <v>-195.9</v>
      </c>
      <c r="E116" s="2"/>
      <c r="F116" s="19"/>
      <c r="G116" s="2"/>
      <c r="H116" s="2"/>
      <c r="I116" s="2"/>
      <c r="J116" s="19"/>
      <c r="K116" s="2"/>
      <c r="L116" s="2">
        <f t="shared" si="0"/>
        <v>-195.9</v>
      </c>
      <c r="M116" s="2"/>
      <c r="N116" s="19">
        <f t="shared" si="1"/>
        <v>0</v>
      </c>
      <c r="O116" s="11"/>
      <c r="P116" s="2">
        <f>-2987.89</f>
        <v>-2987.89</v>
      </c>
      <c r="Q116" s="2"/>
      <c r="R116" s="19"/>
      <c r="S116" s="2"/>
      <c r="T116" s="2"/>
      <c r="U116" s="2"/>
      <c r="V116" s="19"/>
      <c r="W116" s="2"/>
      <c r="X116" s="2">
        <f t="shared" si="2"/>
        <v>-2987.89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"4288", " - ", "TAXABLE SALES RETURN-MUSIC")</f>
        <v xml:space="preserve">          4288 - TAXABLE SALES RETURN-MUSIC</v>
      </c>
      <c r="C117" s="11"/>
      <c r="D117" s="2">
        <f t="shared" ref="D117:D120" si="9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-3.99</f>
        <v>-3.99</v>
      </c>
      <c r="Q117" s="2"/>
      <c r="R117" s="19"/>
      <c r="S117" s="2"/>
      <c r="T117" s="2"/>
      <c r="U117" s="2"/>
      <c r="V117" s="19"/>
      <c r="W117" s="2"/>
      <c r="X117" s="2">
        <f t="shared" si="2"/>
        <v>-3.99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"4292", " - ", "SALES RETURN TAXABLE-GRAD MERC")</f>
        <v xml:space="preserve">          4292 - SALES RETURN TAXABLE-GRAD MERC</v>
      </c>
      <c r="C118" s="11"/>
      <c r="D118" s="2">
        <f t="shared" si="9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-419.05</f>
        <v>-419.05</v>
      </c>
      <c r="Q118" s="2"/>
      <c r="R118" s="19"/>
      <c r="S118" s="2"/>
      <c r="T118" s="2"/>
      <c r="U118" s="2"/>
      <c r="V118" s="19"/>
      <c r="W118" s="2"/>
      <c r="X118" s="2">
        <f t="shared" si="2"/>
        <v>-419.05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"4295", " - ", "SALES RETURN TAXABLE-CUSTOMER")</f>
        <v xml:space="preserve">          4295 - SALES RETURN TAXABLE-CUSTOMER</v>
      </c>
      <c r="C119" s="11"/>
      <c r="D119" s="2">
        <f t="shared" si="9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--0.99</f>
        <v>0.99</v>
      </c>
      <c r="Q119" s="2"/>
      <c r="R119" s="19"/>
      <c r="S119" s="2"/>
      <c r="T119" s="2"/>
      <c r="U119" s="2"/>
      <c r="V119" s="19"/>
      <c r="W119" s="2"/>
      <c r="X119" s="2">
        <f t="shared" si="2"/>
        <v>0.99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"4301", " - ", "SALES RETURN NON TAXABLE-NEW T")</f>
        <v xml:space="preserve">          4301 - SALES RETURN NON TAXABLE-NEW T</v>
      </c>
      <c r="C120" s="11"/>
      <c r="D120" s="2">
        <f t="shared" si="9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-12310.98</f>
        <v>-12310.98</v>
      </c>
      <c r="Q120" s="2"/>
      <c r="R120" s="19"/>
      <c r="S120" s="2"/>
      <c r="T120" s="2"/>
      <c r="U120" s="2"/>
      <c r="V120" s="19"/>
      <c r="W120" s="2"/>
      <c r="X120" s="2">
        <f t="shared" si="2"/>
        <v>-12310.98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"4302", " - ", "SALES RETURN NON TAXABLE-TEXT")</f>
        <v xml:space="preserve">          4302 - SALES RETURN NON TAXABLE-TEXT</v>
      </c>
      <c r="C121" s="11"/>
      <c r="D121" s="2">
        <f>-14.1</f>
        <v>-14.1</v>
      </c>
      <c r="E121" s="2"/>
      <c r="F121" s="19"/>
      <c r="G121" s="2"/>
      <c r="H121" s="2"/>
      <c r="I121" s="2"/>
      <c r="J121" s="19"/>
      <c r="K121" s="2"/>
      <c r="L121" s="2">
        <f t="shared" si="0"/>
        <v>-14.1</v>
      </c>
      <c r="M121" s="2"/>
      <c r="N121" s="19">
        <f t="shared" si="1"/>
        <v>0</v>
      </c>
      <c r="O121" s="11"/>
      <c r="P121" s="2">
        <f>-697.9</f>
        <v>-697.9</v>
      </c>
      <c r="Q121" s="2"/>
      <c r="R121" s="19"/>
      <c r="S121" s="2"/>
      <c r="T121" s="2"/>
      <c r="U121" s="2"/>
      <c r="V121" s="19"/>
      <c r="W121" s="2"/>
      <c r="X121" s="2">
        <f t="shared" si="2"/>
        <v>-697.9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"4303", " - ", "SALES RETURN NON-TAXABLE-RENTA")</f>
        <v xml:space="preserve">          4303 - SALES RETURN NON-TAXABLE-RENTA</v>
      </c>
      <c r="C122" s="11"/>
      <c r="D122" s="2">
        <f>0</f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-184.99</f>
        <v>-184.99</v>
      </c>
      <c r="Q122" s="2"/>
      <c r="R122" s="19"/>
      <c r="S122" s="2"/>
      <c r="T122" s="2"/>
      <c r="U122" s="2"/>
      <c r="V122" s="19"/>
      <c r="W122" s="2"/>
      <c r="X122" s="2">
        <f t="shared" si="2"/>
        <v>-184.99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"4304", " - ", "SALES RETURN NON TAXABLE-DIGIT")</f>
        <v xml:space="preserve">          4304 - SALES RETURN NON TAXABLE-DIGIT</v>
      </c>
      <c r="C123" s="11"/>
      <c r="D123" s="2">
        <f>-226.45</f>
        <v>-226.45</v>
      </c>
      <c r="E123" s="2"/>
      <c r="F123" s="19"/>
      <c r="G123" s="2"/>
      <c r="H123" s="2"/>
      <c r="I123" s="2"/>
      <c r="J123" s="19"/>
      <c r="K123" s="2"/>
      <c r="L123" s="2">
        <f t="shared" si="0"/>
        <v>-226.45</v>
      </c>
      <c r="M123" s="2"/>
      <c r="N123" s="19">
        <f t="shared" si="1"/>
        <v>0</v>
      </c>
      <c r="O123" s="11"/>
      <c r="P123" s="2">
        <f>-13430.32</f>
        <v>-13430.32</v>
      </c>
      <c r="Q123" s="2"/>
      <c r="R123" s="19"/>
      <c r="S123" s="2"/>
      <c r="T123" s="2"/>
      <c r="U123" s="2"/>
      <c r="V123" s="19"/>
      <c r="W123" s="2"/>
      <c r="X123" s="2">
        <f t="shared" si="2"/>
        <v>-13430.32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"4311", " - ", "SALES RETURN NON TAXABLE-NO VA")</f>
        <v xml:space="preserve">          4311 - SALES RETURN NON TAXABLE-NO VA</v>
      </c>
      <c r="C124" s="11"/>
      <c r="D124" s="2">
        <f t="shared" ref="D124:D125" si="10">0</f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-387.96</f>
        <v>-387.96</v>
      </c>
      <c r="Q124" s="2"/>
      <c r="R124" s="19"/>
      <c r="S124" s="2"/>
      <c r="T124" s="2"/>
      <c r="U124" s="2"/>
      <c r="V124" s="19"/>
      <c r="W124" s="2"/>
      <c r="X124" s="2">
        <f t="shared" si="2"/>
        <v>-387.96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"4327", " - ", "SALES RETURN NON TAXABLE-SCHOO")</f>
        <v xml:space="preserve">          4327 - SALES RETURN NON TAXABLE-SCHOO</v>
      </c>
      <c r="C125" s="11"/>
      <c r="D125" s="2">
        <f t="shared" si="10"/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-21.87</f>
        <v>-21.87</v>
      </c>
      <c r="Q125" s="2"/>
      <c r="R125" s="19"/>
      <c r="S125" s="2"/>
      <c r="T125" s="2"/>
      <c r="U125" s="2"/>
      <c r="V125" s="19"/>
      <c r="W125" s="2"/>
      <c r="X125" s="2">
        <f t="shared" si="2"/>
        <v>-21.87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-391.5</f>
        <v>-391.5</v>
      </c>
      <c r="E126" s="2"/>
      <c r="F126" s="19"/>
      <c r="G126" s="2"/>
      <c r="H126" s="2"/>
      <c r="I126" s="2"/>
      <c r="J126" s="19"/>
      <c r="K126" s="2"/>
      <c r="L126" s="2">
        <f t="shared" si="0"/>
        <v>-391.5</v>
      </c>
      <c r="M126" s="2"/>
      <c r="N126" s="19">
        <f t="shared" si="1"/>
        <v>0</v>
      </c>
      <c r="O126" s="11"/>
      <c r="P126" s="2">
        <f>-714.9</f>
        <v>-714.9</v>
      </c>
      <c r="Q126" s="2"/>
      <c r="R126" s="19"/>
      <c r="S126" s="2"/>
      <c r="T126" s="2"/>
      <c r="U126" s="2"/>
      <c r="V126" s="19"/>
      <c r="W126" s="2"/>
      <c r="X126" s="2">
        <f t="shared" si="2"/>
        <v>-714.9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-9.95</f>
        <v>-9.9499999999999993</v>
      </c>
      <c r="E127" s="2"/>
      <c r="F127" s="19"/>
      <c r="G127" s="2"/>
      <c r="H127" s="2"/>
      <c r="I127" s="2"/>
      <c r="J127" s="19"/>
      <c r="K127" s="2"/>
      <c r="L127" s="2">
        <f t="shared" si="0"/>
        <v>-9.9499999999999993</v>
      </c>
      <c r="M127" s="2"/>
      <c r="N127" s="19">
        <f t="shared" si="1"/>
        <v>0</v>
      </c>
      <c r="O127" s="11"/>
      <c r="P127" s="2">
        <f>-20.85</f>
        <v>-20.85</v>
      </c>
      <c r="Q127" s="2"/>
      <c r="R127" s="19"/>
      <c r="S127" s="2"/>
      <c r="T127" s="2"/>
      <c r="U127" s="2"/>
      <c r="V127" s="19"/>
      <c r="W127" s="2"/>
      <c r="X127" s="2">
        <f t="shared" si="2"/>
        <v>-20.85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 t="shared" ref="D128:D132" si="11">0</f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-109.8</f>
        <v>-109.8</v>
      </c>
      <c r="Q128" s="2"/>
      <c r="R128" s="19"/>
      <c r="S128" s="2"/>
      <c r="T128" s="2"/>
      <c r="U128" s="2"/>
      <c r="V128" s="19"/>
      <c r="W128" s="2"/>
      <c r="X128" s="2">
        <f t="shared" si="2"/>
        <v>-109.8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 t="shared" si="11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-8.15</f>
        <v>-8.15</v>
      </c>
      <c r="Q129" s="2"/>
      <c r="R129" s="19"/>
      <c r="S129" s="2"/>
      <c r="T129" s="2"/>
      <c r="U129" s="2"/>
      <c r="V129" s="19"/>
      <c r="W129" s="2"/>
      <c r="X129" s="2">
        <f t="shared" si="2"/>
        <v>-8.15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"4381", " - ", "SALES RETURN NON TAXABLE-ELECT")</f>
        <v xml:space="preserve">          4381 - SALES RETURN NON TAXABLE-ELECT</v>
      </c>
      <c r="C130" s="11"/>
      <c r="D130" s="2">
        <f t="shared" si="11"/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-1279.84</f>
        <v>-1279.8399999999999</v>
      </c>
      <c r="Q130" s="2"/>
      <c r="R130" s="19"/>
      <c r="S130" s="2"/>
      <c r="T130" s="2"/>
      <c r="U130" s="2"/>
      <c r="V130" s="19"/>
      <c r="W130" s="2"/>
      <c r="X130" s="2">
        <f t="shared" si="2"/>
        <v>-1279.8399999999999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"4383", " - ", "SALES RETURN NON TAXABLE-COMPU")</f>
        <v xml:space="preserve">          4383 - SALES RETURN NON TAXABLE-COMPU</v>
      </c>
      <c r="C131" s="11"/>
      <c r="D131" s="2">
        <f t="shared" si="11"/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-49.98</f>
        <v>-49.98</v>
      </c>
      <c r="Q131" s="2"/>
      <c r="R131" s="19"/>
      <c r="S131" s="2"/>
      <c r="T131" s="2"/>
      <c r="U131" s="2"/>
      <c r="V131" s="19"/>
      <c r="W131" s="2"/>
      <c r="X131" s="2">
        <f t="shared" si="2"/>
        <v>-49.98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"4386", " - ", "SALES RETURN NON TAXABLE-COMPU")</f>
        <v xml:space="preserve">          4386 - SALES RETURN NON TAXABLE-COMPU</v>
      </c>
      <c r="C132" s="11"/>
      <c r="D132" s="2">
        <f t="shared" si="11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-54.97</f>
        <v>-54.97</v>
      </c>
      <c r="Q132" s="2"/>
      <c r="R132" s="19"/>
      <c r="S132" s="2"/>
      <c r="T132" s="2"/>
      <c r="U132" s="2"/>
      <c r="V132" s="19"/>
      <c r="W132" s="2"/>
      <c r="X132" s="2">
        <f t="shared" si="2"/>
        <v>-54.97</v>
      </c>
      <c r="Y132" s="2"/>
      <c r="Z132" s="19">
        <f t="shared" si="3"/>
        <v>0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collapsed="1" x14ac:dyDescent="0.25">
      <c r="A134" s="10"/>
      <c r="B134" s="28" t="s">
        <v>8</v>
      </c>
      <c r="C134" s="10"/>
      <c r="D134" s="4">
        <f>SUM(OSRRefD16x_0)</f>
        <v>694087.80999999982</v>
      </c>
      <c r="E134" s="4"/>
      <c r="F134" s="12">
        <f t="shared" ref="F134:F194" si="12">IF(D$12=0,0,D134/D$12)</f>
        <v>0.34994475278121834</v>
      </c>
      <c r="G134" s="4"/>
      <c r="H134" s="4">
        <f>SUM(OSRRefH16x_0)</f>
        <v>872403.03766999999</v>
      </c>
      <c r="I134" s="4"/>
      <c r="J134" s="12">
        <f t="shared" ref="J134:J194" si="13">IF(H$12=0,0,H134/H$12)</f>
        <v>0.35935875406772472</v>
      </c>
      <c r="K134" s="4"/>
      <c r="L134" s="4">
        <f t="shared" ref="L134:L194" si="14">+D134-H134</f>
        <v>-178315.22767000017</v>
      </c>
      <c r="M134" s="4"/>
      <c r="N134" s="12">
        <f t="shared" ref="N134:N194" si="15">IF(H134=0,0,L134/H134)</f>
        <v>-0.20439546857406826</v>
      </c>
      <c r="O134" s="10"/>
      <c r="P134" s="4">
        <f>SUM(OSRRefP16x_0)</f>
        <v>7881801.9899999984</v>
      </c>
      <c r="Q134" s="4"/>
      <c r="R134" s="12">
        <f t="shared" ref="R134:R194" si="16">IF(P$12=0,0,P134/P$12)</f>
        <v>0.43599267851771084</v>
      </c>
      <c r="S134" s="4"/>
      <c r="T134" s="4">
        <f>SUM(OSRRefT16x_0)</f>
        <v>7985474.2978600003</v>
      </c>
      <c r="U134" s="4"/>
      <c r="V134" s="12">
        <f t="shared" ref="V134:V194" si="17">IF(T$12=0,0,T134/T$12)</f>
        <v>0.42236459490379397</v>
      </c>
      <c r="W134" s="4"/>
      <c r="X134" s="4">
        <f t="shared" ref="X134:X194" si="18">+P134-T134</f>
        <v>-103672.30786000192</v>
      </c>
      <c r="Y134" s="4"/>
      <c r="Z134" s="12">
        <f t="shared" ref="Z134:Z194" si="19">IF(T134=0,0,X134/T134)</f>
        <v>-1.2982611175366841E-2</v>
      </c>
    </row>
    <row r="135" spans="1:26" s="24" customFormat="1" hidden="1" outlineLevel="1" x14ac:dyDescent="0.25">
      <c r="A135" s="44"/>
      <c r="B135" s="11" t="str">
        <f>CONCATENATE("          ", "5000", " - ", "PURCHASES @ COST")</f>
        <v xml:space="preserve">          5000 - PURCHASES @ COST</v>
      </c>
      <c r="C135" s="11"/>
      <c r="D135" s="2"/>
      <c r="E135" s="2"/>
      <c r="F135" s="19">
        <f t="shared" si="12"/>
        <v>0</v>
      </c>
      <c r="G135" s="2"/>
      <c r="H135" s="2">
        <v>872403.03766999999</v>
      </c>
      <c r="I135" s="2"/>
      <c r="J135" s="19">
        <f t="shared" si="13"/>
        <v>0.35935875406772472</v>
      </c>
      <c r="K135" s="2"/>
      <c r="L135" s="2">
        <f t="shared" si="14"/>
        <v>-872403.03766999999</v>
      </c>
      <c r="M135" s="2"/>
      <c r="N135" s="19">
        <f t="shared" si="15"/>
        <v>-1</v>
      </c>
      <c r="O135" s="11"/>
      <c r="P135" s="2"/>
      <c r="Q135" s="2"/>
      <c r="R135" s="19">
        <f t="shared" si="16"/>
        <v>0</v>
      </c>
      <c r="S135" s="2"/>
      <c r="T135" s="2">
        <v>7985474.2978600003</v>
      </c>
      <c r="U135" s="2"/>
      <c r="V135" s="19">
        <f t="shared" si="17"/>
        <v>0.42236459490379397</v>
      </c>
      <c r="W135" s="2"/>
      <c r="X135" s="2">
        <f t="shared" si="18"/>
        <v>-7985474.2978600003</v>
      </c>
      <c r="Y135" s="2"/>
      <c r="Z135" s="19">
        <f t="shared" si="19"/>
        <v>-1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155219.06</v>
      </c>
      <c r="E136" s="2"/>
      <c r="F136" s="19">
        <f t="shared" si="12"/>
        <v>7.8258247437933109E-2</v>
      </c>
      <c r="G136" s="2"/>
      <c r="H136" s="2"/>
      <c r="I136" s="2"/>
      <c r="J136" s="19">
        <f t="shared" si="13"/>
        <v>0</v>
      </c>
      <c r="K136" s="2"/>
      <c r="L136" s="2">
        <f t="shared" si="14"/>
        <v>155219.06</v>
      </c>
      <c r="M136" s="2"/>
      <c r="N136" s="19">
        <f t="shared" si="15"/>
        <v>0</v>
      </c>
      <c r="O136" s="11"/>
      <c r="P136" s="2">
        <v>1737069.75</v>
      </c>
      <c r="Q136" s="2"/>
      <c r="R136" s="19">
        <f t="shared" si="16"/>
        <v>9.6088393749992007E-2</v>
      </c>
      <c r="S136" s="2"/>
      <c r="T136" s="2"/>
      <c r="U136" s="2"/>
      <c r="V136" s="19">
        <f t="shared" si="17"/>
        <v>0</v>
      </c>
      <c r="W136" s="2"/>
      <c r="X136" s="2">
        <f t="shared" si="18"/>
        <v>1737069.75</v>
      </c>
      <c r="Y136" s="2"/>
      <c r="Z136" s="19">
        <f t="shared" si="19"/>
        <v>0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40274.950000000004</v>
      </c>
      <c r="E137" s="2"/>
      <c r="F137" s="19">
        <f t="shared" si="12"/>
        <v>2.030579880235317E-2</v>
      </c>
      <c r="G137" s="2"/>
      <c r="H137" s="2"/>
      <c r="I137" s="2"/>
      <c r="J137" s="19">
        <f t="shared" si="13"/>
        <v>0</v>
      </c>
      <c r="K137" s="2"/>
      <c r="L137" s="2">
        <f t="shared" si="14"/>
        <v>40274.950000000004</v>
      </c>
      <c r="M137" s="2"/>
      <c r="N137" s="19">
        <f t="shared" si="15"/>
        <v>0</v>
      </c>
      <c r="O137" s="11"/>
      <c r="P137" s="2">
        <v>252522.85</v>
      </c>
      <c r="Q137" s="2"/>
      <c r="R137" s="19">
        <f t="shared" si="16"/>
        <v>1.3968647512093379E-2</v>
      </c>
      <c r="S137" s="2"/>
      <c r="T137" s="2"/>
      <c r="U137" s="2"/>
      <c r="V137" s="19">
        <f t="shared" si="17"/>
        <v>0</v>
      </c>
      <c r="W137" s="2"/>
      <c r="X137" s="2">
        <f t="shared" si="18"/>
        <v>252522.85</v>
      </c>
      <c r="Y137" s="2"/>
      <c r="Z137" s="19">
        <f t="shared" si="19"/>
        <v>0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12"/>
        <v>0</v>
      </c>
      <c r="G138" s="2"/>
      <c r="H138" s="2"/>
      <c r="I138" s="2"/>
      <c r="J138" s="19">
        <f t="shared" si="13"/>
        <v>0</v>
      </c>
      <c r="K138" s="2"/>
      <c r="L138" s="2">
        <f t="shared" si="14"/>
        <v>0</v>
      </c>
      <c r="M138" s="2"/>
      <c r="N138" s="19">
        <f t="shared" si="15"/>
        <v>0</v>
      </c>
      <c r="O138" s="11"/>
      <c r="P138" s="2">
        <v>-78.400000000000006</v>
      </c>
      <c r="Q138" s="2"/>
      <c r="R138" s="19">
        <f t="shared" si="16"/>
        <v>-4.3368034415425024E-6</v>
      </c>
      <c r="S138" s="2"/>
      <c r="T138" s="2"/>
      <c r="U138" s="2"/>
      <c r="V138" s="19">
        <f t="shared" si="17"/>
        <v>0</v>
      </c>
      <c r="W138" s="2"/>
      <c r="X138" s="2">
        <f t="shared" si="18"/>
        <v>-78.400000000000006</v>
      </c>
      <c r="Y138" s="2"/>
      <c r="Z138" s="19">
        <f t="shared" si="19"/>
        <v>0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31572.300000000003</v>
      </c>
      <c r="E139" s="2"/>
      <c r="F139" s="19">
        <f t="shared" si="12"/>
        <v>1.5918102232964533E-2</v>
      </c>
      <c r="G139" s="2"/>
      <c r="H139" s="2"/>
      <c r="I139" s="2"/>
      <c r="J139" s="19">
        <f t="shared" si="13"/>
        <v>0</v>
      </c>
      <c r="K139" s="2"/>
      <c r="L139" s="2">
        <f t="shared" si="14"/>
        <v>31572.300000000003</v>
      </c>
      <c r="M139" s="2"/>
      <c r="N139" s="19">
        <f t="shared" si="15"/>
        <v>0</v>
      </c>
      <c r="O139" s="11"/>
      <c r="P139" s="2">
        <v>354352.27</v>
      </c>
      <c r="Q139" s="2"/>
      <c r="R139" s="19">
        <f t="shared" si="16"/>
        <v>1.960148142926528E-2</v>
      </c>
      <c r="S139" s="2"/>
      <c r="T139" s="2"/>
      <c r="U139" s="2"/>
      <c r="V139" s="19">
        <f t="shared" si="17"/>
        <v>0</v>
      </c>
      <c r="W139" s="2"/>
      <c r="X139" s="2">
        <f t="shared" si="18"/>
        <v>354352.27</v>
      </c>
      <c r="Y139" s="2"/>
      <c r="Z139" s="19">
        <f t="shared" si="19"/>
        <v>0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>
        <v>1161</v>
      </c>
      <c r="E140" s="2"/>
      <c r="F140" s="19">
        <f t="shared" si="12"/>
        <v>5.8535224524256457E-4</v>
      </c>
      <c r="G140" s="2"/>
      <c r="H140" s="2"/>
      <c r="I140" s="2"/>
      <c r="J140" s="19">
        <f t="shared" si="13"/>
        <v>0</v>
      </c>
      <c r="K140" s="2"/>
      <c r="L140" s="2">
        <f t="shared" si="14"/>
        <v>1161</v>
      </c>
      <c r="M140" s="2"/>
      <c r="N140" s="19">
        <f t="shared" si="15"/>
        <v>0</v>
      </c>
      <c r="O140" s="11"/>
      <c r="P140" s="2">
        <v>4902</v>
      </c>
      <c r="Q140" s="2"/>
      <c r="R140" s="19">
        <f t="shared" si="16"/>
        <v>2.7116084783726204E-4</v>
      </c>
      <c r="S140" s="2"/>
      <c r="T140" s="2"/>
      <c r="U140" s="2"/>
      <c r="V140" s="19">
        <f t="shared" si="17"/>
        <v>0</v>
      </c>
      <c r="W140" s="2"/>
      <c r="X140" s="2">
        <f t="shared" si="18"/>
        <v>4902</v>
      </c>
      <c r="Y140" s="2"/>
      <c r="Z140" s="19">
        <f t="shared" si="19"/>
        <v>0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37.17</v>
      </c>
      <c r="E141" s="2"/>
      <c r="F141" s="19">
        <f t="shared" si="12"/>
        <v>1.8740347076370479E-5</v>
      </c>
      <c r="G141" s="2"/>
      <c r="H141" s="2"/>
      <c r="I141" s="2"/>
      <c r="J141" s="19">
        <f t="shared" si="13"/>
        <v>0</v>
      </c>
      <c r="K141" s="2"/>
      <c r="L141" s="2">
        <f t="shared" si="14"/>
        <v>37.17</v>
      </c>
      <c r="M141" s="2"/>
      <c r="N141" s="19">
        <f t="shared" si="15"/>
        <v>0</v>
      </c>
      <c r="O141" s="11"/>
      <c r="P141" s="2">
        <v>735.31</v>
      </c>
      <c r="Q141" s="2"/>
      <c r="R141" s="19">
        <f t="shared" si="16"/>
        <v>4.0674680339293579E-5</v>
      </c>
      <c r="S141" s="2"/>
      <c r="T141" s="2"/>
      <c r="U141" s="2"/>
      <c r="V141" s="19">
        <f t="shared" si="17"/>
        <v>0</v>
      </c>
      <c r="W141" s="2"/>
      <c r="X141" s="2">
        <f t="shared" si="18"/>
        <v>735.31</v>
      </c>
      <c r="Y141" s="2"/>
      <c r="Z141" s="19">
        <f t="shared" si="19"/>
        <v>0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>
        <v>56.98</v>
      </c>
      <c r="E142" s="2"/>
      <c r="F142" s="19">
        <f t="shared" si="12"/>
        <v>2.8728140339294856E-5</v>
      </c>
      <c r="G142" s="2"/>
      <c r="H142" s="2"/>
      <c r="I142" s="2"/>
      <c r="J142" s="19">
        <f t="shared" si="13"/>
        <v>0</v>
      </c>
      <c r="K142" s="2"/>
      <c r="L142" s="2">
        <f t="shared" si="14"/>
        <v>56.98</v>
      </c>
      <c r="M142" s="2"/>
      <c r="N142" s="19">
        <f t="shared" si="15"/>
        <v>0</v>
      </c>
      <c r="O142" s="11"/>
      <c r="P142" s="2">
        <v>513.79</v>
      </c>
      <c r="Q142" s="2"/>
      <c r="R142" s="19">
        <f t="shared" si="16"/>
        <v>2.84209979621189E-5</v>
      </c>
      <c r="S142" s="2"/>
      <c r="T142" s="2"/>
      <c r="U142" s="2"/>
      <c r="V142" s="19">
        <f t="shared" si="17"/>
        <v>0</v>
      </c>
      <c r="W142" s="2"/>
      <c r="X142" s="2">
        <f t="shared" si="18"/>
        <v>513.79</v>
      </c>
      <c r="Y142" s="2"/>
      <c r="Z142" s="19">
        <f t="shared" si="19"/>
        <v>0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12"/>
        <v>0</v>
      </c>
      <c r="G143" s="2"/>
      <c r="H143" s="2"/>
      <c r="I143" s="2"/>
      <c r="J143" s="19">
        <f t="shared" si="13"/>
        <v>0</v>
      </c>
      <c r="K143" s="2"/>
      <c r="L143" s="2">
        <f t="shared" si="14"/>
        <v>0</v>
      </c>
      <c r="M143" s="2"/>
      <c r="N143" s="19">
        <f t="shared" si="15"/>
        <v>0</v>
      </c>
      <c r="O143" s="11"/>
      <c r="P143" s="2">
        <v>0</v>
      </c>
      <c r="Q143" s="2"/>
      <c r="R143" s="19">
        <f t="shared" si="16"/>
        <v>0</v>
      </c>
      <c r="S143" s="2"/>
      <c r="T143" s="2"/>
      <c r="U143" s="2"/>
      <c r="V143" s="19">
        <f t="shared" si="17"/>
        <v>0</v>
      </c>
      <c r="W143" s="2"/>
      <c r="X143" s="2">
        <f t="shared" si="18"/>
        <v>0</v>
      </c>
      <c r="Y143" s="2"/>
      <c r="Z143" s="19">
        <f t="shared" si="19"/>
        <v>0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>
        <v>196.31</v>
      </c>
      <c r="E144" s="2"/>
      <c r="F144" s="19">
        <f t="shared" si="12"/>
        <v>9.8975451562073954E-5</v>
      </c>
      <c r="G144" s="2"/>
      <c r="H144" s="2"/>
      <c r="I144" s="2"/>
      <c r="J144" s="19">
        <f t="shared" si="13"/>
        <v>0</v>
      </c>
      <c r="K144" s="2"/>
      <c r="L144" s="2">
        <f t="shared" si="14"/>
        <v>196.31</v>
      </c>
      <c r="M144" s="2"/>
      <c r="N144" s="19">
        <f t="shared" si="15"/>
        <v>0</v>
      </c>
      <c r="O144" s="11"/>
      <c r="P144" s="2">
        <v>998.4</v>
      </c>
      <c r="Q144" s="2"/>
      <c r="R144" s="19">
        <f t="shared" si="16"/>
        <v>5.5227864235153492E-5</v>
      </c>
      <c r="S144" s="2"/>
      <c r="T144" s="2"/>
      <c r="U144" s="2"/>
      <c r="V144" s="19">
        <f t="shared" si="17"/>
        <v>0</v>
      </c>
      <c r="W144" s="2"/>
      <c r="X144" s="2">
        <f t="shared" si="18"/>
        <v>998.4</v>
      </c>
      <c r="Y144" s="2"/>
      <c r="Z144" s="19">
        <f t="shared" si="19"/>
        <v>0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>
        <v>0</v>
      </c>
      <c r="E145" s="2"/>
      <c r="F145" s="19">
        <f t="shared" si="12"/>
        <v>0</v>
      </c>
      <c r="G145" s="2"/>
      <c r="H145" s="2"/>
      <c r="I145" s="2"/>
      <c r="J145" s="19">
        <f t="shared" si="13"/>
        <v>0</v>
      </c>
      <c r="K145" s="2"/>
      <c r="L145" s="2">
        <f t="shared" si="14"/>
        <v>0</v>
      </c>
      <c r="M145" s="2"/>
      <c r="N145" s="19">
        <f t="shared" si="15"/>
        <v>0</v>
      </c>
      <c r="O145" s="11"/>
      <c r="P145" s="2">
        <v>22098.390000000003</v>
      </c>
      <c r="Q145" s="2"/>
      <c r="R145" s="19">
        <f t="shared" si="16"/>
        <v>1.2224027270988319E-3</v>
      </c>
      <c r="S145" s="2"/>
      <c r="T145" s="2"/>
      <c r="U145" s="2"/>
      <c r="V145" s="19">
        <f t="shared" si="17"/>
        <v>0</v>
      </c>
      <c r="W145" s="2"/>
      <c r="X145" s="2">
        <f t="shared" si="18"/>
        <v>22098.390000000003</v>
      </c>
      <c r="Y145" s="2"/>
      <c r="Z145" s="19">
        <f t="shared" si="19"/>
        <v>0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>
        <v>4344.2</v>
      </c>
      <c r="E146" s="2"/>
      <c r="F146" s="19">
        <f t="shared" si="12"/>
        <v>2.1902560067034874E-3</v>
      </c>
      <c r="G146" s="2"/>
      <c r="H146" s="2"/>
      <c r="I146" s="2"/>
      <c r="J146" s="19">
        <f t="shared" si="13"/>
        <v>0</v>
      </c>
      <c r="K146" s="2"/>
      <c r="L146" s="2">
        <f t="shared" si="14"/>
        <v>4344.2</v>
      </c>
      <c r="M146" s="2"/>
      <c r="N146" s="19">
        <f t="shared" si="15"/>
        <v>0</v>
      </c>
      <c r="O146" s="11"/>
      <c r="P146" s="2">
        <v>34294.769999999997</v>
      </c>
      <c r="Q146" s="2"/>
      <c r="R146" s="19">
        <f t="shared" si="16"/>
        <v>1.8970622010575067E-3</v>
      </c>
      <c r="S146" s="2"/>
      <c r="T146" s="2"/>
      <c r="U146" s="2"/>
      <c r="V146" s="19">
        <f t="shared" si="17"/>
        <v>0</v>
      </c>
      <c r="W146" s="2"/>
      <c r="X146" s="2">
        <f t="shared" si="18"/>
        <v>34294.769999999997</v>
      </c>
      <c r="Y146" s="2"/>
      <c r="Z146" s="19">
        <f t="shared" si="19"/>
        <v>0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>
        <v>2493.64</v>
      </c>
      <c r="E147" s="2"/>
      <c r="F147" s="19">
        <f t="shared" si="12"/>
        <v>1.2572418370600076E-3</v>
      </c>
      <c r="G147" s="2"/>
      <c r="H147" s="2"/>
      <c r="I147" s="2"/>
      <c r="J147" s="19">
        <f t="shared" si="13"/>
        <v>0</v>
      </c>
      <c r="K147" s="2"/>
      <c r="L147" s="2">
        <f t="shared" si="14"/>
        <v>2493.64</v>
      </c>
      <c r="M147" s="2"/>
      <c r="N147" s="19">
        <f t="shared" si="15"/>
        <v>0</v>
      </c>
      <c r="O147" s="11"/>
      <c r="P147" s="2">
        <v>78000</v>
      </c>
      <c r="Q147" s="2"/>
      <c r="R147" s="19">
        <f t="shared" si="16"/>
        <v>4.3146768933713664E-3</v>
      </c>
      <c r="S147" s="2"/>
      <c r="T147" s="2"/>
      <c r="U147" s="2"/>
      <c r="V147" s="19">
        <f t="shared" si="17"/>
        <v>0</v>
      </c>
      <c r="W147" s="2"/>
      <c r="X147" s="2">
        <f t="shared" si="18"/>
        <v>78000</v>
      </c>
      <c r="Y147" s="2"/>
      <c r="Z147" s="19">
        <f t="shared" si="19"/>
        <v>0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>
        <v>7730.31</v>
      </c>
      <c r="E148" s="2"/>
      <c r="F148" s="19">
        <f t="shared" si="12"/>
        <v>3.8974628035495689E-3</v>
      </c>
      <c r="G148" s="2"/>
      <c r="H148" s="2"/>
      <c r="I148" s="2"/>
      <c r="J148" s="19">
        <f t="shared" si="13"/>
        <v>0</v>
      </c>
      <c r="K148" s="2"/>
      <c r="L148" s="2">
        <f t="shared" si="14"/>
        <v>7730.31</v>
      </c>
      <c r="M148" s="2"/>
      <c r="N148" s="19">
        <f t="shared" si="15"/>
        <v>0</v>
      </c>
      <c r="O148" s="11"/>
      <c r="P148" s="2">
        <v>103000.81999999999</v>
      </c>
      <c r="Q148" s="2"/>
      <c r="R148" s="19">
        <f t="shared" si="16"/>
        <v>5.6976315134910681E-3</v>
      </c>
      <c r="S148" s="2"/>
      <c r="T148" s="2"/>
      <c r="U148" s="2"/>
      <c r="V148" s="19">
        <f t="shared" si="17"/>
        <v>0</v>
      </c>
      <c r="W148" s="2"/>
      <c r="X148" s="2">
        <f t="shared" si="18"/>
        <v>103000.81999999999</v>
      </c>
      <c r="Y148" s="2"/>
      <c r="Z148" s="19">
        <f t="shared" si="19"/>
        <v>0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>
        <v>1695.24</v>
      </c>
      <c r="E149" s="2"/>
      <c r="F149" s="19">
        <f t="shared" si="12"/>
        <v>8.5470503034022847E-4</v>
      </c>
      <c r="G149" s="2"/>
      <c r="H149" s="2"/>
      <c r="I149" s="2"/>
      <c r="J149" s="19">
        <f t="shared" si="13"/>
        <v>0</v>
      </c>
      <c r="K149" s="2"/>
      <c r="L149" s="2">
        <f t="shared" si="14"/>
        <v>1695.24</v>
      </c>
      <c r="M149" s="2"/>
      <c r="N149" s="19">
        <f t="shared" si="15"/>
        <v>0</v>
      </c>
      <c r="O149" s="11"/>
      <c r="P149" s="2">
        <v>22509.73</v>
      </c>
      <c r="Q149" s="2"/>
      <c r="R149" s="19">
        <f t="shared" si="16"/>
        <v>1.2451565629106186E-3</v>
      </c>
      <c r="S149" s="2"/>
      <c r="T149" s="2"/>
      <c r="U149" s="2"/>
      <c r="V149" s="19">
        <f t="shared" si="17"/>
        <v>0</v>
      </c>
      <c r="W149" s="2"/>
      <c r="X149" s="2">
        <f t="shared" si="18"/>
        <v>22509.73</v>
      </c>
      <c r="Y149" s="2"/>
      <c r="Z149" s="19">
        <f t="shared" si="19"/>
        <v>0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>
        <v>358.99</v>
      </c>
      <c r="E150" s="2"/>
      <c r="F150" s="19">
        <f t="shared" si="12"/>
        <v>1.8099535100743176E-4</v>
      </c>
      <c r="G150" s="2"/>
      <c r="H150" s="2"/>
      <c r="I150" s="2"/>
      <c r="J150" s="19">
        <f t="shared" si="13"/>
        <v>0</v>
      </c>
      <c r="K150" s="2"/>
      <c r="L150" s="2">
        <f t="shared" si="14"/>
        <v>358.99</v>
      </c>
      <c r="M150" s="2"/>
      <c r="N150" s="19">
        <f t="shared" si="15"/>
        <v>0</v>
      </c>
      <c r="O150" s="11"/>
      <c r="P150" s="2">
        <v>5021.4799999999996</v>
      </c>
      <c r="Q150" s="2"/>
      <c r="R150" s="19">
        <f t="shared" si="16"/>
        <v>2.777700477759801E-4</v>
      </c>
      <c r="S150" s="2"/>
      <c r="T150" s="2"/>
      <c r="U150" s="2"/>
      <c r="V150" s="19">
        <f t="shared" si="17"/>
        <v>0</v>
      </c>
      <c r="W150" s="2"/>
      <c r="X150" s="2">
        <f t="shared" si="18"/>
        <v>5021.4799999999996</v>
      </c>
      <c r="Y150" s="2"/>
      <c r="Z150" s="19">
        <f t="shared" si="19"/>
        <v>0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>
        <v>260.19</v>
      </c>
      <c r="E151" s="2"/>
      <c r="F151" s="19">
        <f t="shared" si="12"/>
        <v>1.3118242953459334E-4</v>
      </c>
      <c r="G151" s="2"/>
      <c r="H151" s="2"/>
      <c r="I151" s="2"/>
      <c r="J151" s="19">
        <f t="shared" si="13"/>
        <v>0</v>
      </c>
      <c r="K151" s="2"/>
      <c r="L151" s="2">
        <f t="shared" si="14"/>
        <v>260.19</v>
      </c>
      <c r="M151" s="2"/>
      <c r="N151" s="19">
        <f t="shared" si="15"/>
        <v>0</v>
      </c>
      <c r="O151" s="11"/>
      <c r="P151" s="2">
        <v>6197.93</v>
      </c>
      <c r="Q151" s="2"/>
      <c r="R151" s="19">
        <f t="shared" si="16"/>
        <v>3.4284699176581021E-4</v>
      </c>
      <c r="S151" s="2"/>
      <c r="T151" s="2"/>
      <c r="U151" s="2"/>
      <c r="V151" s="19">
        <f t="shared" si="17"/>
        <v>0</v>
      </c>
      <c r="W151" s="2"/>
      <c r="X151" s="2">
        <f t="shared" si="18"/>
        <v>6197.93</v>
      </c>
      <c r="Y151" s="2"/>
      <c r="Z151" s="19">
        <f t="shared" si="19"/>
        <v>0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>
        <v>42.24</v>
      </c>
      <c r="E152" s="2"/>
      <c r="F152" s="19">
        <f t="shared" si="12"/>
        <v>2.1296536467739817E-5</v>
      </c>
      <c r="G152" s="2"/>
      <c r="H152" s="2"/>
      <c r="I152" s="2"/>
      <c r="J152" s="19">
        <f t="shared" si="13"/>
        <v>0</v>
      </c>
      <c r="K152" s="2"/>
      <c r="L152" s="2">
        <f t="shared" si="14"/>
        <v>42.24</v>
      </c>
      <c r="M152" s="2"/>
      <c r="N152" s="19">
        <f t="shared" si="15"/>
        <v>0</v>
      </c>
      <c r="O152" s="11"/>
      <c r="P152" s="2">
        <v>2124.16</v>
      </c>
      <c r="Q152" s="2"/>
      <c r="R152" s="19">
        <f t="shared" si="16"/>
        <v>1.1750082140799643E-4</v>
      </c>
      <c r="S152" s="2"/>
      <c r="T152" s="2"/>
      <c r="U152" s="2"/>
      <c r="V152" s="19">
        <f t="shared" si="17"/>
        <v>0</v>
      </c>
      <c r="W152" s="2"/>
      <c r="X152" s="2">
        <f t="shared" si="18"/>
        <v>2124.16</v>
      </c>
      <c r="Y152" s="2"/>
      <c r="Z152" s="19">
        <f t="shared" si="19"/>
        <v>0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>
        <v>23.17</v>
      </c>
      <c r="E153" s="2"/>
      <c r="F153" s="19">
        <f t="shared" si="12"/>
        <v>1.1681835936494593E-5</v>
      </c>
      <c r="G153" s="2"/>
      <c r="H153" s="2"/>
      <c r="I153" s="2"/>
      <c r="J153" s="19">
        <f t="shared" si="13"/>
        <v>0</v>
      </c>
      <c r="K153" s="2"/>
      <c r="L153" s="2">
        <f t="shared" si="14"/>
        <v>23.17</v>
      </c>
      <c r="M153" s="2"/>
      <c r="N153" s="19">
        <f t="shared" si="15"/>
        <v>0</v>
      </c>
      <c r="O153" s="11"/>
      <c r="P153" s="2">
        <v>824.38</v>
      </c>
      <c r="Q153" s="2"/>
      <c r="R153" s="19">
        <f t="shared" si="16"/>
        <v>4.5601709453301119E-5</v>
      </c>
      <c r="S153" s="2"/>
      <c r="T153" s="2"/>
      <c r="U153" s="2"/>
      <c r="V153" s="19">
        <f t="shared" si="17"/>
        <v>0</v>
      </c>
      <c r="W153" s="2"/>
      <c r="X153" s="2">
        <f t="shared" si="18"/>
        <v>824.38</v>
      </c>
      <c r="Y153" s="2"/>
      <c r="Z153" s="19">
        <f t="shared" si="19"/>
        <v>0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>
        <v>235.9</v>
      </c>
      <c r="E154" s="2"/>
      <c r="F154" s="19">
        <f t="shared" si="12"/>
        <v>1.1893591270690869E-4</v>
      </c>
      <c r="G154" s="2"/>
      <c r="H154" s="2"/>
      <c r="I154" s="2"/>
      <c r="J154" s="19">
        <f t="shared" si="13"/>
        <v>0</v>
      </c>
      <c r="K154" s="2"/>
      <c r="L154" s="2">
        <f t="shared" si="14"/>
        <v>235.9</v>
      </c>
      <c r="M154" s="2"/>
      <c r="N154" s="19">
        <f t="shared" si="15"/>
        <v>0</v>
      </c>
      <c r="O154" s="11"/>
      <c r="P154" s="2">
        <v>3759.27</v>
      </c>
      <c r="Q154" s="2"/>
      <c r="R154" s="19">
        <f t="shared" si="16"/>
        <v>2.0794917185825869E-4</v>
      </c>
      <c r="S154" s="2"/>
      <c r="T154" s="2"/>
      <c r="U154" s="2"/>
      <c r="V154" s="19">
        <f t="shared" si="17"/>
        <v>0</v>
      </c>
      <c r="W154" s="2"/>
      <c r="X154" s="2">
        <f t="shared" si="18"/>
        <v>3759.27</v>
      </c>
      <c r="Y154" s="2"/>
      <c r="Z154" s="19">
        <f t="shared" si="19"/>
        <v>0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97946.53</v>
      </c>
      <c r="E155" s="2"/>
      <c r="F155" s="19">
        <f t="shared" si="12"/>
        <v>4.938261950837055E-2</v>
      </c>
      <c r="G155" s="2"/>
      <c r="H155" s="2"/>
      <c r="I155" s="2"/>
      <c r="J155" s="19">
        <f t="shared" si="13"/>
        <v>0</v>
      </c>
      <c r="K155" s="2"/>
      <c r="L155" s="2">
        <f t="shared" si="14"/>
        <v>97946.53</v>
      </c>
      <c r="M155" s="2"/>
      <c r="N155" s="19">
        <f t="shared" si="15"/>
        <v>0</v>
      </c>
      <c r="O155" s="11"/>
      <c r="P155" s="2">
        <v>716238.84000000008</v>
      </c>
      <c r="Q155" s="2"/>
      <c r="R155" s="19">
        <f t="shared" si="16"/>
        <v>3.9619732988245018E-2</v>
      </c>
      <c r="S155" s="2"/>
      <c r="T155" s="2"/>
      <c r="U155" s="2"/>
      <c r="V155" s="19">
        <f t="shared" si="17"/>
        <v>0</v>
      </c>
      <c r="W155" s="2"/>
      <c r="X155" s="2">
        <f t="shared" si="18"/>
        <v>716238.84000000008</v>
      </c>
      <c r="Y155" s="2"/>
      <c r="Z155" s="19">
        <f t="shared" si="19"/>
        <v>0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20607.12</v>
      </c>
      <c r="E156" s="2"/>
      <c r="F156" s="19">
        <f t="shared" si="12"/>
        <v>1.0389684720054226E-2</v>
      </c>
      <c r="G156" s="2"/>
      <c r="H156" s="2"/>
      <c r="I156" s="2"/>
      <c r="J156" s="19">
        <f t="shared" si="13"/>
        <v>0</v>
      </c>
      <c r="K156" s="2"/>
      <c r="L156" s="2">
        <f t="shared" si="14"/>
        <v>20607.12</v>
      </c>
      <c r="M156" s="2"/>
      <c r="N156" s="19">
        <f t="shared" si="15"/>
        <v>0</v>
      </c>
      <c r="O156" s="11"/>
      <c r="P156" s="2">
        <v>109403.67</v>
      </c>
      <c r="Q156" s="2"/>
      <c r="R156" s="19">
        <f t="shared" si="16"/>
        <v>6.0518139358849508E-3</v>
      </c>
      <c r="S156" s="2"/>
      <c r="T156" s="2"/>
      <c r="U156" s="2"/>
      <c r="V156" s="19">
        <f t="shared" si="17"/>
        <v>0</v>
      </c>
      <c r="W156" s="2"/>
      <c r="X156" s="2">
        <f t="shared" si="18"/>
        <v>109403.67</v>
      </c>
      <c r="Y156" s="2"/>
      <c r="Z156" s="19">
        <f t="shared" si="19"/>
        <v>0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7822.79</v>
      </c>
      <c r="E157" s="2"/>
      <c r="F157" s="19">
        <f t="shared" si="12"/>
        <v>3.9440893114221203E-3</v>
      </c>
      <c r="G157" s="2"/>
      <c r="H157" s="2"/>
      <c r="I157" s="2"/>
      <c r="J157" s="19">
        <f t="shared" si="13"/>
        <v>0</v>
      </c>
      <c r="K157" s="2"/>
      <c r="L157" s="2">
        <f t="shared" si="14"/>
        <v>7822.79</v>
      </c>
      <c r="M157" s="2"/>
      <c r="N157" s="19">
        <f t="shared" si="15"/>
        <v>0</v>
      </c>
      <c r="O157" s="11"/>
      <c r="P157" s="2">
        <v>88388.11</v>
      </c>
      <c r="Q157" s="2"/>
      <c r="R157" s="19">
        <f t="shared" si="16"/>
        <v>4.8893094341764948E-3</v>
      </c>
      <c r="S157" s="2"/>
      <c r="T157" s="2"/>
      <c r="U157" s="2"/>
      <c r="V157" s="19">
        <f t="shared" si="17"/>
        <v>0</v>
      </c>
      <c r="W157" s="2"/>
      <c r="X157" s="2">
        <f t="shared" si="18"/>
        <v>88388.11</v>
      </c>
      <c r="Y157" s="2"/>
      <c r="Z157" s="19">
        <f t="shared" si="19"/>
        <v>0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3256.15</v>
      </c>
      <c r="E158" s="2"/>
      <c r="F158" s="19">
        <f t="shared" si="12"/>
        <v>1.6416836462933477E-3</v>
      </c>
      <c r="G158" s="2"/>
      <c r="H158" s="2"/>
      <c r="I158" s="2"/>
      <c r="J158" s="19">
        <f t="shared" si="13"/>
        <v>0</v>
      </c>
      <c r="K158" s="2"/>
      <c r="L158" s="2">
        <f t="shared" si="14"/>
        <v>3256.15</v>
      </c>
      <c r="M158" s="2"/>
      <c r="N158" s="19">
        <f t="shared" si="15"/>
        <v>0</v>
      </c>
      <c r="O158" s="11"/>
      <c r="P158" s="2">
        <v>6784.89</v>
      </c>
      <c r="Q158" s="2"/>
      <c r="R158" s="19">
        <f t="shared" si="16"/>
        <v>3.75315488552134E-4</v>
      </c>
      <c r="S158" s="2"/>
      <c r="T158" s="2"/>
      <c r="U158" s="2"/>
      <c r="V158" s="19">
        <f t="shared" si="17"/>
        <v>0</v>
      </c>
      <c r="W158" s="2"/>
      <c r="X158" s="2">
        <f t="shared" si="18"/>
        <v>6784.89</v>
      </c>
      <c r="Y158" s="2"/>
      <c r="Z158" s="19">
        <f t="shared" si="19"/>
        <v>0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>
        <v>432</v>
      </c>
      <c r="E159" s="2"/>
      <c r="F159" s="19">
        <f t="shared" si="12"/>
        <v>2.178054866018845E-4</v>
      </c>
      <c r="G159" s="2"/>
      <c r="H159" s="2"/>
      <c r="I159" s="2"/>
      <c r="J159" s="19">
        <f t="shared" si="13"/>
        <v>0</v>
      </c>
      <c r="K159" s="2"/>
      <c r="L159" s="2">
        <f t="shared" si="14"/>
        <v>432</v>
      </c>
      <c r="M159" s="2"/>
      <c r="N159" s="19">
        <f t="shared" si="15"/>
        <v>0</v>
      </c>
      <c r="O159" s="11"/>
      <c r="P159" s="2">
        <v>17687.580000000002</v>
      </c>
      <c r="Q159" s="2"/>
      <c r="R159" s="19">
        <f t="shared" si="16"/>
        <v>9.7841272725201957E-4</v>
      </c>
      <c r="S159" s="2"/>
      <c r="T159" s="2"/>
      <c r="U159" s="2"/>
      <c r="V159" s="19">
        <f t="shared" si="17"/>
        <v>0</v>
      </c>
      <c r="W159" s="2"/>
      <c r="X159" s="2">
        <f t="shared" si="18"/>
        <v>17687.580000000002</v>
      </c>
      <c r="Y159" s="2"/>
      <c r="Z159" s="19">
        <f t="shared" si="19"/>
        <v>0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-1045.9100000000001</v>
      </c>
      <c r="E160" s="2"/>
      <c r="F160" s="19">
        <f t="shared" si="12"/>
        <v>-5.2732624187911347E-4</v>
      </c>
      <c r="G160" s="2"/>
      <c r="H160" s="2"/>
      <c r="I160" s="2"/>
      <c r="J160" s="19">
        <f t="shared" si="13"/>
        <v>0</v>
      </c>
      <c r="K160" s="2"/>
      <c r="L160" s="2">
        <f t="shared" si="14"/>
        <v>-1045.9100000000001</v>
      </c>
      <c r="M160" s="2"/>
      <c r="N160" s="19">
        <f t="shared" si="15"/>
        <v>0</v>
      </c>
      <c r="O160" s="11"/>
      <c r="P160" s="2">
        <v>41180.579999999994</v>
      </c>
      <c r="Q160" s="2"/>
      <c r="R160" s="19">
        <f t="shared" si="16"/>
        <v>2.277960217713218E-3</v>
      </c>
      <c r="S160" s="2"/>
      <c r="T160" s="2"/>
      <c r="U160" s="2"/>
      <c r="V160" s="19">
        <f t="shared" si="17"/>
        <v>0</v>
      </c>
      <c r="W160" s="2"/>
      <c r="X160" s="2">
        <f t="shared" si="18"/>
        <v>41180.579999999994</v>
      </c>
      <c r="Y160" s="2"/>
      <c r="Z160" s="19">
        <f t="shared" si="19"/>
        <v>0</v>
      </c>
    </row>
    <row r="161" spans="1:26" s="24" customFormat="1" hidden="1" outlineLevel="1" x14ac:dyDescent="0.25">
      <c r="A161" s="44"/>
      <c r="B161" s="11" t="str">
        <f>CONCATENATE("          ", "5053", " - ", "PURCHASES @ COST-FOOD")</f>
        <v xml:space="preserve">          5053 - PURCHASES @ COST-FOOD</v>
      </c>
      <c r="C161" s="11"/>
      <c r="D161" s="2">
        <v>395743.47</v>
      </c>
      <c r="E161" s="2"/>
      <c r="F161" s="19">
        <f t="shared" si="12"/>
        <v>0.19952569225200989</v>
      </c>
      <c r="G161" s="2"/>
      <c r="H161" s="2"/>
      <c r="I161" s="2"/>
      <c r="J161" s="19">
        <f t="shared" si="13"/>
        <v>0</v>
      </c>
      <c r="K161" s="2"/>
      <c r="L161" s="2">
        <f t="shared" si="14"/>
        <v>395743.47</v>
      </c>
      <c r="M161" s="2"/>
      <c r="N161" s="19">
        <f t="shared" si="15"/>
        <v>0</v>
      </c>
      <c r="O161" s="11"/>
      <c r="P161" s="2">
        <v>3290472.85</v>
      </c>
      <c r="Q161" s="2"/>
      <c r="R161" s="19">
        <f t="shared" si="16"/>
        <v>0.18201701505334394</v>
      </c>
      <c r="S161" s="2"/>
      <c r="T161" s="2"/>
      <c r="U161" s="2"/>
      <c r="V161" s="19">
        <f t="shared" si="17"/>
        <v>0</v>
      </c>
      <c r="W161" s="2"/>
      <c r="X161" s="2">
        <f t="shared" si="18"/>
        <v>3290472.85</v>
      </c>
      <c r="Y161" s="2"/>
      <c r="Z161" s="19">
        <f t="shared" si="19"/>
        <v>0</v>
      </c>
    </row>
    <row r="162" spans="1:26" s="24" customFormat="1" hidden="1" outlineLevel="1" x14ac:dyDescent="0.25">
      <c r="A162" s="44"/>
      <c r="B162" s="11" t="str">
        <f>CONCATENATE("          ", "5059", " - ", "PURCHASES @ COST-FOOD")</f>
        <v xml:space="preserve">          5059 - PURCHASES @ COST-FOOD</v>
      </c>
      <c r="C162" s="11"/>
      <c r="D162" s="2">
        <v>33635.49</v>
      </c>
      <c r="E162" s="2"/>
      <c r="F162" s="19">
        <f t="shared" si="12"/>
        <v>1.6958320061441712E-2</v>
      </c>
      <c r="G162" s="2"/>
      <c r="H162" s="2"/>
      <c r="I162" s="2"/>
      <c r="J162" s="19">
        <f t="shared" si="13"/>
        <v>0</v>
      </c>
      <c r="K162" s="2"/>
      <c r="L162" s="2">
        <f t="shared" si="14"/>
        <v>33635.49</v>
      </c>
      <c r="M162" s="2"/>
      <c r="N162" s="19">
        <f t="shared" si="15"/>
        <v>0</v>
      </c>
      <c r="O162" s="11"/>
      <c r="P162" s="2">
        <v>-36144.67</v>
      </c>
      <c r="Q162" s="2"/>
      <c r="R162" s="19">
        <f t="shared" si="16"/>
        <v>-1.9993919547119645E-3</v>
      </c>
      <c r="S162" s="2"/>
      <c r="T162" s="2"/>
      <c r="U162" s="2"/>
      <c r="V162" s="19">
        <f t="shared" si="17"/>
        <v>0</v>
      </c>
      <c r="W162" s="2"/>
      <c r="X162" s="2">
        <f t="shared" si="18"/>
        <v>-36144.67</v>
      </c>
      <c r="Y162" s="2"/>
      <c r="Z162" s="19">
        <f t="shared" si="19"/>
        <v>0</v>
      </c>
    </row>
    <row r="163" spans="1:26" s="24" customFormat="1" hidden="1" outlineLevel="1" x14ac:dyDescent="0.25">
      <c r="A163" s="44"/>
      <c r="B163" s="11" t="str">
        <f>CONCATENATE("          ", "5081", " - ", "PURCHASES @ COST-ELECTRONICS")</f>
        <v xml:space="preserve">          5081 - PURCHASES @ COST-ELECTRONICS</v>
      </c>
      <c r="C163" s="11"/>
      <c r="D163" s="2">
        <v>3128.44</v>
      </c>
      <c r="E163" s="2"/>
      <c r="F163" s="19">
        <f t="shared" si="12"/>
        <v>1.5772948993166655E-3</v>
      </c>
      <c r="G163" s="2"/>
      <c r="H163" s="2"/>
      <c r="I163" s="2"/>
      <c r="J163" s="19">
        <f t="shared" si="13"/>
        <v>0</v>
      </c>
      <c r="K163" s="2"/>
      <c r="L163" s="2">
        <f t="shared" si="14"/>
        <v>3128.44</v>
      </c>
      <c r="M163" s="2"/>
      <c r="N163" s="19">
        <f t="shared" si="15"/>
        <v>0</v>
      </c>
      <c r="O163" s="11"/>
      <c r="P163" s="2">
        <v>189180.98</v>
      </c>
      <c r="Q163" s="2"/>
      <c r="R163" s="19">
        <f t="shared" si="16"/>
        <v>1.0464805167581418E-2</v>
      </c>
      <c r="S163" s="2"/>
      <c r="T163" s="2"/>
      <c r="U163" s="2"/>
      <c r="V163" s="19">
        <f t="shared" si="17"/>
        <v>0</v>
      </c>
      <c r="W163" s="2"/>
      <c r="X163" s="2">
        <f t="shared" si="18"/>
        <v>189180.98</v>
      </c>
      <c r="Y163" s="2"/>
      <c r="Z163" s="19">
        <f t="shared" si="19"/>
        <v>0</v>
      </c>
    </row>
    <row r="164" spans="1:26" s="24" customFormat="1" hidden="1" outlineLevel="1" x14ac:dyDescent="0.25">
      <c r="A164" s="44"/>
      <c r="B164" s="11" t="str">
        <f>CONCATENATE("          ", "5082", " - ", "PURCHASES @ COST-COMPUTER HARD")</f>
        <v xml:space="preserve">          5082 - PURCHASES @ COST-COMPUTER HARD</v>
      </c>
      <c r="C164" s="11"/>
      <c r="D164" s="2">
        <v>49932.72</v>
      </c>
      <c r="E164" s="2"/>
      <c r="F164" s="19">
        <f t="shared" si="12"/>
        <v>2.517504716887882E-2</v>
      </c>
      <c r="G164" s="2"/>
      <c r="H164" s="2"/>
      <c r="I164" s="2"/>
      <c r="J164" s="19">
        <f t="shared" si="13"/>
        <v>0</v>
      </c>
      <c r="K164" s="2"/>
      <c r="L164" s="2">
        <f t="shared" si="14"/>
        <v>49932.72</v>
      </c>
      <c r="M164" s="2"/>
      <c r="N164" s="19">
        <f t="shared" si="15"/>
        <v>0</v>
      </c>
      <c r="O164" s="11"/>
      <c r="P164" s="2">
        <v>1008527.58</v>
      </c>
      <c r="Q164" s="2"/>
      <c r="R164" s="19">
        <f t="shared" si="16"/>
        <v>5.5788085201971052E-2</v>
      </c>
      <c r="S164" s="2"/>
      <c r="T164" s="2"/>
      <c r="U164" s="2"/>
      <c r="V164" s="19">
        <f t="shared" si="17"/>
        <v>0</v>
      </c>
      <c r="W164" s="2"/>
      <c r="X164" s="2">
        <f t="shared" si="18"/>
        <v>1008527.58</v>
      </c>
      <c r="Y164" s="2"/>
      <c r="Z164" s="19">
        <f t="shared" si="19"/>
        <v>0</v>
      </c>
    </row>
    <row r="165" spans="1:26" s="24" customFormat="1" hidden="1" outlineLevel="1" x14ac:dyDescent="0.25">
      <c r="A165" s="44"/>
      <c r="B165" s="11" t="str">
        <f>CONCATENATE("          ", "5083", " - ", "PURCHASES @ COST-COMPUTER EQUI")</f>
        <v xml:space="preserve">          5083 - PURCHASES @ COST-COMPUTER EQUI</v>
      </c>
      <c r="C165" s="11"/>
      <c r="D165" s="2">
        <v>5662.46</v>
      </c>
      <c r="E165" s="2"/>
      <c r="F165" s="19">
        <f t="shared" si="12"/>
        <v>2.8548954992215435E-3</v>
      </c>
      <c r="G165" s="2"/>
      <c r="H165" s="2"/>
      <c r="I165" s="2"/>
      <c r="J165" s="19">
        <f t="shared" si="13"/>
        <v>0</v>
      </c>
      <c r="K165" s="2"/>
      <c r="L165" s="2">
        <f t="shared" si="14"/>
        <v>5662.46</v>
      </c>
      <c r="M165" s="2"/>
      <c r="N165" s="19">
        <f t="shared" si="15"/>
        <v>0</v>
      </c>
      <c r="O165" s="11"/>
      <c r="P165" s="2">
        <v>54830.780000000006</v>
      </c>
      <c r="Q165" s="2"/>
      <c r="R165" s="19">
        <f t="shared" si="16"/>
        <v>3.0330397373272934E-3</v>
      </c>
      <c r="S165" s="2"/>
      <c r="T165" s="2"/>
      <c r="U165" s="2"/>
      <c r="V165" s="19">
        <f t="shared" si="17"/>
        <v>0</v>
      </c>
      <c r="W165" s="2"/>
      <c r="X165" s="2">
        <f t="shared" si="18"/>
        <v>54830.780000000006</v>
      </c>
      <c r="Y165" s="2"/>
      <c r="Z165" s="19">
        <f t="shared" si="19"/>
        <v>0</v>
      </c>
    </row>
    <row r="166" spans="1:26" s="24" customFormat="1" hidden="1" outlineLevel="1" x14ac:dyDescent="0.25">
      <c r="A166" s="44"/>
      <c r="B166" s="11" t="str">
        <f>CONCATENATE("          ", "5084", " - ", "PURCHASES @ COST-SOFTWARE LICE")</f>
        <v xml:space="preserve">          5084 - PURCHASES @ COST-SOFTWARE LICE</v>
      </c>
      <c r="C166" s="11"/>
      <c r="D166" s="2"/>
      <c r="E166" s="2"/>
      <c r="F166" s="19">
        <f t="shared" si="12"/>
        <v>0</v>
      </c>
      <c r="G166" s="2"/>
      <c r="H166" s="2"/>
      <c r="I166" s="2"/>
      <c r="J166" s="19">
        <f t="shared" si="13"/>
        <v>0</v>
      </c>
      <c r="K166" s="2"/>
      <c r="L166" s="2">
        <f t="shared" si="14"/>
        <v>0</v>
      </c>
      <c r="M166" s="2"/>
      <c r="N166" s="19">
        <f t="shared" si="15"/>
        <v>0</v>
      </c>
      <c r="O166" s="11"/>
      <c r="P166" s="2">
        <v>2728</v>
      </c>
      <c r="Q166" s="2"/>
      <c r="R166" s="19">
        <f t="shared" si="16"/>
        <v>1.5090305852714215E-4</v>
      </c>
      <c r="S166" s="2"/>
      <c r="T166" s="2"/>
      <c r="U166" s="2"/>
      <c r="V166" s="19">
        <f t="shared" si="17"/>
        <v>0</v>
      </c>
      <c r="W166" s="2"/>
      <c r="X166" s="2">
        <f t="shared" si="18"/>
        <v>2728</v>
      </c>
      <c r="Y166" s="2"/>
      <c r="Z166" s="19">
        <f t="shared" si="19"/>
        <v>0</v>
      </c>
    </row>
    <row r="167" spans="1:26" s="24" customFormat="1" hidden="1" outlineLevel="1" x14ac:dyDescent="0.25">
      <c r="A167" s="44"/>
      <c r="B167" s="11" t="str">
        <f>CONCATENATE("          ", "5085", " - ", "PURCHASES @ COST-SOFTWARE")</f>
        <v xml:space="preserve">          5085 - PURCHASES @ COST-SOFTWARE</v>
      </c>
      <c r="C167" s="11"/>
      <c r="D167" s="2">
        <v>780.26</v>
      </c>
      <c r="E167" s="2"/>
      <c r="F167" s="19">
        <f t="shared" si="12"/>
        <v>3.9339099299996852E-4</v>
      </c>
      <c r="G167" s="2"/>
      <c r="H167" s="2"/>
      <c r="I167" s="2"/>
      <c r="J167" s="19">
        <f t="shared" si="13"/>
        <v>0</v>
      </c>
      <c r="K167" s="2"/>
      <c r="L167" s="2">
        <f t="shared" si="14"/>
        <v>780.26</v>
      </c>
      <c r="M167" s="2"/>
      <c r="N167" s="19">
        <f t="shared" si="15"/>
        <v>0</v>
      </c>
      <c r="O167" s="11"/>
      <c r="P167" s="2">
        <v>7860.66</v>
      </c>
      <c r="Q167" s="2"/>
      <c r="R167" s="19">
        <f t="shared" si="16"/>
        <v>4.3482318036728928E-4</v>
      </c>
      <c r="S167" s="2"/>
      <c r="T167" s="2"/>
      <c r="U167" s="2"/>
      <c r="V167" s="19">
        <f t="shared" si="17"/>
        <v>0</v>
      </c>
      <c r="W167" s="2"/>
      <c r="X167" s="2">
        <f t="shared" si="18"/>
        <v>7860.66</v>
      </c>
      <c r="Y167" s="2"/>
      <c r="Z167" s="19">
        <f t="shared" si="19"/>
        <v>0</v>
      </c>
    </row>
    <row r="168" spans="1:26" s="24" customFormat="1" hidden="1" outlineLevel="1" x14ac:dyDescent="0.25">
      <c r="A168" s="44"/>
      <c r="B168" s="11" t="str">
        <f>CONCATENATE("          ", "5086", " - ", "PURCHASES @ COST-COMPUTER SUPP")</f>
        <v xml:space="preserve">          5086 - PURCHASES @ COST-COMPUTER SUPP</v>
      </c>
      <c r="C168" s="11"/>
      <c r="D168" s="2">
        <v>1560.99</v>
      </c>
      <c r="E168" s="2"/>
      <c r="F168" s="19">
        <f t="shared" si="12"/>
        <v>7.8701895030249003E-4</v>
      </c>
      <c r="G168" s="2"/>
      <c r="H168" s="2"/>
      <c r="I168" s="2"/>
      <c r="J168" s="19">
        <f t="shared" si="13"/>
        <v>0</v>
      </c>
      <c r="K168" s="2"/>
      <c r="L168" s="2">
        <f t="shared" si="14"/>
        <v>1560.99</v>
      </c>
      <c r="M168" s="2"/>
      <c r="N168" s="19">
        <f t="shared" si="15"/>
        <v>0</v>
      </c>
      <c r="O168" s="11"/>
      <c r="P168" s="2">
        <v>20983.64</v>
      </c>
      <c r="Q168" s="2"/>
      <c r="R168" s="19">
        <f t="shared" si="16"/>
        <v>1.1607388031643993E-3</v>
      </c>
      <c r="S168" s="2"/>
      <c r="T168" s="2"/>
      <c r="U168" s="2"/>
      <c r="V168" s="19">
        <f t="shared" si="17"/>
        <v>0</v>
      </c>
      <c r="W168" s="2"/>
      <c r="X168" s="2">
        <f t="shared" si="18"/>
        <v>20983.64</v>
      </c>
      <c r="Y168" s="2"/>
      <c r="Z168" s="19">
        <f t="shared" si="19"/>
        <v>0</v>
      </c>
    </row>
    <row r="169" spans="1:26" s="24" customFormat="1" hidden="1" outlineLevel="1" x14ac:dyDescent="0.25">
      <c r="A169" s="44"/>
      <c r="B169" s="11" t="str">
        <f>CONCATENATE("          ", "5088", " - ", "PURCHASES @ COST-MUSIC")</f>
        <v xml:space="preserve">          5088 - PURCHASES @ COST-MUSIC</v>
      </c>
      <c r="C169" s="11"/>
      <c r="D169" s="2"/>
      <c r="E169" s="2"/>
      <c r="F169" s="19">
        <f t="shared" si="12"/>
        <v>0</v>
      </c>
      <c r="G169" s="2"/>
      <c r="H169" s="2"/>
      <c r="I169" s="2"/>
      <c r="J169" s="19">
        <f t="shared" si="13"/>
        <v>0</v>
      </c>
      <c r="K169" s="2"/>
      <c r="L169" s="2">
        <f t="shared" si="14"/>
        <v>0</v>
      </c>
      <c r="M169" s="2"/>
      <c r="N169" s="19">
        <f t="shared" si="15"/>
        <v>0</v>
      </c>
      <c r="O169" s="11"/>
      <c r="P169" s="2">
        <v>88.75</v>
      </c>
      <c r="Q169" s="2"/>
      <c r="R169" s="19">
        <f t="shared" si="16"/>
        <v>4.9093278754706252E-6</v>
      </c>
      <c r="S169" s="2"/>
      <c r="T169" s="2"/>
      <c r="U169" s="2"/>
      <c r="V169" s="19">
        <f t="shared" si="17"/>
        <v>0</v>
      </c>
      <c r="W169" s="2"/>
      <c r="X169" s="2">
        <f t="shared" si="18"/>
        <v>88.75</v>
      </c>
      <c r="Y169" s="2"/>
      <c r="Z169" s="19">
        <f t="shared" si="19"/>
        <v>0</v>
      </c>
    </row>
    <row r="170" spans="1:26" s="24" customFormat="1" hidden="1" outlineLevel="1" x14ac:dyDescent="0.25">
      <c r="A170" s="44"/>
      <c r="B170" s="11" t="str">
        <f>CONCATENATE("          ", "5092", " - ", "PURCHASES @ COST-GRAD MERCH")</f>
        <v xml:space="preserve">          5092 - PURCHASES @ COST-GRAD MERCH</v>
      </c>
      <c r="C170" s="11"/>
      <c r="D170" s="2"/>
      <c r="E170" s="2"/>
      <c r="F170" s="19">
        <f t="shared" si="12"/>
        <v>0</v>
      </c>
      <c r="G170" s="2"/>
      <c r="H170" s="2"/>
      <c r="I170" s="2"/>
      <c r="J170" s="19">
        <f t="shared" si="13"/>
        <v>0</v>
      </c>
      <c r="K170" s="2"/>
      <c r="L170" s="2">
        <f t="shared" si="14"/>
        <v>0</v>
      </c>
      <c r="M170" s="2"/>
      <c r="N170" s="19">
        <f t="shared" si="15"/>
        <v>0</v>
      </c>
      <c r="O170" s="11"/>
      <c r="P170" s="2">
        <v>1924.14</v>
      </c>
      <c r="Q170" s="2"/>
      <c r="R170" s="19">
        <f t="shared" si="16"/>
        <v>1.0643644099502028E-4</v>
      </c>
      <c r="S170" s="2"/>
      <c r="T170" s="2"/>
      <c r="U170" s="2"/>
      <c r="V170" s="19">
        <f t="shared" si="17"/>
        <v>0</v>
      </c>
      <c r="W170" s="2"/>
      <c r="X170" s="2">
        <f t="shared" si="18"/>
        <v>1924.14</v>
      </c>
      <c r="Y170" s="2"/>
      <c r="Z170" s="19">
        <f t="shared" si="19"/>
        <v>0</v>
      </c>
    </row>
    <row r="171" spans="1:26" s="24" customFormat="1" hidden="1" outlineLevel="1" x14ac:dyDescent="0.25">
      <c r="A171" s="44"/>
      <c r="B171" s="11" t="str">
        <f>CONCATENATE("          ", "5095", " - ", "PURCHASES @ COST-CUSTOMER SERV")</f>
        <v xml:space="preserve">          5095 - PURCHASES @ COST-CUSTOMER SERV</v>
      </c>
      <c r="C171" s="11"/>
      <c r="D171" s="2"/>
      <c r="E171" s="2"/>
      <c r="F171" s="19">
        <f t="shared" si="12"/>
        <v>0</v>
      </c>
      <c r="G171" s="2"/>
      <c r="H171" s="2"/>
      <c r="I171" s="2"/>
      <c r="J171" s="19">
        <f t="shared" si="13"/>
        <v>0</v>
      </c>
      <c r="K171" s="2"/>
      <c r="L171" s="2">
        <f t="shared" si="14"/>
        <v>0</v>
      </c>
      <c r="M171" s="2"/>
      <c r="N171" s="19">
        <f t="shared" si="15"/>
        <v>0</v>
      </c>
      <c r="O171" s="11"/>
      <c r="P171" s="2">
        <v>0</v>
      </c>
      <c r="Q171" s="2"/>
      <c r="R171" s="19">
        <f t="shared" si="16"/>
        <v>0</v>
      </c>
      <c r="S171" s="2"/>
      <c r="T171" s="2"/>
      <c r="U171" s="2"/>
      <c r="V171" s="19">
        <f t="shared" si="17"/>
        <v>0</v>
      </c>
      <c r="W171" s="2"/>
      <c r="X171" s="2">
        <f t="shared" si="18"/>
        <v>0</v>
      </c>
      <c r="Y171" s="2"/>
      <c r="Z171" s="19">
        <f t="shared" si="19"/>
        <v>0</v>
      </c>
    </row>
    <row r="172" spans="1:26" s="24" customFormat="1" hidden="1" outlineLevel="1" x14ac:dyDescent="0.25">
      <c r="A172" s="44"/>
      <c r="B172" s="11" t="str">
        <f>CONCATENATE("          ", "5200", " - ", "PURCHASES OFFSET")</f>
        <v xml:space="preserve">          5200 - PURCHASES OFFSET</v>
      </c>
      <c r="C172" s="11"/>
      <c r="D172" s="2">
        <v>-422519</v>
      </c>
      <c r="E172" s="2"/>
      <c r="F172" s="19">
        <f t="shared" si="12"/>
        <v>-0.21302536202208711</v>
      </c>
      <c r="G172" s="2"/>
      <c r="H172" s="2"/>
      <c r="I172" s="2"/>
      <c r="J172" s="19">
        <f t="shared" si="13"/>
        <v>0</v>
      </c>
      <c r="K172" s="2"/>
      <c r="L172" s="2">
        <f t="shared" si="14"/>
        <v>-422519</v>
      </c>
      <c r="M172" s="2"/>
      <c r="N172" s="19">
        <f t="shared" si="15"/>
        <v>0</v>
      </c>
      <c r="O172" s="11"/>
      <c r="P172" s="2">
        <v>-4268163</v>
      </c>
      <c r="Q172" s="2"/>
      <c r="R172" s="19">
        <f t="shared" si="16"/>
        <v>-0.23609928555439247</v>
      </c>
      <c r="S172" s="2"/>
      <c r="T172" s="2"/>
      <c r="U172" s="2"/>
      <c r="V172" s="19">
        <f t="shared" si="17"/>
        <v>0</v>
      </c>
      <c r="W172" s="2"/>
      <c r="X172" s="2">
        <f t="shared" si="18"/>
        <v>-4268163</v>
      </c>
      <c r="Y172" s="2"/>
      <c r="Z172" s="19">
        <f t="shared" si="19"/>
        <v>0</v>
      </c>
    </row>
    <row r="173" spans="1:26" s="24" customFormat="1" hidden="1" outlineLevel="1" x14ac:dyDescent="0.25">
      <c r="A173" s="44"/>
      <c r="B173" s="11" t="str">
        <f>CONCATENATE("          ", "5300", " - ", "COG$ OFFSET")</f>
        <v xml:space="preserve">          5300 - COG$ OFFSET</v>
      </c>
      <c r="C173" s="11"/>
      <c r="D173" s="2">
        <v>240738.46999999997</v>
      </c>
      <c r="E173" s="2"/>
      <c r="F173" s="19">
        <f t="shared" si="12"/>
        <v>0.12137536944940548</v>
      </c>
      <c r="G173" s="2"/>
      <c r="H173" s="2"/>
      <c r="I173" s="2"/>
      <c r="J173" s="19">
        <f t="shared" si="13"/>
        <v>0</v>
      </c>
      <c r="K173" s="2"/>
      <c r="L173" s="2">
        <f t="shared" si="14"/>
        <v>240738.46999999997</v>
      </c>
      <c r="M173" s="2"/>
      <c r="N173" s="19">
        <f t="shared" si="15"/>
        <v>0</v>
      </c>
      <c r="O173" s="11"/>
      <c r="P173" s="2">
        <v>3920135.4699999997</v>
      </c>
      <c r="Q173" s="2"/>
      <c r="R173" s="19">
        <f t="shared" si="16"/>
        <v>0.21684766578582693</v>
      </c>
      <c r="S173" s="2"/>
      <c r="T173" s="2"/>
      <c r="U173" s="2"/>
      <c r="V173" s="19">
        <f t="shared" si="17"/>
        <v>0</v>
      </c>
      <c r="W173" s="2"/>
      <c r="X173" s="2">
        <f t="shared" si="18"/>
        <v>3920135.4699999997</v>
      </c>
      <c r="Y173" s="2"/>
      <c r="Z173" s="19">
        <f t="shared" si="19"/>
        <v>0</v>
      </c>
    </row>
    <row r="174" spans="1:26" s="24" customFormat="1" hidden="1" outlineLevel="1" x14ac:dyDescent="0.25">
      <c r="A174" s="44"/>
      <c r="B174" s="11" t="str">
        <f>CONCATENATE("          ", "5500", " - ", "FREIGHT-IN")</f>
        <v xml:space="preserve">          5500 - FREIGHT-IN</v>
      </c>
      <c r="C174" s="11"/>
      <c r="D174" s="2">
        <v>80</v>
      </c>
      <c r="E174" s="2"/>
      <c r="F174" s="19">
        <f t="shared" si="12"/>
        <v>4.033434937071935E-5</v>
      </c>
      <c r="G174" s="2"/>
      <c r="H174" s="2"/>
      <c r="I174" s="2"/>
      <c r="J174" s="19">
        <f t="shared" si="13"/>
        <v>0</v>
      </c>
      <c r="K174" s="2"/>
      <c r="L174" s="2">
        <f t="shared" si="14"/>
        <v>80</v>
      </c>
      <c r="M174" s="2"/>
      <c r="N174" s="19">
        <f t="shared" si="15"/>
        <v>0</v>
      </c>
      <c r="O174" s="11"/>
      <c r="P174" s="2">
        <v>115.23</v>
      </c>
      <c r="Q174" s="2"/>
      <c r="R174" s="19">
        <f t="shared" si="16"/>
        <v>6.3741053643997768E-6</v>
      </c>
      <c r="S174" s="2"/>
      <c r="T174" s="2"/>
      <c r="U174" s="2"/>
      <c r="V174" s="19">
        <f t="shared" si="17"/>
        <v>0</v>
      </c>
      <c r="W174" s="2"/>
      <c r="X174" s="2">
        <f t="shared" si="18"/>
        <v>115.23</v>
      </c>
      <c r="Y174" s="2"/>
      <c r="Z174" s="19">
        <f t="shared" si="19"/>
        <v>0</v>
      </c>
    </row>
    <row r="175" spans="1:26" s="24" customFormat="1" hidden="1" outlineLevel="1" x14ac:dyDescent="0.25">
      <c r="A175" s="44"/>
      <c r="B175" s="11" t="str">
        <f>CONCATENATE("          ", "5501", " - ", "FREIGHT-IN-NEW TEXT")</f>
        <v xml:space="preserve">          5501 - FREIGHT-IN-NEW TEXT</v>
      </c>
      <c r="C175" s="11"/>
      <c r="D175" s="2">
        <v>4162.3900000000003</v>
      </c>
      <c r="E175" s="2"/>
      <c r="F175" s="19">
        <f t="shared" si="12"/>
        <v>2.0985911559648568E-3</v>
      </c>
      <c r="G175" s="2"/>
      <c r="H175" s="2"/>
      <c r="I175" s="2"/>
      <c r="J175" s="19">
        <f t="shared" si="13"/>
        <v>0</v>
      </c>
      <c r="K175" s="2"/>
      <c r="L175" s="2">
        <f t="shared" si="14"/>
        <v>4162.3900000000003</v>
      </c>
      <c r="M175" s="2"/>
      <c r="N175" s="19">
        <f t="shared" si="15"/>
        <v>0</v>
      </c>
      <c r="O175" s="11"/>
      <c r="P175" s="2">
        <v>38669.939999999995</v>
      </c>
      <c r="Q175" s="2"/>
      <c r="R175" s="19">
        <f t="shared" si="16"/>
        <v>2.1390807254622708E-3</v>
      </c>
      <c r="S175" s="2"/>
      <c r="T175" s="2"/>
      <c r="U175" s="2"/>
      <c r="V175" s="19">
        <f t="shared" si="17"/>
        <v>0</v>
      </c>
      <c r="W175" s="2"/>
      <c r="X175" s="2">
        <f t="shared" si="18"/>
        <v>38669.939999999995</v>
      </c>
      <c r="Y175" s="2"/>
      <c r="Z175" s="19">
        <f t="shared" si="19"/>
        <v>0</v>
      </c>
    </row>
    <row r="176" spans="1:26" s="24" customFormat="1" hidden="1" outlineLevel="1" x14ac:dyDescent="0.25">
      <c r="A176" s="44"/>
      <c r="B176" s="11" t="str">
        <f>CONCATENATE("          ", "5502", " - ", "FREIGHT-IN-USED TEXT")</f>
        <v xml:space="preserve">          5502 - FREIGHT-IN-USED TEXT</v>
      </c>
      <c r="C176" s="11"/>
      <c r="D176" s="2">
        <v>563.29999999999995</v>
      </c>
      <c r="E176" s="2"/>
      <c r="F176" s="19">
        <f t="shared" si="12"/>
        <v>2.8400423750657758E-4</v>
      </c>
      <c r="G176" s="2"/>
      <c r="H176" s="2"/>
      <c r="I176" s="2"/>
      <c r="J176" s="19">
        <f t="shared" si="13"/>
        <v>0</v>
      </c>
      <c r="K176" s="2"/>
      <c r="L176" s="2">
        <f t="shared" si="14"/>
        <v>563.29999999999995</v>
      </c>
      <c r="M176" s="2"/>
      <c r="N176" s="19">
        <f t="shared" si="15"/>
        <v>0</v>
      </c>
      <c r="O176" s="11"/>
      <c r="P176" s="2">
        <v>7653.42</v>
      </c>
      <c r="Q176" s="2"/>
      <c r="R176" s="19">
        <f t="shared" si="16"/>
        <v>4.2335941575982413E-4</v>
      </c>
      <c r="S176" s="2"/>
      <c r="T176" s="2"/>
      <c r="U176" s="2"/>
      <c r="V176" s="19">
        <f t="shared" si="17"/>
        <v>0</v>
      </c>
      <c r="W176" s="2"/>
      <c r="X176" s="2">
        <f t="shared" si="18"/>
        <v>7653.42</v>
      </c>
      <c r="Y176" s="2"/>
      <c r="Z176" s="19">
        <f t="shared" si="19"/>
        <v>0</v>
      </c>
    </row>
    <row r="177" spans="1:26" s="24" customFormat="1" hidden="1" outlineLevel="1" x14ac:dyDescent="0.25">
      <c r="A177" s="44"/>
      <c r="B177" s="11" t="str">
        <f>CONCATENATE("          ", "5504", " - ", "FREIGHT-IN-DIGITAL TEXT")</f>
        <v xml:space="preserve">          5504 - FREIGHT-IN-DIGITAL TEXT</v>
      </c>
      <c r="C177" s="11"/>
      <c r="D177" s="2"/>
      <c r="E177" s="2"/>
      <c r="F177" s="19">
        <f t="shared" si="12"/>
        <v>0</v>
      </c>
      <c r="G177" s="2"/>
      <c r="H177" s="2"/>
      <c r="I177" s="2"/>
      <c r="J177" s="19">
        <f t="shared" si="13"/>
        <v>0</v>
      </c>
      <c r="K177" s="2"/>
      <c r="L177" s="2">
        <f t="shared" si="14"/>
        <v>0</v>
      </c>
      <c r="M177" s="2"/>
      <c r="N177" s="19">
        <f t="shared" si="15"/>
        <v>0</v>
      </c>
      <c r="O177" s="11"/>
      <c r="P177" s="2">
        <v>105.97</v>
      </c>
      <c r="Q177" s="2"/>
      <c r="R177" s="19">
        <f t="shared" si="16"/>
        <v>5.8618757742379961E-6</v>
      </c>
      <c r="S177" s="2"/>
      <c r="T177" s="2"/>
      <c r="U177" s="2"/>
      <c r="V177" s="19">
        <f t="shared" si="17"/>
        <v>0</v>
      </c>
      <c r="W177" s="2"/>
      <c r="X177" s="2">
        <f t="shared" si="18"/>
        <v>105.97</v>
      </c>
      <c r="Y177" s="2"/>
      <c r="Z177" s="19">
        <f t="shared" si="19"/>
        <v>0</v>
      </c>
    </row>
    <row r="178" spans="1:26" s="24" customFormat="1" hidden="1" outlineLevel="1" x14ac:dyDescent="0.25">
      <c r="A178" s="44"/>
      <c r="B178" s="11" t="str">
        <f>CONCATENATE("          ", "5513", " - ", "FREIGHT-IN-TRADE BOOKS")</f>
        <v xml:space="preserve">          5513 - FREIGHT-IN-TRADE BOOKS</v>
      </c>
      <c r="C178" s="11"/>
      <c r="D178" s="2">
        <v>9.08</v>
      </c>
      <c r="E178" s="2"/>
      <c r="F178" s="19">
        <f t="shared" si="12"/>
        <v>4.5779486535766465E-6</v>
      </c>
      <c r="G178" s="2"/>
      <c r="H178" s="2"/>
      <c r="I178" s="2"/>
      <c r="J178" s="19">
        <f t="shared" si="13"/>
        <v>0</v>
      </c>
      <c r="K178" s="2"/>
      <c r="L178" s="2">
        <f t="shared" si="14"/>
        <v>9.08</v>
      </c>
      <c r="M178" s="2"/>
      <c r="N178" s="19">
        <f t="shared" si="15"/>
        <v>0</v>
      </c>
      <c r="O178" s="11"/>
      <c r="P178" s="2">
        <v>21.41</v>
      </c>
      <c r="Q178" s="2"/>
      <c r="R178" s="19">
        <f t="shared" si="16"/>
        <v>1.1843234908600124E-6</v>
      </c>
      <c r="S178" s="2"/>
      <c r="T178" s="2"/>
      <c r="U178" s="2"/>
      <c r="V178" s="19">
        <f t="shared" si="17"/>
        <v>0</v>
      </c>
      <c r="W178" s="2"/>
      <c r="X178" s="2">
        <f t="shared" si="18"/>
        <v>21.41</v>
      </c>
      <c r="Y178" s="2"/>
      <c r="Z178" s="19">
        <f t="shared" si="19"/>
        <v>0</v>
      </c>
    </row>
    <row r="179" spans="1:26" s="24" customFormat="1" hidden="1" outlineLevel="1" x14ac:dyDescent="0.25">
      <c r="A179" s="44"/>
      <c r="B179" s="11" t="str">
        <f>CONCATENATE("          ", "5518", " - ", "FREIGHT-IN-STUDY GUIDES")</f>
        <v xml:space="preserve">          5518 - FREIGHT-IN-STUDY GUIDES</v>
      </c>
      <c r="C179" s="11"/>
      <c r="D179" s="2">
        <v>8.8699999999999992</v>
      </c>
      <c r="E179" s="2"/>
      <c r="F179" s="19">
        <f t="shared" si="12"/>
        <v>4.4720709864785079E-6</v>
      </c>
      <c r="G179" s="2"/>
      <c r="H179" s="2"/>
      <c r="I179" s="2"/>
      <c r="J179" s="19">
        <f t="shared" si="13"/>
        <v>0</v>
      </c>
      <c r="K179" s="2"/>
      <c r="L179" s="2">
        <f t="shared" si="14"/>
        <v>8.8699999999999992</v>
      </c>
      <c r="M179" s="2"/>
      <c r="N179" s="19">
        <f t="shared" si="15"/>
        <v>0</v>
      </c>
      <c r="O179" s="11"/>
      <c r="P179" s="2">
        <v>21.13</v>
      </c>
      <c r="Q179" s="2"/>
      <c r="R179" s="19">
        <f t="shared" si="16"/>
        <v>1.1688349071402177E-6</v>
      </c>
      <c r="S179" s="2"/>
      <c r="T179" s="2"/>
      <c r="U179" s="2"/>
      <c r="V179" s="19">
        <f t="shared" si="17"/>
        <v>0</v>
      </c>
      <c r="W179" s="2"/>
      <c r="X179" s="2">
        <f t="shared" si="18"/>
        <v>21.13</v>
      </c>
      <c r="Y179" s="2"/>
      <c r="Z179" s="19">
        <f t="shared" si="19"/>
        <v>0</v>
      </c>
    </row>
    <row r="180" spans="1:26" s="24" customFormat="1" hidden="1" outlineLevel="1" x14ac:dyDescent="0.25">
      <c r="A180" s="44"/>
      <c r="B180" s="11" t="str">
        <f>CONCATENATE("          ", "5525", " - ", "FREIGHT-IN-TEST FORMS")</f>
        <v xml:space="preserve">          5525 - FREIGHT-IN-TEST FORMS</v>
      </c>
      <c r="C180" s="11"/>
      <c r="D180" s="2">
        <v>247.49</v>
      </c>
      <c r="E180" s="2"/>
      <c r="F180" s="19">
        <f t="shared" si="12"/>
        <v>1.2477935157199164E-4</v>
      </c>
      <c r="G180" s="2"/>
      <c r="H180" s="2"/>
      <c r="I180" s="2"/>
      <c r="J180" s="19">
        <f t="shared" si="13"/>
        <v>0</v>
      </c>
      <c r="K180" s="2"/>
      <c r="L180" s="2">
        <f t="shared" si="14"/>
        <v>247.49</v>
      </c>
      <c r="M180" s="2"/>
      <c r="N180" s="19">
        <f t="shared" si="15"/>
        <v>0</v>
      </c>
      <c r="O180" s="11"/>
      <c r="P180" s="2">
        <v>622.41</v>
      </c>
      <c r="Q180" s="2"/>
      <c r="R180" s="19">
        <f t="shared" si="16"/>
        <v>3.4429462117990669E-5</v>
      </c>
      <c r="S180" s="2"/>
      <c r="T180" s="2"/>
      <c r="U180" s="2"/>
      <c r="V180" s="19">
        <f t="shared" si="17"/>
        <v>0</v>
      </c>
      <c r="W180" s="2"/>
      <c r="X180" s="2">
        <f t="shared" si="18"/>
        <v>622.41</v>
      </c>
      <c r="Y180" s="2"/>
      <c r="Z180" s="19">
        <f t="shared" si="19"/>
        <v>0</v>
      </c>
    </row>
    <row r="181" spans="1:26" s="24" customFormat="1" hidden="1" outlineLevel="1" x14ac:dyDescent="0.25">
      <c r="A181" s="44"/>
      <c r="B181" s="11" t="str">
        <f>CONCATENATE("          ", "5526", " - ", "FREIGHT-IN-WRITING INSTRUMENTS")</f>
        <v xml:space="preserve">          5526 - FREIGHT-IN-WRITING INSTRUMENTS</v>
      </c>
      <c r="C181" s="11"/>
      <c r="D181" s="2">
        <v>42.86</v>
      </c>
      <c r="E181" s="2"/>
      <c r="F181" s="19">
        <f t="shared" si="12"/>
        <v>2.1609127675362893E-5</v>
      </c>
      <c r="G181" s="2"/>
      <c r="H181" s="2"/>
      <c r="I181" s="2"/>
      <c r="J181" s="19">
        <f t="shared" si="13"/>
        <v>0</v>
      </c>
      <c r="K181" s="2"/>
      <c r="L181" s="2">
        <f t="shared" si="14"/>
        <v>42.86</v>
      </c>
      <c r="M181" s="2"/>
      <c r="N181" s="19">
        <f t="shared" si="15"/>
        <v>0</v>
      </c>
      <c r="O181" s="11"/>
      <c r="P181" s="2">
        <v>260.35000000000002</v>
      </c>
      <c r="Q181" s="2"/>
      <c r="R181" s="19">
        <f t="shared" si="16"/>
        <v>1.4401617040887633E-5</v>
      </c>
      <c r="S181" s="2"/>
      <c r="T181" s="2"/>
      <c r="U181" s="2"/>
      <c r="V181" s="19">
        <f t="shared" si="17"/>
        <v>0</v>
      </c>
      <c r="W181" s="2"/>
      <c r="X181" s="2">
        <f t="shared" si="18"/>
        <v>260.35000000000002</v>
      </c>
      <c r="Y181" s="2"/>
      <c r="Z181" s="19">
        <f t="shared" si="19"/>
        <v>0</v>
      </c>
    </row>
    <row r="182" spans="1:26" s="24" customFormat="1" hidden="1" outlineLevel="1" x14ac:dyDescent="0.25">
      <c r="A182" s="44"/>
      <c r="B182" s="11" t="str">
        <f>CONCATENATE("          ", "5527", " - ", "FREIGHT-IN-SCHOOL SUPPLIES")</f>
        <v xml:space="preserve">          5527 - FREIGHT-IN-SCHOOL SUPPLIES</v>
      </c>
      <c r="C182" s="11"/>
      <c r="D182" s="2">
        <v>25.34</v>
      </c>
      <c r="E182" s="2"/>
      <c r="F182" s="19">
        <f t="shared" si="12"/>
        <v>1.2775905163175354E-5</v>
      </c>
      <c r="G182" s="2"/>
      <c r="H182" s="2"/>
      <c r="I182" s="2"/>
      <c r="J182" s="19">
        <f t="shared" si="13"/>
        <v>0</v>
      </c>
      <c r="K182" s="2"/>
      <c r="L182" s="2">
        <f t="shared" si="14"/>
        <v>25.34</v>
      </c>
      <c r="M182" s="2"/>
      <c r="N182" s="19">
        <f t="shared" si="15"/>
        <v>0</v>
      </c>
      <c r="O182" s="11"/>
      <c r="P182" s="2">
        <v>897.92</v>
      </c>
      <c r="Q182" s="2"/>
      <c r="R182" s="19">
        <f t="shared" si="16"/>
        <v>4.9669675334564321E-5</v>
      </c>
      <c r="S182" s="2"/>
      <c r="T182" s="2"/>
      <c r="U182" s="2"/>
      <c r="V182" s="19">
        <f t="shared" si="17"/>
        <v>0</v>
      </c>
      <c r="W182" s="2"/>
      <c r="X182" s="2">
        <f t="shared" si="18"/>
        <v>897.92</v>
      </c>
      <c r="Y182" s="2"/>
      <c r="Z182" s="19">
        <f t="shared" si="19"/>
        <v>0</v>
      </c>
    </row>
    <row r="183" spans="1:26" s="24" customFormat="1" hidden="1" outlineLevel="1" x14ac:dyDescent="0.25">
      <c r="A183" s="44"/>
      <c r="B183" s="11" t="str">
        <f>CONCATENATE("          ", "5528", " - ", "FREIGHT-IN-ART/TECH")</f>
        <v xml:space="preserve">          5528 - FREIGHT-IN-ART/TECH</v>
      </c>
      <c r="C183" s="11"/>
      <c r="D183" s="2">
        <v>187.14</v>
      </c>
      <c r="E183" s="2"/>
      <c r="F183" s="19">
        <f t="shared" si="12"/>
        <v>9.4352126765455237E-5</v>
      </c>
      <c r="G183" s="2"/>
      <c r="H183" s="2"/>
      <c r="I183" s="2"/>
      <c r="J183" s="19">
        <f t="shared" si="13"/>
        <v>0</v>
      </c>
      <c r="K183" s="2"/>
      <c r="L183" s="2">
        <f t="shared" si="14"/>
        <v>187.14</v>
      </c>
      <c r="M183" s="2"/>
      <c r="N183" s="19">
        <f t="shared" si="15"/>
        <v>0</v>
      </c>
      <c r="O183" s="11"/>
      <c r="P183" s="2">
        <v>1110.6400000000001</v>
      </c>
      <c r="Q183" s="2"/>
      <c r="R183" s="19">
        <f t="shared" si="16"/>
        <v>6.143657365197404E-5</v>
      </c>
      <c r="S183" s="2"/>
      <c r="T183" s="2"/>
      <c r="U183" s="2"/>
      <c r="V183" s="19">
        <f t="shared" si="17"/>
        <v>0</v>
      </c>
      <c r="W183" s="2"/>
      <c r="X183" s="2">
        <f t="shared" si="18"/>
        <v>1110.6400000000001</v>
      </c>
      <c r="Y183" s="2"/>
      <c r="Z183" s="19">
        <f t="shared" si="19"/>
        <v>0</v>
      </c>
    </row>
    <row r="184" spans="1:26" s="24" customFormat="1" hidden="1" outlineLevel="1" x14ac:dyDescent="0.25">
      <c r="A184" s="44"/>
      <c r="B184" s="11" t="str">
        <f>CONCATENATE("          ", "5540", " - ", "FREIGHT-IN-LOGO CLOTHING")</f>
        <v xml:space="preserve">          5540 - FREIGHT-IN-LOGO CLOTHING</v>
      </c>
      <c r="C184" s="11"/>
      <c r="D184" s="2">
        <v>4036.06</v>
      </c>
      <c r="E184" s="2"/>
      <c r="F184" s="19">
        <f t="shared" si="12"/>
        <v>2.0348981765148191E-3</v>
      </c>
      <c r="G184" s="2"/>
      <c r="H184" s="2"/>
      <c r="I184" s="2"/>
      <c r="J184" s="19">
        <f t="shared" si="13"/>
        <v>0</v>
      </c>
      <c r="K184" s="2"/>
      <c r="L184" s="2">
        <f t="shared" si="14"/>
        <v>4036.06</v>
      </c>
      <c r="M184" s="2"/>
      <c r="N184" s="19">
        <f t="shared" si="15"/>
        <v>0</v>
      </c>
      <c r="O184" s="11"/>
      <c r="P184" s="2">
        <v>24277.390000000003</v>
      </c>
      <c r="Q184" s="2"/>
      <c r="R184" s="19">
        <f t="shared" si="16"/>
        <v>1.3429370982610909E-3</v>
      </c>
      <c r="S184" s="2"/>
      <c r="T184" s="2"/>
      <c r="U184" s="2"/>
      <c r="V184" s="19">
        <f t="shared" si="17"/>
        <v>0</v>
      </c>
      <c r="W184" s="2"/>
      <c r="X184" s="2">
        <f t="shared" si="18"/>
        <v>24277.390000000003</v>
      </c>
      <c r="Y184" s="2"/>
      <c r="Z184" s="19">
        <f t="shared" si="19"/>
        <v>0</v>
      </c>
    </row>
    <row r="185" spans="1:26" s="24" customFormat="1" hidden="1" outlineLevel="1" x14ac:dyDescent="0.25">
      <c r="A185" s="44"/>
      <c r="B185" s="11" t="str">
        <f>CONCATENATE("          ", "5541", " - ", "FREIGHT-IN-LOGO GIFTS")</f>
        <v xml:space="preserve">          5541 - FREIGHT-IN-LOGO GIFTS</v>
      </c>
      <c r="C185" s="11"/>
      <c r="D185" s="2">
        <v>709.94</v>
      </c>
      <c r="E185" s="2"/>
      <c r="F185" s="19">
        <f t="shared" si="12"/>
        <v>3.5793709990310625E-4</v>
      </c>
      <c r="G185" s="2"/>
      <c r="H185" s="2"/>
      <c r="I185" s="2"/>
      <c r="J185" s="19">
        <f t="shared" si="13"/>
        <v>0</v>
      </c>
      <c r="K185" s="2"/>
      <c r="L185" s="2">
        <f t="shared" si="14"/>
        <v>709.94</v>
      </c>
      <c r="M185" s="2"/>
      <c r="N185" s="19">
        <f t="shared" si="15"/>
        <v>0</v>
      </c>
      <c r="O185" s="11"/>
      <c r="P185" s="2">
        <v>3562.77</v>
      </c>
      <c r="Q185" s="2"/>
      <c r="R185" s="19">
        <f t="shared" si="16"/>
        <v>1.970795050691885E-4</v>
      </c>
      <c r="S185" s="2"/>
      <c r="T185" s="2"/>
      <c r="U185" s="2"/>
      <c r="V185" s="19">
        <f t="shared" si="17"/>
        <v>0</v>
      </c>
      <c r="W185" s="2"/>
      <c r="X185" s="2">
        <f t="shared" si="18"/>
        <v>3562.77</v>
      </c>
      <c r="Y185" s="2"/>
      <c r="Z185" s="19">
        <f t="shared" si="19"/>
        <v>0</v>
      </c>
    </row>
    <row r="186" spans="1:26" s="24" customFormat="1" hidden="1" outlineLevel="1" x14ac:dyDescent="0.25">
      <c r="A186" s="44"/>
      <c r="B186" s="11" t="str">
        <f>CONCATENATE("          ", "5542", " - ", "FREIGHT-IN-EVERYDAY GIFTS")</f>
        <v xml:space="preserve">          5542 - FREIGHT-IN-EVERYDAY GIFTS</v>
      </c>
      <c r="C186" s="11"/>
      <c r="D186" s="2">
        <v>194.82</v>
      </c>
      <c r="E186" s="2"/>
      <c r="F186" s="19">
        <f t="shared" si="12"/>
        <v>9.8224224305044292E-5</v>
      </c>
      <c r="G186" s="2"/>
      <c r="H186" s="2"/>
      <c r="I186" s="2"/>
      <c r="J186" s="19">
        <f t="shared" si="13"/>
        <v>0</v>
      </c>
      <c r="K186" s="2"/>
      <c r="L186" s="2">
        <f t="shared" si="14"/>
        <v>194.82</v>
      </c>
      <c r="M186" s="2"/>
      <c r="N186" s="19">
        <f t="shared" si="15"/>
        <v>0</v>
      </c>
      <c r="O186" s="11"/>
      <c r="P186" s="2">
        <v>1708.33</v>
      </c>
      <c r="Q186" s="2"/>
      <c r="R186" s="19">
        <f t="shared" si="16"/>
        <v>9.4498615092988535E-5</v>
      </c>
      <c r="S186" s="2"/>
      <c r="T186" s="2"/>
      <c r="U186" s="2"/>
      <c r="V186" s="19">
        <f t="shared" si="17"/>
        <v>0</v>
      </c>
      <c r="W186" s="2"/>
      <c r="X186" s="2">
        <f t="shared" si="18"/>
        <v>1708.33</v>
      </c>
      <c r="Y186" s="2"/>
      <c r="Z186" s="19">
        <f t="shared" si="19"/>
        <v>0</v>
      </c>
    </row>
    <row r="187" spans="1:26" s="24" customFormat="1" hidden="1" outlineLevel="1" x14ac:dyDescent="0.25">
      <c r="A187" s="44"/>
      <c r="B187" s="11" t="str">
        <f>CONCATENATE("          ", "5543", " - ", "FREIGHT-IN-CARDS")</f>
        <v xml:space="preserve">          5543 - FREIGHT-IN-CARDS</v>
      </c>
      <c r="C187" s="11"/>
      <c r="D187" s="2">
        <v>77.760000000000005</v>
      </c>
      <c r="E187" s="2"/>
      <c r="F187" s="19">
        <f t="shared" si="12"/>
        <v>3.9204987588339211E-5</v>
      </c>
      <c r="G187" s="2"/>
      <c r="H187" s="2"/>
      <c r="I187" s="2"/>
      <c r="J187" s="19">
        <f t="shared" si="13"/>
        <v>0</v>
      </c>
      <c r="K187" s="2"/>
      <c r="L187" s="2">
        <f t="shared" si="14"/>
        <v>77.760000000000005</v>
      </c>
      <c r="M187" s="2"/>
      <c r="N187" s="19">
        <f t="shared" si="15"/>
        <v>0</v>
      </c>
      <c r="O187" s="11"/>
      <c r="P187" s="2">
        <v>121.35</v>
      </c>
      <c r="Q187" s="2"/>
      <c r="R187" s="19">
        <f t="shared" si="16"/>
        <v>6.712641551418145E-6</v>
      </c>
      <c r="S187" s="2"/>
      <c r="T187" s="2"/>
      <c r="U187" s="2"/>
      <c r="V187" s="19">
        <f t="shared" si="17"/>
        <v>0</v>
      </c>
      <c r="W187" s="2"/>
      <c r="X187" s="2">
        <f t="shared" si="18"/>
        <v>121.35</v>
      </c>
      <c r="Y187" s="2"/>
      <c r="Z187" s="19">
        <f t="shared" si="19"/>
        <v>0</v>
      </c>
    </row>
    <row r="188" spans="1:26" s="24" customFormat="1" hidden="1" outlineLevel="1" x14ac:dyDescent="0.25">
      <c r="A188" s="44"/>
      <c r="B188" s="11" t="str">
        <f>CONCATENATE("          ", "5544", " - ", "FREIGHT-IN-ACCESSORIES")</f>
        <v xml:space="preserve">          5544 - FREIGHT-IN-ACCESSORIES</v>
      </c>
      <c r="C188" s="11"/>
      <c r="D188" s="2">
        <v>28.4</v>
      </c>
      <c r="E188" s="2"/>
      <c r="F188" s="19">
        <f t="shared" si="12"/>
        <v>1.4318694026605368E-5</v>
      </c>
      <c r="G188" s="2"/>
      <c r="H188" s="2"/>
      <c r="I188" s="2"/>
      <c r="J188" s="19">
        <f t="shared" si="13"/>
        <v>0</v>
      </c>
      <c r="K188" s="2"/>
      <c r="L188" s="2">
        <f t="shared" si="14"/>
        <v>28.4</v>
      </c>
      <c r="M188" s="2"/>
      <c r="N188" s="19">
        <f t="shared" si="15"/>
        <v>0</v>
      </c>
      <c r="O188" s="11"/>
      <c r="P188" s="2">
        <v>442.31</v>
      </c>
      <c r="Q188" s="2"/>
      <c r="R188" s="19">
        <f t="shared" si="16"/>
        <v>2.4466983803937041E-5</v>
      </c>
      <c r="S188" s="2"/>
      <c r="T188" s="2"/>
      <c r="U188" s="2"/>
      <c r="V188" s="19">
        <f t="shared" si="17"/>
        <v>0</v>
      </c>
      <c r="W188" s="2"/>
      <c r="X188" s="2">
        <f t="shared" si="18"/>
        <v>442.31</v>
      </c>
      <c r="Y188" s="2"/>
      <c r="Z188" s="19">
        <f t="shared" si="19"/>
        <v>0</v>
      </c>
    </row>
    <row r="189" spans="1:26" s="24" customFormat="1" hidden="1" outlineLevel="1" x14ac:dyDescent="0.25">
      <c r="A189" s="44"/>
      <c r="B189" s="11" t="str">
        <f>CONCATENATE("          ", "5545", " - ", "FREIGHT-IN-SPECIAL ORDERS")</f>
        <v xml:space="preserve">          5545 - FREIGHT-IN-SPECIAL ORDERS</v>
      </c>
      <c r="C189" s="11"/>
      <c r="D189" s="2">
        <v>322.61</v>
      </c>
      <c r="E189" s="2"/>
      <c r="F189" s="19">
        <f t="shared" si="12"/>
        <v>1.6265330563109713E-4</v>
      </c>
      <c r="G189" s="2"/>
      <c r="H189" s="2"/>
      <c r="I189" s="2"/>
      <c r="J189" s="19">
        <f t="shared" si="13"/>
        <v>0</v>
      </c>
      <c r="K189" s="2"/>
      <c r="L189" s="2">
        <f t="shared" si="14"/>
        <v>322.61</v>
      </c>
      <c r="M189" s="2"/>
      <c r="N189" s="19">
        <f t="shared" si="15"/>
        <v>0</v>
      </c>
      <c r="O189" s="11"/>
      <c r="P189" s="2">
        <v>827.67</v>
      </c>
      <c r="Q189" s="2"/>
      <c r="R189" s="19">
        <f t="shared" si="16"/>
        <v>4.5783700312008699E-5</v>
      </c>
      <c r="S189" s="2"/>
      <c r="T189" s="2"/>
      <c r="U189" s="2"/>
      <c r="V189" s="19">
        <f t="shared" si="17"/>
        <v>0</v>
      </c>
      <c r="W189" s="2"/>
      <c r="X189" s="2">
        <f t="shared" si="18"/>
        <v>827.67</v>
      </c>
      <c r="Y189" s="2"/>
      <c r="Z189" s="19">
        <f t="shared" si="19"/>
        <v>0</v>
      </c>
    </row>
    <row r="190" spans="1:26" s="24" customFormat="1" hidden="1" outlineLevel="1" x14ac:dyDescent="0.25">
      <c r="A190" s="44"/>
      <c r="B190" s="11" t="str">
        <f>CONCATENATE("          ", "5581", " - ", "FREIGHT-IN-ELECTRONICS")</f>
        <v xml:space="preserve">          5581 - FREIGHT-IN-ELECTRONICS</v>
      </c>
      <c r="C190" s="11"/>
      <c r="D190" s="2"/>
      <c r="E190" s="2"/>
      <c r="F190" s="19">
        <f t="shared" si="12"/>
        <v>0</v>
      </c>
      <c r="G190" s="2"/>
      <c r="H190" s="2"/>
      <c r="I190" s="2"/>
      <c r="J190" s="19">
        <f t="shared" si="13"/>
        <v>0</v>
      </c>
      <c r="K190" s="2"/>
      <c r="L190" s="2">
        <f t="shared" si="14"/>
        <v>0</v>
      </c>
      <c r="M190" s="2"/>
      <c r="N190" s="19">
        <f t="shared" si="15"/>
        <v>0</v>
      </c>
      <c r="O190" s="11"/>
      <c r="P190" s="2">
        <v>105.75</v>
      </c>
      <c r="Q190" s="2"/>
      <c r="R190" s="19">
        <f t="shared" si="16"/>
        <v>5.849706172743872E-6</v>
      </c>
      <c r="S190" s="2"/>
      <c r="T190" s="2"/>
      <c r="U190" s="2"/>
      <c r="V190" s="19">
        <f t="shared" si="17"/>
        <v>0</v>
      </c>
      <c r="W190" s="2"/>
      <c r="X190" s="2">
        <f t="shared" si="18"/>
        <v>105.75</v>
      </c>
      <c r="Y190" s="2"/>
      <c r="Z190" s="19">
        <f t="shared" si="19"/>
        <v>0</v>
      </c>
    </row>
    <row r="191" spans="1:26" s="24" customFormat="1" hidden="1" outlineLevel="1" x14ac:dyDescent="0.25">
      <c r="A191" s="44"/>
      <c r="B191" s="11" t="str">
        <f>CONCATENATE("          ", "5582", " - ", "FREIGHT-IN-COMPUTER HARDWARE")</f>
        <v xml:space="preserve">          5582 - FREIGHT-IN-COMPUTER HARDWARE</v>
      </c>
      <c r="C191" s="11"/>
      <c r="D191" s="2"/>
      <c r="E191" s="2"/>
      <c r="F191" s="19">
        <f t="shared" si="12"/>
        <v>0</v>
      </c>
      <c r="G191" s="2"/>
      <c r="H191" s="2"/>
      <c r="I191" s="2"/>
      <c r="J191" s="19">
        <f t="shared" si="13"/>
        <v>0</v>
      </c>
      <c r="K191" s="2"/>
      <c r="L191" s="2">
        <f t="shared" si="14"/>
        <v>0</v>
      </c>
      <c r="M191" s="2"/>
      <c r="N191" s="19">
        <f t="shared" si="15"/>
        <v>0</v>
      </c>
      <c r="O191" s="11"/>
      <c r="P191" s="2">
        <v>4.84</v>
      </c>
      <c r="Q191" s="2"/>
      <c r="R191" s="19">
        <f t="shared" si="16"/>
        <v>2.6773123287073605E-7</v>
      </c>
      <c r="S191" s="2"/>
      <c r="T191" s="2"/>
      <c r="U191" s="2"/>
      <c r="V191" s="19">
        <f t="shared" si="17"/>
        <v>0</v>
      </c>
      <c r="W191" s="2"/>
      <c r="X191" s="2">
        <f t="shared" si="18"/>
        <v>4.84</v>
      </c>
      <c r="Y191" s="2"/>
      <c r="Z191" s="19">
        <f t="shared" si="19"/>
        <v>0</v>
      </c>
    </row>
    <row r="192" spans="1:26" s="24" customFormat="1" hidden="1" outlineLevel="1" x14ac:dyDescent="0.25">
      <c r="A192" s="44"/>
      <c r="B192" s="11" t="str">
        <f>CONCATENATE("          ", "5583", " - ", "FREIGHT-IN-COMPUTER EQUIPMENT")</f>
        <v xml:space="preserve">          5583 - FREIGHT-IN-COMPUTER EQUIPMENT</v>
      </c>
      <c r="C192" s="11"/>
      <c r="D192" s="2">
        <v>8.1199999999999992</v>
      </c>
      <c r="E192" s="2"/>
      <c r="F192" s="19">
        <f t="shared" si="12"/>
        <v>4.0939364611280137E-6</v>
      </c>
      <c r="G192" s="2"/>
      <c r="H192" s="2"/>
      <c r="I192" s="2"/>
      <c r="J192" s="19">
        <f t="shared" si="13"/>
        <v>0</v>
      </c>
      <c r="K192" s="2"/>
      <c r="L192" s="2">
        <f t="shared" si="14"/>
        <v>8.1199999999999992</v>
      </c>
      <c r="M192" s="2"/>
      <c r="N192" s="19">
        <f t="shared" si="15"/>
        <v>0</v>
      </c>
      <c r="O192" s="11"/>
      <c r="P192" s="2">
        <v>49.12</v>
      </c>
      <c r="Q192" s="2"/>
      <c r="R192" s="19">
        <f t="shared" si="16"/>
        <v>2.7171401154154042E-6</v>
      </c>
      <c r="S192" s="2"/>
      <c r="T192" s="2"/>
      <c r="U192" s="2"/>
      <c r="V192" s="19">
        <f t="shared" si="17"/>
        <v>0</v>
      </c>
      <c r="W192" s="2"/>
      <c r="X192" s="2">
        <f t="shared" si="18"/>
        <v>49.12</v>
      </c>
      <c r="Y192" s="2"/>
      <c r="Z192" s="19">
        <f t="shared" si="19"/>
        <v>0</v>
      </c>
    </row>
    <row r="193" spans="1:26" s="24" customFormat="1" hidden="1" outlineLevel="1" x14ac:dyDescent="0.2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/>
      <c r="E193" s="2"/>
      <c r="F193" s="19">
        <f t="shared" si="12"/>
        <v>0</v>
      </c>
      <c r="G193" s="2"/>
      <c r="H193" s="2"/>
      <c r="I193" s="2"/>
      <c r="J193" s="19">
        <f t="shared" si="13"/>
        <v>0</v>
      </c>
      <c r="K193" s="2"/>
      <c r="L193" s="2">
        <f t="shared" si="14"/>
        <v>0</v>
      </c>
      <c r="M193" s="2"/>
      <c r="N193" s="19">
        <f t="shared" si="15"/>
        <v>0</v>
      </c>
      <c r="O193" s="11"/>
      <c r="P193" s="2">
        <v>162.51</v>
      </c>
      <c r="Q193" s="2"/>
      <c r="R193" s="19">
        <f t="shared" si="16"/>
        <v>8.9894633582279581E-6</v>
      </c>
      <c r="S193" s="2"/>
      <c r="T193" s="2"/>
      <c r="U193" s="2"/>
      <c r="V193" s="19">
        <f t="shared" si="17"/>
        <v>0</v>
      </c>
      <c r="W193" s="2"/>
      <c r="X193" s="2">
        <f t="shared" si="18"/>
        <v>162.51</v>
      </c>
      <c r="Y193" s="2"/>
      <c r="Z193" s="19">
        <f t="shared" si="19"/>
        <v>0</v>
      </c>
    </row>
    <row r="194" spans="1:26" s="24" customFormat="1" hidden="1" outlineLevel="1" x14ac:dyDescent="0.2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/>
      <c r="E194" s="2"/>
      <c r="F194" s="19">
        <f t="shared" si="12"/>
        <v>0</v>
      </c>
      <c r="G194" s="2"/>
      <c r="H194" s="2"/>
      <c r="I194" s="2"/>
      <c r="J194" s="19">
        <f t="shared" si="13"/>
        <v>0</v>
      </c>
      <c r="K194" s="2"/>
      <c r="L194" s="2">
        <f t="shared" si="14"/>
        <v>0</v>
      </c>
      <c r="M194" s="2"/>
      <c r="N194" s="19">
        <f t="shared" si="15"/>
        <v>0</v>
      </c>
      <c r="O194" s="11"/>
      <c r="P194" s="2">
        <v>105.78</v>
      </c>
      <c r="Q194" s="2"/>
      <c r="R194" s="19">
        <f t="shared" si="16"/>
        <v>5.851365663856707E-6</v>
      </c>
      <c r="S194" s="2"/>
      <c r="T194" s="2"/>
      <c r="U194" s="2"/>
      <c r="V194" s="19">
        <f t="shared" si="17"/>
        <v>0</v>
      </c>
      <c r="W194" s="2"/>
      <c r="X194" s="2">
        <f t="shared" si="18"/>
        <v>105.78</v>
      </c>
      <c r="Y194" s="2"/>
      <c r="Z194" s="19">
        <f t="shared" si="19"/>
        <v>0</v>
      </c>
    </row>
    <row r="195" spans="1:26" x14ac:dyDescent="0.2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25">
      <c r="A196" s="10"/>
      <c r="B196" s="29" t="s">
        <v>6</v>
      </c>
      <c r="C196" s="29"/>
      <c r="D196" s="22">
        <f>D12-D134</f>
        <v>1289333.3000000007</v>
      </c>
      <c r="E196" s="14"/>
      <c r="F196" s="20">
        <f>IF(D$12=0,0,D196/D$12)</f>
        <v>0.65005524721878172</v>
      </c>
      <c r="G196" s="14"/>
      <c r="H196" s="22">
        <f>H12-H134</f>
        <v>1555262.9863100001</v>
      </c>
      <c r="I196" s="14"/>
      <c r="J196" s="20">
        <f>IF(H$12=0,0,H196/H$12)</f>
        <v>0.64064124593227523</v>
      </c>
      <c r="K196" s="16"/>
      <c r="L196" s="22">
        <f>+D196-H196</f>
        <v>-265929.68630999932</v>
      </c>
      <c r="M196" s="16"/>
      <c r="N196" s="20">
        <f>IF(H196=0,0,L196/H196)</f>
        <v>-0.17098695760833427</v>
      </c>
      <c r="O196" s="28"/>
      <c r="P196" s="22">
        <f>P12-P134</f>
        <v>10196029.080000009</v>
      </c>
      <c r="Q196" s="14"/>
      <c r="R196" s="20">
        <f>IF(P$12=0,0,P196/P$12)</f>
        <v>0.56400732148228916</v>
      </c>
      <c r="S196" s="14"/>
      <c r="T196" s="22">
        <f>T12-T134</f>
        <v>10921115.87142</v>
      </c>
      <c r="U196" s="14"/>
      <c r="V196" s="20">
        <f>IF(T$12=0,0,T196/T$12)</f>
        <v>0.57763540509620603</v>
      </c>
      <c r="W196" s="16"/>
      <c r="X196" s="22">
        <f>+P196-T196</f>
        <v>-725086.79141999036</v>
      </c>
      <c r="Y196" s="16"/>
      <c r="Z196" s="20">
        <f>IF(T196=0,0,X196/T196)</f>
        <v>-6.6393104876536047E-2</v>
      </c>
    </row>
    <row r="197" spans="1:26" x14ac:dyDescent="0.2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6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25">
      <c r="A198" s="10"/>
      <c r="B198" s="28" t="s">
        <v>9</v>
      </c>
      <c r="C198" s="10"/>
      <c r="D198" s="21">
        <f>SUM(OSRRefD22x_0)</f>
        <v>1373997.77</v>
      </c>
      <c r="E198" s="21"/>
      <c r="F198" s="30">
        <f t="shared" ref="F198:F209" si="20">IF(D$12=0,0,D198/D$12)</f>
        <v>0.69274132612211614</v>
      </c>
      <c r="G198" s="21"/>
      <c r="H198" s="21">
        <f>SUM(OSRRefH22x_0)</f>
        <v>1429801.7349068953</v>
      </c>
      <c r="I198" s="21"/>
      <c r="J198" s="30">
        <f t="shared" ref="J198:J209" si="21">IF(H$12=0,0,H198/H$12)</f>
        <v>0.58896146372013258</v>
      </c>
      <c r="K198" s="4"/>
      <c r="L198" s="21">
        <f t="shared" ref="L198:L209" si="22">+D198-H198</f>
        <v>-55803.9649068953</v>
      </c>
      <c r="M198" s="4"/>
      <c r="N198" s="30">
        <f t="shared" ref="N198:N209" si="23">IF(H198=0,0,L198/H198)</f>
        <v>-3.9029162956309531E-2</v>
      </c>
      <c r="O198" s="10"/>
      <c r="P198" s="21">
        <f>SUM(OSRRefP22x_0)</f>
        <v>8987127.5800000001</v>
      </c>
      <c r="Q198" s="21"/>
      <c r="R198" s="30">
        <f t="shared" ref="R198:R209" si="24">IF(P$12=0,0,P198/P$12)</f>
        <v>0.49713527829751958</v>
      </c>
      <c r="S198" s="21"/>
      <c r="T198" s="21">
        <f>SUM(OSRRefT22x_0)</f>
        <v>9106103.4289367516</v>
      </c>
      <c r="U198" s="21"/>
      <c r="V198" s="30">
        <f t="shared" ref="V198:V209" si="25">IF(T$12=0,0,T198/T$12)</f>
        <v>0.48163647423492706</v>
      </c>
      <c r="W198" s="4"/>
      <c r="X198" s="21">
        <f t="shared" ref="X198:X209" si="26">+P198-T198</f>
        <v>-118975.84893675148</v>
      </c>
      <c r="Y198" s="4"/>
      <c r="Z198" s="30">
        <f t="shared" ref="Z198:Z209" si="27">IF(T198=0,0,X198/T198)</f>
        <v>-1.3065505994438651E-2</v>
      </c>
    </row>
    <row r="199" spans="1:26" s="25" customFormat="1" outlineLevel="1" collapsed="1" x14ac:dyDescent="0.25">
      <c r="A199" s="27"/>
      <c r="B199" s="13" t="str">
        <f>CONCATENATE("     ","*Benefits                                         ")</f>
        <v xml:space="preserve">     *Benefits                                         </v>
      </c>
      <c r="C199" s="13"/>
      <c r="D199" s="1">
        <f>SUM(OSRRefD22_0x_0)</f>
        <v>225463.8</v>
      </c>
      <c r="E199" s="1"/>
      <c r="F199" s="5">
        <f t="shared" si="20"/>
        <v>0.11367419599562492</v>
      </c>
      <c r="G199" s="1"/>
      <c r="H199" s="1">
        <f>SUM(OSRRefH22_0x_0)</f>
        <v>206445.92073019079</v>
      </c>
      <c r="I199" s="1"/>
      <c r="J199" s="5">
        <f t="shared" si="21"/>
        <v>8.5038847473647206E-2</v>
      </c>
      <c r="K199" s="1"/>
      <c r="L199" s="1">
        <f t="shared" si="22"/>
        <v>19017.8792698092</v>
      </c>
      <c r="M199" s="1"/>
      <c r="N199" s="5">
        <f t="shared" si="23"/>
        <v>9.2120392607147369E-2</v>
      </c>
      <c r="O199" s="13"/>
      <c r="P199" s="1">
        <f>SUM(OSRRefP22_0x_0)</f>
        <v>1407480.5399999998</v>
      </c>
      <c r="Q199" s="1"/>
      <c r="R199" s="5">
        <f t="shared" si="24"/>
        <v>7.7856714920613496E-2</v>
      </c>
      <c r="S199" s="1"/>
      <c r="T199" s="1">
        <f>SUM(OSRRefT22_0x_0)</f>
        <v>1318296.1912853315</v>
      </c>
      <c r="U199" s="1"/>
      <c r="V199" s="5">
        <f t="shared" si="25"/>
        <v>6.9726808455780623E-2</v>
      </c>
      <c r="W199" s="1"/>
      <c r="X199" s="1">
        <f t="shared" si="26"/>
        <v>89184.348714668304</v>
      </c>
      <c r="Y199" s="1"/>
      <c r="Z199" s="5">
        <f t="shared" si="27"/>
        <v>6.7651222315763537E-2</v>
      </c>
    </row>
    <row r="200" spans="1:26" s="24" customFormat="1" hidden="1" outlineLevel="2" x14ac:dyDescent="0.25">
      <c r="A200" s="26"/>
      <c r="B200" s="11" t="str">
        <f>CONCATENATE("          ", "6111", " - ", "F.I.C.A.")</f>
        <v xml:space="preserve">          6111 - F.I.C.A.</v>
      </c>
      <c r="C200" s="11"/>
      <c r="D200" s="6">
        <v>32292.85</v>
      </c>
      <c r="E200" s="2"/>
      <c r="F200" s="7">
        <f t="shared" si="20"/>
        <v>1.628138867595293E-2</v>
      </c>
      <c r="G200" s="2"/>
      <c r="H200" s="6">
        <v>29302.69051517978</v>
      </c>
      <c r="I200" s="2"/>
      <c r="J200" s="7">
        <f t="shared" si="21"/>
        <v>1.2070313719322863E-2</v>
      </c>
      <c r="K200" s="2"/>
      <c r="L200" s="6">
        <f t="shared" si="22"/>
        <v>2990.1594848202185</v>
      </c>
      <c r="M200" s="2"/>
      <c r="N200" s="7">
        <f t="shared" si="23"/>
        <v>0.10204385441231804</v>
      </c>
      <c r="O200" s="11"/>
      <c r="P200" s="6">
        <v>252165.62999999998</v>
      </c>
      <c r="Q200" s="2"/>
      <c r="R200" s="7">
        <f t="shared" si="24"/>
        <v>1.3948887398249146E-2</v>
      </c>
      <c r="S200" s="2"/>
      <c r="T200" s="6">
        <v>220888.13977461224</v>
      </c>
      <c r="U200" s="2"/>
      <c r="V200" s="7">
        <f t="shared" si="25"/>
        <v>1.1683129416615692E-2</v>
      </c>
      <c r="W200" s="2"/>
      <c r="X200" s="6">
        <f t="shared" si="26"/>
        <v>31277.490225387737</v>
      </c>
      <c r="Y200" s="2"/>
      <c r="Z200" s="7">
        <f t="shared" si="27"/>
        <v>0.14159877600174625</v>
      </c>
    </row>
    <row r="201" spans="1:26" s="24" customFormat="1" hidden="1" outlineLevel="2" x14ac:dyDescent="0.25">
      <c r="A201" s="26"/>
      <c r="B201" s="11" t="str">
        <f>CONCATENATE("          ", "6112", " - ", "COMPENSATION INSURANCE")</f>
        <v xml:space="preserve">          6112 - COMPENSATION INSURANCE</v>
      </c>
      <c r="C201" s="11"/>
      <c r="D201" s="6">
        <v>29022.57</v>
      </c>
      <c r="E201" s="2"/>
      <c r="F201" s="7">
        <f t="shared" si="20"/>
        <v>1.4632580975201979E-2</v>
      </c>
      <c r="G201" s="2"/>
      <c r="H201" s="6">
        <v>20740.04320481692</v>
      </c>
      <c r="I201" s="2"/>
      <c r="J201" s="7">
        <f t="shared" si="21"/>
        <v>8.5432028128873232E-3</v>
      </c>
      <c r="K201" s="2"/>
      <c r="L201" s="6">
        <f t="shared" si="22"/>
        <v>8282.5267951830792</v>
      </c>
      <c r="M201" s="2"/>
      <c r="N201" s="7">
        <f t="shared" si="23"/>
        <v>0.39934954394209959</v>
      </c>
      <c r="O201" s="11"/>
      <c r="P201" s="6">
        <v>106319.95</v>
      </c>
      <c r="Q201" s="2"/>
      <c r="R201" s="7">
        <f t="shared" si="24"/>
        <v>5.8812337380692182E-3</v>
      </c>
      <c r="S201" s="2"/>
      <c r="T201" s="6">
        <v>139779.17098555001</v>
      </c>
      <c r="U201" s="2"/>
      <c r="V201" s="7">
        <f t="shared" si="25"/>
        <v>7.3931454447384928E-3</v>
      </c>
      <c r="W201" s="2"/>
      <c r="X201" s="6">
        <f t="shared" si="26"/>
        <v>-33459.220985550011</v>
      </c>
      <c r="Y201" s="2"/>
      <c r="Z201" s="7">
        <f t="shared" si="27"/>
        <v>-0.23937200907429143</v>
      </c>
    </row>
    <row r="202" spans="1:26" s="24" customFormat="1" hidden="1" outlineLevel="2" x14ac:dyDescent="0.25">
      <c r="A202" s="26"/>
      <c r="B202" s="11" t="str">
        <f>CONCATENATE("          ", "6113", " - ", "GROUP INSURANCE")</f>
        <v xml:space="preserve">          6113 - GROUP INSURANCE</v>
      </c>
      <c r="C202" s="11"/>
      <c r="D202" s="6">
        <v>96429.440000000002</v>
      </c>
      <c r="E202" s="2"/>
      <c r="F202" s="7">
        <f t="shared" si="20"/>
        <v>4.8617734032285247E-2</v>
      </c>
      <c r="G202" s="2"/>
      <c r="H202" s="6">
        <v>91118.88076923076</v>
      </c>
      <c r="I202" s="2"/>
      <c r="J202" s="7">
        <f t="shared" si="21"/>
        <v>3.7533532153589767E-2</v>
      </c>
      <c r="K202" s="2"/>
      <c r="L202" s="6">
        <f t="shared" si="22"/>
        <v>5310.5592307692423</v>
      </c>
      <c r="M202" s="2"/>
      <c r="N202" s="7">
        <f t="shared" si="23"/>
        <v>5.8281655634235187E-2</v>
      </c>
      <c r="O202" s="11"/>
      <c r="P202" s="6">
        <v>568599.6399999999</v>
      </c>
      <c r="Q202" s="2"/>
      <c r="R202" s="7">
        <f t="shared" si="24"/>
        <v>3.1452868311375344E-2</v>
      </c>
      <c r="S202" s="2"/>
      <c r="T202" s="6">
        <v>567091.04999999993</v>
      </c>
      <c r="U202" s="2"/>
      <c r="V202" s="7">
        <f t="shared" si="25"/>
        <v>2.9994358841152997E-2</v>
      </c>
      <c r="W202" s="2"/>
      <c r="X202" s="6">
        <f t="shared" si="26"/>
        <v>1508.5899999999674</v>
      </c>
      <c r="Y202" s="2"/>
      <c r="Z202" s="7">
        <f t="shared" si="27"/>
        <v>2.6602253729801724E-3</v>
      </c>
    </row>
    <row r="203" spans="1:26" s="24" customFormat="1" hidden="1" outlineLevel="2" x14ac:dyDescent="0.25">
      <c r="A203" s="26"/>
      <c r="B203" s="11" t="str">
        <f>CONCATENATE("          ", "6114", " - ", "STATE UNEMPLOYMENT INSURANCE")</f>
        <v xml:space="preserve">          6114 - STATE UNEMPLOYMENT INSURANCE</v>
      </c>
      <c r="C203" s="11"/>
      <c r="D203" s="6">
        <v>2516.29</v>
      </c>
      <c r="E203" s="2"/>
      <c r="F203" s="7">
        <f t="shared" si="20"/>
        <v>1.2686614997255924E-3</v>
      </c>
      <c r="G203" s="2"/>
      <c r="H203" s="6">
        <v>1753.664840827352</v>
      </c>
      <c r="I203" s="2"/>
      <c r="J203" s="7">
        <f t="shared" si="21"/>
        <v>7.2236659553043996E-4</v>
      </c>
      <c r="K203" s="2"/>
      <c r="L203" s="6">
        <f t="shared" si="22"/>
        <v>762.62515917264795</v>
      </c>
      <c r="M203" s="2"/>
      <c r="N203" s="7">
        <f t="shared" si="23"/>
        <v>0.43487509210303443</v>
      </c>
      <c r="O203" s="11"/>
      <c r="P203" s="6">
        <v>12179.78</v>
      </c>
      <c r="Q203" s="2"/>
      <c r="R203" s="7">
        <f t="shared" si="24"/>
        <v>6.7374122220957317E-4</v>
      </c>
      <c r="S203" s="2"/>
      <c r="T203" s="6">
        <v>11779.477047922272</v>
      </c>
      <c r="U203" s="2"/>
      <c r="V203" s="7">
        <f t="shared" si="25"/>
        <v>6.2303550997058808E-4</v>
      </c>
      <c r="W203" s="2"/>
      <c r="X203" s="6">
        <f t="shared" si="26"/>
        <v>400.30295207772906</v>
      </c>
      <c r="Y203" s="2"/>
      <c r="Z203" s="7">
        <f t="shared" si="27"/>
        <v>3.3983083497610506E-2</v>
      </c>
    </row>
    <row r="204" spans="1:26" s="24" customFormat="1" hidden="1" outlineLevel="2" x14ac:dyDescent="0.25">
      <c r="A204" s="26"/>
      <c r="B204" s="11" t="str">
        <f>CONCATENATE("          ", "6115", " - ", "P.E.R.S.")</f>
        <v xml:space="preserve">          6115 - P.E.R.S.</v>
      </c>
      <c r="C204" s="11"/>
      <c r="D204" s="6">
        <v>18967.439999999999</v>
      </c>
      <c r="E204" s="2"/>
      <c r="F204" s="7">
        <f t="shared" si="20"/>
        <v>9.5629918953519626E-3</v>
      </c>
      <c r="G204" s="2"/>
      <c r="H204" s="6">
        <v>18291.264090446155</v>
      </c>
      <c r="I204" s="2"/>
      <c r="J204" s="7">
        <f t="shared" si="21"/>
        <v>7.5345059451212403E-3</v>
      </c>
      <c r="K204" s="2"/>
      <c r="L204" s="6">
        <f t="shared" si="22"/>
        <v>676.17590955384367</v>
      </c>
      <c r="M204" s="2"/>
      <c r="N204" s="7">
        <f t="shared" si="23"/>
        <v>3.6967150340747754E-2</v>
      </c>
      <c r="O204" s="11"/>
      <c r="P204" s="6">
        <v>125527.29</v>
      </c>
      <c r="Q204" s="2"/>
      <c r="R204" s="7">
        <f t="shared" si="24"/>
        <v>6.9437140724426484E-3</v>
      </c>
      <c r="S204" s="2"/>
      <c r="T204" s="6">
        <v>118893.21658790002</v>
      </c>
      <c r="U204" s="2"/>
      <c r="V204" s="7">
        <f t="shared" si="25"/>
        <v>6.2884536832602065E-3</v>
      </c>
      <c r="W204" s="2"/>
      <c r="X204" s="6">
        <f t="shared" si="26"/>
        <v>6634.0734120999696</v>
      </c>
      <c r="Y204" s="2"/>
      <c r="Z204" s="7">
        <f t="shared" si="27"/>
        <v>5.5798586349081344E-2</v>
      </c>
    </row>
    <row r="205" spans="1:26" s="24" customFormat="1" hidden="1" outlineLevel="2" x14ac:dyDescent="0.25">
      <c r="A205" s="26"/>
      <c r="B205" s="11" t="str">
        <f>CONCATENATE("          ", "6116", " - ", "EDUCATIONAL BENEFITS")</f>
        <v xml:space="preserve">          6116 - EDUCATIONAL BENEFITS</v>
      </c>
      <c r="C205" s="11"/>
      <c r="D205" s="6"/>
      <c r="E205" s="2"/>
      <c r="F205" s="7">
        <f t="shared" si="20"/>
        <v>0</v>
      </c>
      <c r="G205" s="2"/>
      <c r="H205" s="6">
        <v>8000</v>
      </c>
      <c r="I205" s="2"/>
      <c r="J205" s="7">
        <f t="shared" si="21"/>
        <v>3.2953461971200314E-3</v>
      </c>
      <c r="K205" s="2"/>
      <c r="L205" s="6">
        <f t="shared" si="22"/>
        <v>-8000</v>
      </c>
      <c r="M205" s="2"/>
      <c r="N205" s="7">
        <f t="shared" si="23"/>
        <v>-1</v>
      </c>
      <c r="O205" s="11"/>
      <c r="P205" s="6"/>
      <c r="Q205" s="2"/>
      <c r="R205" s="7">
        <f t="shared" si="24"/>
        <v>0</v>
      </c>
      <c r="S205" s="2"/>
      <c r="T205" s="6">
        <v>16000</v>
      </c>
      <c r="U205" s="2"/>
      <c r="V205" s="7">
        <f t="shared" si="25"/>
        <v>8.4626576536245464E-4</v>
      </c>
      <c r="W205" s="2"/>
      <c r="X205" s="6">
        <f t="shared" si="26"/>
        <v>-16000</v>
      </c>
      <c r="Y205" s="2"/>
      <c r="Z205" s="7">
        <f t="shared" si="27"/>
        <v>-1</v>
      </c>
    </row>
    <row r="206" spans="1:26" s="24" customFormat="1" hidden="1" outlineLevel="2" x14ac:dyDescent="0.25">
      <c r="A206" s="26"/>
      <c r="B206" s="11" t="str">
        <f>CONCATENATE("          ", "6117", " - ", "RETIREMENT STAFF HOURLY")</f>
        <v xml:space="preserve">          6117 - RETIREMENT STAFF HOURLY</v>
      </c>
      <c r="C206" s="11"/>
      <c r="D206" s="6">
        <v>2511.69</v>
      </c>
      <c r="E206" s="2"/>
      <c r="F206" s="7">
        <f t="shared" si="20"/>
        <v>1.2663422746367762E-3</v>
      </c>
      <c r="G206" s="2"/>
      <c r="H206" s="6"/>
      <c r="I206" s="2"/>
      <c r="J206" s="7">
        <f t="shared" si="21"/>
        <v>0</v>
      </c>
      <c r="K206" s="2"/>
      <c r="L206" s="6">
        <f t="shared" si="22"/>
        <v>2511.69</v>
      </c>
      <c r="M206" s="2"/>
      <c r="N206" s="7">
        <f t="shared" si="23"/>
        <v>0</v>
      </c>
      <c r="O206" s="11"/>
      <c r="P206" s="6">
        <v>12602.98</v>
      </c>
      <c r="Q206" s="2"/>
      <c r="R206" s="7">
        <f t="shared" si="24"/>
        <v>6.9715111017463409E-4</v>
      </c>
      <c r="S206" s="2"/>
      <c r="T206" s="6"/>
      <c r="U206" s="2"/>
      <c r="V206" s="7">
        <f t="shared" si="25"/>
        <v>0</v>
      </c>
      <c r="W206" s="2"/>
      <c r="X206" s="6">
        <f t="shared" si="26"/>
        <v>12602.98</v>
      </c>
      <c r="Y206" s="2"/>
      <c r="Z206" s="7">
        <f t="shared" si="27"/>
        <v>0</v>
      </c>
    </row>
    <row r="207" spans="1:26" s="24" customFormat="1" hidden="1" outlineLevel="2" x14ac:dyDescent="0.25">
      <c r="A207" s="26"/>
      <c r="B207" s="11" t="str">
        <f>CONCATENATE("          ", "6118", " - ", "VACATION")</f>
        <v xml:space="preserve">          6118 - VACATION</v>
      </c>
      <c r="C207" s="11"/>
      <c r="D207" s="6">
        <v>20062.96</v>
      </c>
      <c r="E207" s="2"/>
      <c r="F207" s="7">
        <f t="shared" si="20"/>
        <v>1.0115330475634593E-2</v>
      </c>
      <c r="G207" s="2"/>
      <c r="H207" s="6">
        <v>13969.503403861532</v>
      </c>
      <c r="I207" s="2"/>
      <c r="J207" s="7">
        <f t="shared" si="21"/>
        <v>5.7542937396963039E-3</v>
      </c>
      <c r="K207" s="2"/>
      <c r="L207" s="6">
        <f t="shared" si="22"/>
        <v>6093.4565961384669</v>
      </c>
      <c r="M207" s="2"/>
      <c r="N207" s="7">
        <f t="shared" si="23"/>
        <v>0.43619708016636283</v>
      </c>
      <c r="O207" s="11"/>
      <c r="P207" s="6">
        <v>146190.5</v>
      </c>
      <c r="Q207" s="2"/>
      <c r="R207" s="7">
        <f t="shared" si="24"/>
        <v>8.0867278510308553E-3</v>
      </c>
      <c r="S207" s="2"/>
      <c r="T207" s="6">
        <v>91089.854335099953</v>
      </c>
      <c r="U207" s="2"/>
      <c r="V207" s="7">
        <f t="shared" si="25"/>
        <v>4.8178890809779914E-3</v>
      </c>
      <c r="W207" s="2"/>
      <c r="X207" s="6">
        <f t="shared" si="26"/>
        <v>55100.645664900047</v>
      </c>
      <c r="Y207" s="2"/>
      <c r="Z207" s="7">
        <f t="shared" si="27"/>
        <v>0.60490431197964856</v>
      </c>
    </row>
    <row r="208" spans="1:26" s="24" customFormat="1" hidden="1" outlineLevel="2" x14ac:dyDescent="0.25">
      <c r="A208" s="26"/>
      <c r="B208" s="11" t="str">
        <f>CONCATENATE("          ", "6119", " - ", "SICK LEAVE")</f>
        <v xml:space="preserve">          6119 - SICK LEAVE</v>
      </c>
      <c r="C208" s="11"/>
      <c r="D208" s="6">
        <v>14414.75</v>
      </c>
      <c r="E208" s="2"/>
      <c r="F208" s="7">
        <f t="shared" si="20"/>
        <v>7.2676195323947094E-3</v>
      </c>
      <c r="G208" s="2"/>
      <c r="H208" s="6">
        <v>18344.873905828274</v>
      </c>
      <c r="I208" s="2"/>
      <c r="J208" s="7">
        <f t="shared" si="21"/>
        <v>7.5565888077772118E-3</v>
      </c>
      <c r="K208" s="2"/>
      <c r="L208" s="6">
        <f t="shared" si="22"/>
        <v>-3930.1239058282736</v>
      </c>
      <c r="M208" s="2"/>
      <c r="N208" s="7">
        <f t="shared" si="23"/>
        <v>-0.21423553664109135</v>
      </c>
      <c r="O208" s="11"/>
      <c r="P208" s="6">
        <v>129523.47</v>
      </c>
      <c r="Q208" s="2"/>
      <c r="R208" s="7">
        <f t="shared" si="24"/>
        <v>7.1647682456189663E-3</v>
      </c>
      <c r="S208" s="2"/>
      <c r="T208" s="6">
        <v>123100.28255424718</v>
      </c>
      <c r="U208" s="2"/>
      <c r="V208" s="7">
        <f t="shared" si="25"/>
        <v>6.510972177006526E-3</v>
      </c>
      <c r="W208" s="2"/>
      <c r="X208" s="6">
        <f t="shared" si="26"/>
        <v>6423.1874457528174</v>
      </c>
      <c r="Y208" s="2"/>
      <c r="Z208" s="7">
        <f t="shared" si="27"/>
        <v>5.2178494740028572E-2</v>
      </c>
    </row>
    <row r="209" spans="1:26" s="24" customFormat="1" hidden="1" outlineLevel="2" x14ac:dyDescent="0.25">
      <c r="A209" s="26"/>
      <c r="B209" s="11" t="str">
        <f>CONCATENATE("          ", "6156", " - ", "EMPLOYEE MEALS")</f>
        <v xml:space="preserve">          6156 - EMPLOYEE MEALS</v>
      </c>
      <c r="C209" s="11"/>
      <c r="D209" s="6">
        <v>9245.81</v>
      </c>
      <c r="E209" s="2"/>
      <c r="F209" s="7">
        <f t="shared" si="20"/>
        <v>4.6615466344411332E-3</v>
      </c>
      <c r="G209" s="2"/>
      <c r="H209" s="6">
        <v>4925</v>
      </c>
      <c r="I209" s="2"/>
      <c r="J209" s="7">
        <f t="shared" si="21"/>
        <v>2.0286975026020193E-3</v>
      </c>
      <c r="K209" s="2"/>
      <c r="L209" s="6">
        <f t="shared" si="22"/>
        <v>4320.8099999999995</v>
      </c>
      <c r="M209" s="2"/>
      <c r="N209" s="7">
        <f t="shared" si="23"/>
        <v>0.87732182741116738</v>
      </c>
      <c r="O209" s="11"/>
      <c r="P209" s="6">
        <v>54371.299999999996</v>
      </c>
      <c r="Q209" s="2"/>
      <c r="R209" s="7">
        <f t="shared" si="24"/>
        <v>3.0076229714431097E-3</v>
      </c>
      <c r="S209" s="2"/>
      <c r="T209" s="6">
        <v>29675</v>
      </c>
      <c r="U209" s="2"/>
      <c r="V209" s="7">
        <f t="shared" si="25"/>
        <v>1.5695585366956777E-3</v>
      </c>
      <c r="W209" s="2"/>
      <c r="X209" s="6">
        <f t="shared" si="26"/>
        <v>24696.299999999996</v>
      </c>
      <c r="Y209" s="2"/>
      <c r="Z209" s="7">
        <f t="shared" si="27"/>
        <v>0.83222577927548425</v>
      </c>
    </row>
    <row r="210" spans="1:26" s="25" customFormat="1" outlineLevel="1" collapsed="1" x14ac:dyDescent="0.25">
      <c r="A210" s="27"/>
      <c r="B210" s="13" t="str">
        <f>CONCATENATE("     ","*Payroll                                          ")</f>
        <v xml:space="preserve">     *Payroll                                          </v>
      </c>
      <c r="C210" s="13"/>
      <c r="D210" s="1">
        <f>SUM(OSRRefD22_1x_0)</f>
        <v>611496.61</v>
      </c>
      <c r="E210" s="1"/>
      <c r="F210" s="5">
        <f t="shared" ref="F210:F220" si="28">IF(D$12=0,0,D210/D$12)</f>
        <v>0.30830397383438146</v>
      </c>
      <c r="G210" s="1"/>
      <c r="H210" s="1">
        <f>SUM(OSRRefH22_1x_0)</f>
        <v>642815.15417670459</v>
      </c>
      <c r="I210" s="1"/>
      <c r="J210" s="5">
        <f t="shared" ref="J210:J220" si="29">IF(H$12=0,0,H210/H$12)</f>
        <v>0.26478730922091626</v>
      </c>
      <c r="K210" s="1"/>
      <c r="L210" s="1">
        <f t="shared" ref="L210:L220" si="30">+D210-H210</f>
        <v>-31318.5441767046</v>
      </c>
      <c r="M210" s="1"/>
      <c r="N210" s="5">
        <f t="shared" ref="N210:N220" si="31">IF(H210=0,0,L210/H210)</f>
        <v>-4.8720917628048623E-2</v>
      </c>
      <c r="O210" s="13"/>
      <c r="P210" s="1">
        <f>SUM(OSRRefP22_1x_0)</f>
        <v>4322862.0600000005</v>
      </c>
      <c r="Q210" s="1"/>
      <c r="R210" s="5">
        <f t="shared" ref="R210:R220" si="32">IF(P$12=0,0,P210/P$12)</f>
        <v>0.23912503901940702</v>
      </c>
      <c r="S210" s="1"/>
      <c r="T210" s="1">
        <f>SUM(OSRRefT22_1x_0)</f>
        <v>4319190.7376514198</v>
      </c>
      <c r="U210" s="1"/>
      <c r="V210" s="5">
        <f t="shared" ref="V210:V220" si="33">IF(T$12=0,0,T210/T$12)</f>
        <v>0.22844895345906274</v>
      </c>
      <c r="W210" s="1"/>
      <c r="X210" s="1">
        <f t="shared" ref="X210:X220" si="34">+P210-T210</f>
        <v>3671.3223485806957</v>
      </c>
      <c r="Y210" s="1"/>
      <c r="Z210" s="5">
        <f t="shared" ref="Z210:Z220" si="35">IF(T210=0,0,X210/T210)</f>
        <v>8.5000236654910832E-4</v>
      </c>
    </row>
    <row r="211" spans="1:26" s="24" customFormat="1" hidden="1" outlineLevel="2" x14ac:dyDescent="0.25">
      <c r="A211" s="26"/>
      <c r="B211" s="11" t="str">
        <f>CONCATENATE("          ", "6001", " - ", "ADMINISTRATIVE SALARIES")</f>
        <v xml:space="preserve">          6001 - ADMINISTRATIVE SALARIES</v>
      </c>
      <c r="C211" s="11"/>
      <c r="D211" s="6">
        <v>35004.140000000007</v>
      </c>
      <c r="E211" s="2"/>
      <c r="F211" s="7">
        <f t="shared" si="28"/>
        <v>1.7648365152269654E-2</v>
      </c>
      <c r="G211" s="2"/>
      <c r="H211" s="6">
        <v>60667.695831076926</v>
      </c>
      <c r="I211" s="2"/>
      <c r="J211" s="7">
        <f t="shared" si="29"/>
        <v>2.4990132593121765E-2</v>
      </c>
      <c r="K211" s="2"/>
      <c r="L211" s="6">
        <f t="shared" si="30"/>
        <v>-25663.555831076919</v>
      </c>
      <c r="M211" s="2"/>
      <c r="N211" s="7">
        <f t="shared" si="31"/>
        <v>-0.42301846937675858</v>
      </c>
      <c r="O211" s="11"/>
      <c r="P211" s="6">
        <v>216828.76</v>
      </c>
      <c r="Q211" s="2"/>
      <c r="R211" s="7">
        <f t="shared" si="32"/>
        <v>1.1994180007568791E-2</v>
      </c>
      <c r="S211" s="2"/>
      <c r="T211" s="6">
        <v>394340.022902</v>
      </c>
      <c r="U211" s="2"/>
      <c r="V211" s="7">
        <f t="shared" si="33"/>
        <v>2.0857278830888056E-2</v>
      </c>
      <c r="W211" s="2"/>
      <c r="X211" s="6">
        <f t="shared" si="34"/>
        <v>-177511.26290199999</v>
      </c>
      <c r="Y211" s="2"/>
      <c r="Z211" s="7">
        <f t="shared" si="35"/>
        <v>-0.45014772174447648</v>
      </c>
    </row>
    <row r="212" spans="1:26" s="24" customFormat="1" hidden="1" outlineLevel="2" x14ac:dyDescent="0.25">
      <c r="A212" s="26"/>
      <c r="B212" s="11" t="str">
        <f>CONCATENATE("          ", "6002", " - ", "STAFF SALARIES")</f>
        <v xml:space="preserve">          6002 - STAFF SALARIES</v>
      </c>
      <c r="C212" s="11"/>
      <c r="D212" s="6">
        <v>168000.88</v>
      </c>
      <c r="E212" s="2"/>
      <c r="F212" s="7">
        <f t="shared" si="28"/>
        <v>8.4702577356353712E-2</v>
      </c>
      <c r="G212" s="2"/>
      <c r="H212" s="6">
        <v>134334.30362810774</v>
      </c>
      <c r="I212" s="2"/>
      <c r="J212" s="7">
        <f t="shared" si="29"/>
        <v>5.5334754575456557E-2</v>
      </c>
      <c r="K212" s="2"/>
      <c r="L212" s="6">
        <f t="shared" si="30"/>
        <v>33666.576371892268</v>
      </c>
      <c r="M212" s="2"/>
      <c r="N212" s="7">
        <f t="shared" si="31"/>
        <v>0.25061786500263633</v>
      </c>
      <c r="O212" s="11"/>
      <c r="P212" s="6">
        <v>1097813.4500000002</v>
      </c>
      <c r="Q212" s="2"/>
      <c r="R212" s="7">
        <f t="shared" si="32"/>
        <v>6.0727055460862857E-2</v>
      </c>
      <c r="S212" s="2"/>
      <c r="T212" s="6">
        <v>873172.97358270001</v>
      </c>
      <c r="U212" s="2"/>
      <c r="V212" s="7">
        <f t="shared" si="33"/>
        <v>4.6183524673923379E-2</v>
      </c>
      <c r="W212" s="2"/>
      <c r="X212" s="6">
        <f t="shared" si="34"/>
        <v>224640.47641730017</v>
      </c>
      <c r="Y212" s="2"/>
      <c r="Z212" s="7">
        <f t="shared" si="35"/>
        <v>0.25726915881922224</v>
      </c>
    </row>
    <row r="213" spans="1:26" s="24" customFormat="1" hidden="1" outlineLevel="2" x14ac:dyDescent="0.25">
      <c r="A213" s="26"/>
      <c r="B213" s="11" t="str">
        <f>CONCATENATE("          ", "6003", " - ", "STAFF HOURLY-9 MONTH")</f>
        <v xml:space="preserve">          6003 - STAFF HOURLY-9 MONTH</v>
      </c>
      <c r="C213" s="11"/>
      <c r="D213" s="6"/>
      <c r="E213" s="2"/>
      <c r="F213" s="7">
        <f t="shared" si="28"/>
        <v>0</v>
      </c>
      <c r="G213" s="2"/>
      <c r="H213" s="6">
        <v>0</v>
      </c>
      <c r="I213" s="2"/>
      <c r="J213" s="7">
        <f t="shared" si="29"/>
        <v>0</v>
      </c>
      <c r="K213" s="2"/>
      <c r="L213" s="6">
        <f t="shared" si="30"/>
        <v>0</v>
      </c>
      <c r="M213" s="2"/>
      <c r="N213" s="7">
        <f t="shared" si="31"/>
        <v>0</v>
      </c>
      <c r="O213" s="11"/>
      <c r="P213" s="6"/>
      <c r="Q213" s="2"/>
      <c r="R213" s="7">
        <f t="shared" si="32"/>
        <v>0</v>
      </c>
      <c r="S213" s="2"/>
      <c r="T213" s="6">
        <v>0</v>
      </c>
      <c r="U213" s="2"/>
      <c r="V213" s="7">
        <f t="shared" si="33"/>
        <v>0</v>
      </c>
      <c r="W213" s="2"/>
      <c r="X213" s="6">
        <f t="shared" si="34"/>
        <v>0</v>
      </c>
      <c r="Y213" s="2"/>
      <c r="Z213" s="7">
        <f t="shared" si="35"/>
        <v>0</v>
      </c>
    </row>
    <row r="214" spans="1:26" s="24" customFormat="1" hidden="1" outlineLevel="2" x14ac:dyDescent="0.25">
      <c r="A214" s="26"/>
      <c r="B214" s="11" t="str">
        <f>CONCATENATE("          ", "6004", " - ", "STAFF HOURLY")</f>
        <v xml:space="preserve">          6004 - STAFF HOURLY</v>
      </c>
      <c r="C214" s="11"/>
      <c r="D214" s="6">
        <v>80795.539999999994</v>
      </c>
      <c r="E214" s="2"/>
      <c r="F214" s="7">
        <f t="shared" si="28"/>
        <v>4.0735444224449122E-2</v>
      </c>
      <c r="G214" s="2"/>
      <c r="H214" s="6">
        <v>135895.95962199999</v>
      </c>
      <c r="I214" s="2"/>
      <c r="J214" s="7">
        <f t="shared" si="29"/>
        <v>5.5978029218041875E-2</v>
      </c>
      <c r="K214" s="2"/>
      <c r="L214" s="6">
        <f t="shared" si="30"/>
        <v>-55100.419622000001</v>
      </c>
      <c r="M214" s="2"/>
      <c r="N214" s="7">
        <f t="shared" si="31"/>
        <v>-0.4054603225531061</v>
      </c>
      <c r="O214" s="11"/>
      <c r="P214" s="6">
        <v>501564.13</v>
      </c>
      <c r="Q214" s="2"/>
      <c r="R214" s="7">
        <f t="shared" si="32"/>
        <v>2.7744707208396311E-2</v>
      </c>
      <c r="S214" s="2"/>
      <c r="T214" s="6">
        <v>956835.32629800006</v>
      </c>
      <c r="U214" s="2"/>
      <c r="V214" s="7">
        <f t="shared" si="33"/>
        <v>5.060856123346319E-2</v>
      </c>
      <c r="W214" s="2"/>
      <c r="X214" s="6">
        <f t="shared" si="34"/>
        <v>-455271.19629800005</v>
      </c>
      <c r="Y214" s="2"/>
      <c r="Z214" s="7">
        <f t="shared" si="35"/>
        <v>-0.47580935170887373</v>
      </c>
    </row>
    <row r="215" spans="1:26" s="24" customFormat="1" hidden="1" outlineLevel="2" x14ac:dyDescent="0.25">
      <c r="A215" s="26"/>
      <c r="B215" s="11" t="str">
        <f>CONCATENATE("          ", "6005", " - ", "TEMPORARY WAGES-HOURLY")</f>
        <v xml:space="preserve">          6005 - TEMPORARY WAGES-HOURLY</v>
      </c>
      <c r="C215" s="11"/>
      <c r="D215" s="6">
        <v>106158.06</v>
      </c>
      <c r="E215" s="2"/>
      <c r="F215" s="7">
        <f t="shared" si="28"/>
        <v>5.3522703506972337E-2</v>
      </c>
      <c r="G215" s="2"/>
      <c r="H215" s="6">
        <v>51347.735885000002</v>
      </c>
      <c r="I215" s="2"/>
      <c r="J215" s="7">
        <f t="shared" si="29"/>
        <v>2.1151070772419817E-2</v>
      </c>
      <c r="K215" s="2"/>
      <c r="L215" s="6">
        <f t="shared" si="30"/>
        <v>54810.324114999996</v>
      </c>
      <c r="M215" s="2"/>
      <c r="N215" s="7">
        <f t="shared" si="31"/>
        <v>1.0674340975375216</v>
      </c>
      <c r="O215" s="11"/>
      <c r="P215" s="6">
        <v>763302.91</v>
      </c>
      <c r="Q215" s="2"/>
      <c r="R215" s="7">
        <f t="shared" si="32"/>
        <v>4.2223146518206717E-2</v>
      </c>
      <c r="S215" s="2"/>
      <c r="T215" s="6">
        <v>341080.65401399997</v>
      </c>
      <c r="U215" s="2"/>
      <c r="V215" s="7">
        <f t="shared" si="33"/>
        <v>1.8040305044967769E-2</v>
      </c>
      <c r="W215" s="2"/>
      <c r="X215" s="6">
        <f t="shared" si="34"/>
        <v>422222.25598600006</v>
      </c>
      <c r="Y215" s="2"/>
      <c r="Z215" s="7">
        <f t="shared" si="35"/>
        <v>1.2378956443793776</v>
      </c>
    </row>
    <row r="216" spans="1:26" s="24" customFormat="1" hidden="1" outlineLevel="2" x14ac:dyDescent="0.25">
      <c r="A216" s="26"/>
      <c r="B216" s="11" t="str">
        <f>CONCATENATE("          ", "6006", " - ", "TEMPORARY PART TIME")</f>
        <v xml:space="preserve">          6006 - TEMPORARY PART TIME</v>
      </c>
      <c r="C216" s="11"/>
      <c r="D216" s="6">
        <v>5641.19</v>
      </c>
      <c r="E216" s="2"/>
      <c r="F216" s="7">
        <f t="shared" si="28"/>
        <v>2.8441716040826033E-3</v>
      </c>
      <c r="G216" s="2"/>
      <c r="H216" s="6">
        <v>0</v>
      </c>
      <c r="I216" s="2"/>
      <c r="J216" s="7">
        <f t="shared" si="29"/>
        <v>0</v>
      </c>
      <c r="K216" s="2"/>
      <c r="L216" s="6">
        <f t="shared" si="30"/>
        <v>5641.19</v>
      </c>
      <c r="M216" s="2"/>
      <c r="N216" s="7">
        <f t="shared" si="31"/>
        <v>0</v>
      </c>
      <c r="O216" s="11"/>
      <c r="P216" s="6">
        <v>78971.59</v>
      </c>
      <c r="Q216" s="2"/>
      <c r="R216" s="7">
        <f t="shared" si="32"/>
        <v>4.3684217257153497E-3</v>
      </c>
      <c r="S216" s="2"/>
      <c r="T216" s="6">
        <v>0</v>
      </c>
      <c r="U216" s="2"/>
      <c r="V216" s="7">
        <f t="shared" si="33"/>
        <v>0</v>
      </c>
      <c r="W216" s="2"/>
      <c r="X216" s="6">
        <f t="shared" si="34"/>
        <v>78971.59</v>
      </c>
      <c r="Y216" s="2"/>
      <c r="Z216" s="7">
        <f t="shared" si="35"/>
        <v>0</v>
      </c>
    </row>
    <row r="217" spans="1:26" s="24" customFormat="1" hidden="1" outlineLevel="2" x14ac:dyDescent="0.25">
      <c r="A217" s="26"/>
      <c r="B217" s="11" t="str">
        <f>CONCATENATE("          ", "6007", " - ", "STUDENT HOURLY")</f>
        <v xml:space="preserve">          6007 - STUDENT HOURLY</v>
      </c>
      <c r="C217" s="11"/>
      <c r="D217" s="6">
        <v>195646.83</v>
      </c>
      <c r="E217" s="2"/>
      <c r="F217" s="7">
        <f t="shared" si="28"/>
        <v>9.8641094931171694E-2</v>
      </c>
      <c r="G217" s="2"/>
      <c r="H217" s="6">
        <v>28443.6675</v>
      </c>
      <c r="I217" s="2"/>
      <c r="J217" s="7">
        <f t="shared" si="29"/>
        <v>1.1716466441033954E-2</v>
      </c>
      <c r="K217" s="2"/>
      <c r="L217" s="6">
        <f t="shared" si="30"/>
        <v>167203.16249999998</v>
      </c>
      <c r="M217" s="2"/>
      <c r="N217" s="7">
        <f t="shared" si="31"/>
        <v>5.8783967468330154</v>
      </c>
      <c r="O217" s="11"/>
      <c r="P217" s="6">
        <v>1508463.68</v>
      </c>
      <c r="Q217" s="2"/>
      <c r="R217" s="7">
        <f t="shared" si="32"/>
        <v>8.3442735699819734E-2</v>
      </c>
      <c r="S217" s="2"/>
      <c r="T217" s="6">
        <v>496896.87261319999</v>
      </c>
      <c r="U217" s="2"/>
      <c r="V217" s="7">
        <f t="shared" si="33"/>
        <v>2.628167576301374E-2</v>
      </c>
      <c r="W217" s="2"/>
      <c r="X217" s="6">
        <f t="shared" si="34"/>
        <v>1011566.8073867999</v>
      </c>
      <c r="Y217" s="2"/>
      <c r="Z217" s="7">
        <f t="shared" si="35"/>
        <v>2.0357681103262548</v>
      </c>
    </row>
    <row r="218" spans="1:26" s="24" customFormat="1" hidden="1" outlineLevel="2" x14ac:dyDescent="0.25">
      <c r="A218" s="26"/>
      <c r="B218" s="11" t="str">
        <f>CONCATENATE("          ", "6008", " - ", "STUDENT HOURLY-FICA EXEMPT")</f>
        <v xml:space="preserve">          6008 - STUDENT HOURLY-FICA EXEMPT</v>
      </c>
      <c r="C218" s="11"/>
      <c r="D218" s="6">
        <v>20249.969999999998</v>
      </c>
      <c r="E218" s="2"/>
      <c r="F218" s="7">
        <f t="shared" si="28"/>
        <v>1.0209617059082321E-2</v>
      </c>
      <c r="G218" s="2"/>
      <c r="H218" s="6">
        <v>232125.79171051999</v>
      </c>
      <c r="I218" s="2"/>
      <c r="J218" s="7">
        <f t="shared" si="29"/>
        <v>9.5616855620842323E-2</v>
      </c>
      <c r="K218" s="2"/>
      <c r="L218" s="6">
        <f t="shared" si="30"/>
        <v>-211875.82171051999</v>
      </c>
      <c r="M218" s="2"/>
      <c r="N218" s="7">
        <f t="shared" si="31"/>
        <v>-0.91276294697465854</v>
      </c>
      <c r="O218" s="11"/>
      <c r="P218" s="6">
        <v>155917.54</v>
      </c>
      <c r="Q218" s="2"/>
      <c r="R218" s="7">
        <f t="shared" si="32"/>
        <v>8.6247923988372541E-3</v>
      </c>
      <c r="S218" s="2"/>
      <c r="T218" s="6">
        <v>1256864.8882415199</v>
      </c>
      <c r="U218" s="2"/>
      <c r="V218" s="7">
        <f t="shared" si="33"/>
        <v>6.6477607912806616E-2</v>
      </c>
      <c r="W218" s="2"/>
      <c r="X218" s="6">
        <f t="shared" si="34"/>
        <v>-1100947.3482415199</v>
      </c>
      <c r="Y218" s="2"/>
      <c r="Z218" s="7">
        <f t="shared" si="35"/>
        <v>-0.87594725458665301</v>
      </c>
    </row>
    <row r="219" spans="1:26" s="24" customFormat="1" hidden="1" outlineLevel="2" x14ac:dyDescent="0.25">
      <c r="A219" s="26"/>
      <c r="B219" s="11" t="str">
        <f>CONCATENATE("          ", "6009", " - ", "TEMPORARY-SEASONAL")</f>
        <v xml:space="preserve">          6009 - TEMPORARY-SEASONAL</v>
      </c>
      <c r="C219" s="11"/>
      <c r="D219" s="6"/>
      <c r="E219" s="2"/>
      <c r="F219" s="7">
        <f t="shared" si="28"/>
        <v>0</v>
      </c>
      <c r="G219" s="2"/>
      <c r="H219" s="6">
        <v>0</v>
      </c>
      <c r="I219" s="2"/>
      <c r="J219" s="7">
        <f t="shared" si="29"/>
        <v>0</v>
      </c>
      <c r="K219" s="2"/>
      <c r="L219" s="6">
        <f t="shared" si="30"/>
        <v>0</v>
      </c>
      <c r="M219" s="2"/>
      <c r="N219" s="7">
        <f t="shared" si="31"/>
        <v>0</v>
      </c>
      <c r="O219" s="11"/>
      <c r="P219" s="6"/>
      <c r="Q219" s="2"/>
      <c r="R219" s="7">
        <f t="shared" si="32"/>
        <v>0</v>
      </c>
      <c r="S219" s="2"/>
      <c r="T219" s="6">
        <v>0</v>
      </c>
      <c r="U219" s="2"/>
      <c r="V219" s="7">
        <f t="shared" si="33"/>
        <v>0</v>
      </c>
      <c r="W219" s="2"/>
      <c r="X219" s="6">
        <f t="shared" si="34"/>
        <v>0</v>
      </c>
      <c r="Y219" s="2"/>
      <c r="Z219" s="7">
        <f t="shared" si="35"/>
        <v>0</v>
      </c>
    </row>
    <row r="220" spans="1:26" s="24" customFormat="1" hidden="1" outlineLevel="2" x14ac:dyDescent="0.25">
      <c r="A220" s="26"/>
      <c r="B220" s="11" t="str">
        <f>CONCATENATE("          ", "6010", " - ", "GRATUITY")</f>
        <v xml:space="preserve">          6010 - GRATUITY</v>
      </c>
      <c r="C220" s="11"/>
      <c r="D220" s="6"/>
      <c r="E220" s="2"/>
      <c r="F220" s="7">
        <f t="shared" si="28"/>
        <v>0</v>
      </c>
      <c r="G220" s="2"/>
      <c r="H220" s="6">
        <v>0</v>
      </c>
      <c r="I220" s="2"/>
      <c r="J220" s="7">
        <f t="shared" si="29"/>
        <v>0</v>
      </c>
      <c r="K220" s="2"/>
      <c r="L220" s="6">
        <f t="shared" si="30"/>
        <v>0</v>
      </c>
      <c r="M220" s="2"/>
      <c r="N220" s="7">
        <f t="shared" si="31"/>
        <v>0</v>
      </c>
      <c r="O220" s="11"/>
      <c r="P220" s="6"/>
      <c r="Q220" s="2"/>
      <c r="R220" s="7">
        <f t="shared" si="32"/>
        <v>0</v>
      </c>
      <c r="S220" s="2"/>
      <c r="T220" s="6">
        <v>0</v>
      </c>
      <c r="U220" s="2"/>
      <c r="V220" s="7">
        <f t="shared" si="33"/>
        <v>0</v>
      </c>
      <c r="W220" s="2"/>
      <c r="X220" s="6">
        <f t="shared" si="34"/>
        <v>0</v>
      </c>
      <c r="Y220" s="2"/>
      <c r="Z220" s="7">
        <f t="shared" si="35"/>
        <v>0</v>
      </c>
    </row>
    <row r="221" spans="1:26" s="25" customFormat="1" outlineLevel="1" collapsed="1" x14ac:dyDescent="0.25">
      <c r="A221" s="27"/>
      <c r="B221" s="13" t="str">
        <f>CONCATENATE("     ","Advertising/Promo                                 ")</f>
        <v xml:space="preserve">     Advertising/Promo                                 </v>
      </c>
      <c r="C221" s="13"/>
      <c r="D221" s="1">
        <f>SUM(OSRRefD22_2x_0)</f>
        <v>8083.59</v>
      </c>
      <c r="E221" s="1"/>
      <c r="F221" s="5">
        <f t="shared" ref="F221:F225" si="36">IF(D$12=0,0,D221/D$12)</f>
        <v>4.0755792903706652E-3</v>
      </c>
      <c r="G221" s="1"/>
      <c r="H221" s="1">
        <f>SUM(OSRRefH22_2x_0)</f>
        <v>9095</v>
      </c>
      <c r="I221" s="1"/>
      <c r="J221" s="5">
        <f t="shared" ref="J221:J225" si="37">IF(H$12=0,0,H221/H$12)</f>
        <v>3.7463967078508356E-3</v>
      </c>
      <c r="K221" s="1"/>
      <c r="L221" s="1">
        <f t="shared" ref="L221:L225" si="38">+D221-H221</f>
        <v>-1011.4099999999999</v>
      </c>
      <c r="M221" s="1"/>
      <c r="N221" s="5">
        <f t="shared" ref="N221:N225" si="39">IF(H221=0,0,L221/H221)</f>
        <v>-0.11120505772402417</v>
      </c>
      <c r="O221" s="13"/>
      <c r="P221" s="1">
        <f>SUM(OSRRefP22_2x_0)</f>
        <v>68920.320000000007</v>
      </c>
      <c r="Q221" s="1"/>
      <c r="R221" s="5">
        <f t="shared" ref="R221:R225" si="40">IF(P$12=0,0,P221/P$12)</f>
        <v>3.8124219511251347E-3</v>
      </c>
      <c r="S221" s="1"/>
      <c r="T221" s="1">
        <f>SUM(OSRRefT22_2x_0)</f>
        <v>68410</v>
      </c>
      <c r="U221" s="1"/>
      <c r="V221" s="5">
        <f t="shared" ref="V221:V225" si="41">IF(T$12=0,0,T221/T$12)</f>
        <v>3.6183150630278451E-3</v>
      </c>
      <c r="W221" s="1"/>
      <c r="X221" s="1">
        <f t="shared" ref="X221:X225" si="42">+P221-T221</f>
        <v>510.32000000000698</v>
      </c>
      <c r="Y221" s="1"/>
      <c r="Z221" s="5">
        <f t="shared" ref="Z221:Z225" si="43">IF(T221=0,0,X221/T221)</f>
        <v>7.4597281099255518E-3</v>
      </c>
    </row>
    <row r="222" spans="1:26" s="24" customFormat="1" hidden="1" outlineLevel="2" x14ac:dyDescent="0.25">
      <c r="A222" s="26"/>
      <c r="B222" s="11" t="str">
        <f>CONCATENATE("          ", "6362", " - ", "ADVERTISING EXPENSE")</f>
        <v xml:space="preserve">          6362 - ADVERTISING EXPENSE</v>
      </c>
      <c r="C222" s="11"/>
      <c r="D222" s="6">
        <v>8083.59</v>
      </c>
      <c r="E222" s="2"/>
      <c r="F222" s="7">
        <f t="shared" si="36"/>
        <v>4.0755792903706652E-3</v>
      </c>
      <c r="G222" s="2"/>
      <c r="H222" s="6">
        <v>9095</v>
      </c>
      <c r="I222" s="2"/>
      <c r="J222" s="7">
        <f t="shared" si="37"/>
        <v>3.7463967078508356E-3</v>
      </c>
      <c r="K222" s="2"/>
      <c r="L222" s="6">
        <f t="shared" si="38"/>
        <v>-1011.4099999999999</v>
      </c>
      <c r="M222" s="2"/>
      <c r="N222" s="7">
        <f t="shared" si="39"/>
        <v>-0.11120505772402417</v>
      </c>
      <c r="O222" s="11"/>
      <c r="P222" s="6">
        <v>68920.320000000007</v>
      </c>
      <c r="Q222" s="2"/>
      <c r="R222" s="7">
        <f t="shared" si="40"/>
        <v>3.8124219511251347E-3</v>
      </c>
      <c r="S222" s="2"/>
      <c r="T222" s="6">
        <v>68410</v>
      </c>
      <c r="U222" s="2"/>
      <c r="V222" s="7">
        <f t="shared" si="41"/>
        <v>3.6183150630278451E-3</v>
      </c>
      <c r="W222" s="2"/>
      <c r="X222" s="6">
        <f t="shared" si="42"/>
        <v>510.32000000000698</v>
      </c>
      <c r="Y222" s="2"/>
      <c r="Z222" s="7">
        <f t="shared" si="43"/>
        <v>7.4597281099255518E-3</v>
      </c>
    </row>
    <row r="223" spans="1:26" s="25" customFormat="1" outlineLevel="1" collapsed="1" x14ac:dyDescent="0.25">
      <c r="A223" s="27"/>
      <c r="B223" s="13" t="str">
        <f>CONCATENATE("     ","Bad Debts/Over/Short                              ")</f>
        <v xml:space="preserve">     Bad Debts/Over/Short                              </v>
      </c>
      <c r="C223" s="13"/>
      <c r="D223" s="1">
        <f>SUM(OSRRefD22_3x_0)</f>
        <v>-21.5</v>
      </c>
      <c r="E223" s="1"/>
      <c r="F223" s="5">
        <f t="shared" si="36"/>
        <v>-1.0839856393380826E-5</v>
      </c>
      <c r="G223" s="1"/>
      <c r="H223" s="1">
        <f>SUM(OSRRefH22_3x_0)</f>
        <v>402</v>
      </c>
      <c r="I223" s="1"/>
      <c r="J223" s="5">
        <f t="shared" si="37"/>
        <v>1.6559114640528157E-4</v>
      </c>
      <c r="K223" s="1"/>
      <c r="L223" s="1">
        <f t="shared" si="38"/>
        <v>-423.5</v>
      </c>
      <c r="M223" s="1"/>
      <c r="N223" s="5">
        <f t="shared" si="39"/>
        <v>-1.0534825870646767</v>
      </c>
      <c r="O223" s="13"/>
      <c r="P223" s="1">
        <f>SUM(OSRRefP22_3x_0)</f>
        <v>-195.85000000000002</v>
      </c>
      <c r="Q223" s="1"/>
      <c r="R223" s="5">
        <f t="shared" si="40"/>
        <v>-1.083371114829208E-5</v>
      </c>
      <c r="S223" s="1"/>
      <c r="T223" s="1">
        <f>SUM(OSRRefT22_3x_0)</f>
        <v>2324</v>
      </c>
      <c r="U223" s="1"/>
      <c r="V223" s="5">
        <f t="shared" si="41"/>
        <v>1.2292010241889655E-4</v>
      </c>
      <c r="W223" s="1"/>
      <c r="X223" s="1">
        <f t="shared" si="42"/>
        <v>-2519.85</v>
      </c>
      <c r="Y223" s="1"/>
      <c r="Z223" s="5">
        <f t="shared" si="43"/>
        <v>-1.0842728055077453</v>
      </c>
    </row>
    <row r="224" spans="1:26" s="24" customFormat="1" hidden="1" outlineLevel="2" x14ac:dyDescent="0.25">
      <c r="A224" s="26"/>
      <c r="B224" s="11" t="str">
        <f>CONCATENATE("          ", "6272", " - ", "CASH (OVER/SHORT)")</f>
        <v xml:space="preserve">          6272 - CASH (OVER/SHORT)</v>
      </c>
      <c r="C224" s="11"/>
      <c r="D224" s="6">
        <v>-21.5</v>
      </c>
      <c r="E224" s="2"/>
      <c r="F224" s="7">
        <f t="shared" si="36"/>
        <v>-1.0839856393380826E-5</v>
      </c>
      <c r="G224" s="2"/>
      <c r="H224" s="6">
        <v>342</v>
      </c>
      <c r="I224" s="2"/>
      <c r="J224" s="7">
        <f t="shared" si="37"/>
        <v>1.4087604992688135E-4</v>
      </c>
      <c r="K224" s="2"/>
      <c r="L224" s="6">
        <f t="shared" si="38"/>
        <v>-363.5</v>
      </c>
      <c r="M224" s="2"/>
      <c r="N224" s="7">
        <f t="shared" si="39"/>
        <v>-1.0628654970760234</v>
      </c>
      <c r="O224" s="11"/>
      <c r="P224" s="6">
        <v>-240.65</v>
      </c>
      <c r="Q224" s="2"/>
      <c r="R224" s="7">
        <f t="shared" si="40"/>
        <v>-1.3311884543459222E-5</v>
      </c>
      <c r="S224" s="2"/>
      <c r="T224" s="6">
        <v>2014</v>
      </c>
      <c r="U224" s="2"/>
      <c r="V224" s="7">
        <f t="shared" si="41"/>
        <v>1.0652370321499898E-4</v>
      </c>
      <c r="W224" s="2"/>
      <c r="X224" s="6">
        <f t="shared" si="42"/>
        <v>-2254.65</v>
      </c>
      <c r="Y224" s="2"/>
      <c r="Z224" s="7">
        <f t="shared" si="43"/>
        <v>-1.1194885799404171</v>
      </c>
    </row>
    <row r="225" spans="1:26" s="24" customFormat="1" hidden="1" outlineLevel="2" x14ac:dyDescent="0.25">
      <c r="A225" s="26"/>
      <c r="B225" s="11" t="str">
        <f>CONCATENATE("          ", "6342", " - ", "BAD DEBT")</f>
        <v xml:space="preserve">          6342 - BAD DEBT</v>
      </c>
      <c r="C225" s="11"/>
      <c r="D225" s="6"/>
      <c r="E225" s="2"/>
      <c r="F225" s="7">
        <f t="shared" si="36"/>
        <v>0</v>
      </c>
      <c r="G225" s="2"/>
      <c r="H225" s="6">
        <v>60</v>
      </c>
      <c r="I225" s="2"/>
      <c r="J225" s="7">
        <f t="shared" si="37"/>
        <v>2.4715096478400237E-5</v>
      </c>
      <c r="K225" s="2"/>
      <c r="L225" s="6">
        <f t="shared" si="38"/>
        <v>-60</v>
      </c>
      <c r="M225" s="2"/>
      <c r="N225" s="7">
        <f t="shared" si="39"/>
        <v>-1</v>
      </c>
      <c r="O225" s="11"/>
      <c r="P225" s="6">
        <v>44.8</v>
      </c>
      <c r="Q225" s="2"/>
      <c r="R225" s="7">
        <f t="shared" si="40"/>
        <v>2.4781733951671437E-6</v>
      </c>
      <c r="S225" s="2"/>
      <c r="T225" s="6">
        <v>310</v>
      </c>
      <c r="U225" s="2"/>
      <c r="V225" s="7">
        <f t="shared" si="41"/>
        <v>1.6396399203897559E-5</v>
      </c>
      <c r="W225" s="2"/>
      <c r="X225" s="6">
        <f t="shared" si="42"/>
        <v>-265.2</v>
      </c>
      <c r="Y225" s="2"/>
      <c r="Z225" s="7">
        <f t="shared" si="43"/>
        <v>-0.85548387096774192</v>
      </c>
    </row>
    <row r="226" spans="1:26" s="25" customFormat="1" outlineLevel="1" collapsed="1" x14ac:dyDescent="0.25">
      <c r="A226" s="27"/>
      <c r="B226" s="13" t="str">
        <f>CONCATENATE("     ","Bank/card Fees                                    ")</f>
        <v xml:space="preserve">     Bank/card Fees                                    </v>
      </c>
      <c r="C226" s="13"/>
      <c r="D226" s="1">
        <f>SUM(OSRRefD22_4x_0)</f>
        <v>43644.45</v>
      </c>
      <c r="E226" s="1"/>
      <c r="F226" s="5">
        <f t="shared" ref="F226:F232" si="44">IF(D$12=0,0,D226/D$12)</f>
        <v>2.2004631179911152E-2</v>
      </c>
      <c r="G226" s="1"/>
      <c r="H226" s="1">
        <f>SUM(OSRRefH22_4x_0)</f>
        <v>48196</v>
      </c>
      <c r="I226" s="1"/>
      <c r="J226" s="5">
        <f t="shared" ref="J226:J232" si="45">IF(H$12=0,0,H226/H$12)</f>
        <v>1.9852813164549628E-2</v>
      </c>
      <c r="K226" s="1"/>
      <c r="L226" s="1">
        <f t="shared" ref="L226:L232" si="46">+D226-H226</f>
        <v>-4551.5500000000029</v>
      </c>
      <c r="M226" s="1"/>
      <c r="N226" s="5">
        <f t="shared" ref="N226:N232" si="47">IF(H226=0,0,L226/H226)</f>
        <v>-9.4438335131546244E-2</v>
      </c>
      <c r="O226" s="13"/>
      <c r="P226" s="1">
        <f>SUM(OSRRefP22_4x_0)</f>
        <v>266977.99</v>
      </c>
      <c r="Q226" s="1"/>
      <c r="R226" s="5">
        <f t="shared" ref="R226:R232" si="48">IF(P$12=0,0,P226/P$12)</f>
        <v>1.4768253390919637E-2</v>
      </c>
      <c r="S226" s="1"/>
      <c r="T226" s="1">
        <f>SUM(OSRRefT22_4x_0)</f>
        <v>237777</v>
      </c>
      <c r="U226" s="1"/>
      <c r="V226" s="5">
        <f t="shared" ref="V226:V232" si="49">IF(T$12=0,0,T226/T$12)</f>
        <v>1.2576408430661774E-2</v>
      </c>
      <c r="W226" s="1"/>
      <c r="X226" s="1">
        <f t="shared" ref="X226:X232" si="50">+P226-T226</f>
        <v>29200.989999999991</v>
      </c>
      <c r="Y226" s="1"/>
      <c r="Z226" s="5">
        <f t="shared" ref="Z226:Z232" si="51">IF(T226=0,0,X226/T226)</f>
        <v>0.12280830357856307</v>
      </c>
    </row>
    <row r="227" spans="1:26" s="24" customFormat="1" hidden="1" outlineLevel="2" x14ac:dyDescent="0.25">
      <c r="A227" s="26"/>
      <c r="B227" s="11" t="str">
        <f>CONCATENATE("          ", "6381", " - ", "BANK/CREDIT CARD FEES")</f>
        <v xml:space="preserve">          6381 - BANK/CREDIT CARD FEES</v>
      </c>
      <c r="C227" s="11"/>
      <c r="D227" s="6">
        <v>43644.45</v>
      </c>
      <c r="E227" s="2"/>
      <c r="F227" s="7">
        <f t="shared" si="44"/>
        <v>2.2004631179911152E-2</v>
      </c>
      <c r="G227" s="2"/>
      <c r="H227" s="6">
        <v>48196</v>
      </c>
      <c r="I227" s="2"/>
      <c r="J227" s="7">
        <f t="shared" si="45"/>
        <v>1.9852813164549628E-2</v>
      </c>
      <c r="K227" s="2"/>
      <c r="L227" s="6">
        <f t="shared" si="46"/>
        <v>-4551.5500000000029</v>
      </c>
      <c r="M227" s="2"/>
      <c r="N227" s="7">
        <f t="shared" si="47"/>
        <v>-9.4438335131546244E-2</v>
      </c>
      <c r="O227" s="11"/>
      <c r="P227" s="6">
        <v>266977.99</v>
      </c>
      <c r="Q227" s="2"/>
      <c r="R227" s="7">
        <f t="shared" si="48"/>
        <v>1.4768253390919637E-2</v>
      </c>
      <c r="S227" s="2"/>
      <c r="T227" s="6">
        <v>237777</v>
      </c>
      <c r="U227" s="2"/>
      <c r="V227" s="7">
        <f t="shared" si="49"/>
        <v>1.2576408430661774E-2</v>
      </c>
      <c r="W227" s="2"/>
      <c r="X227" s="6">
        <f t="shared" si="50"/>
        <v>29200.989999999991</v>
      </c>
      <c r="Y227" s="2"/>
      <c r="Z227" s="7">
        <f t="shared" si="51"/>
        <v>0.12280830357856307</v>
      </c>
    </row>
    <row r="228" spans="1:26" s="25" customFormat="1" outlineLevel="1" collapsed="1" x14ac:dyDescent="0.25">
      <c r="A228" s="27"/>
      <c r="B228" s="13" t="str">
        <f>CONCATENATE("     ","Depreciation                                      ")</f>
        <v xml:space="preserve">     Depreciation                                      </v>
      </c>
      <c r="C228" s="13"/>
      <c r="D228" s="1">
        <f>SUM(OSRRefD22_5x_0)</f>
        <v>79350.27</v>
      </c>
      <c r="E228" s="1"/>
      <c r="F228" s="5">
        <f t="shared" si="44"/>
        <v>4.0006768910511387E-2</v>
      </c>
      <c r="G228" s="1"/>
      <c r="H228" s="1">
        <f>SUM(OSRRefH22_5x_0)</f>
        <v>83801</v>
      </c>
      <c r="I228" s="1"/>
      <c r="J228" s="5">
        <f t="shared" si="45"/>
        <v>3.4519163333106971E-2</v>
      </c>
      <c r="K228" s="1"/>
      <c r="L228" s="1">
        <f t="shared" si="46"/>
        <v>-4450.7299999999959</v>
      </c>
      <c r="M228" s="1"/>
      <c r="N228" s="5">
        <f t="shared" si="47"/>
        <v>-5.3110702736244152E-2</v>
      </c>
      <c r="O228" s="13"/>
      <c r="P228" s="1">
        <f>SUM(OSRRefP22_5x_0)</f>
        <v>468662.27</v>
      </c>
      <c r="Q228" s="1"/>
      <c r="R228" s="5">
        <f t="shared" si="48"/>
        <v>2.5924695732871445E-2</v>
      </c>
      <c r="S228" s="1"/>
      <c r="T228" s="1">
        <f>SUM(OSRRefT22_5x_0)</f>
        <v>486419</v>
      </c>
      <c r="U228" s="1"/>
      <c r="V228" s="5">
        <f t="shared" si="49"/>
        <v>2.572748420761499E-2</v>
      </c>
      <c r="W228" s="1"/>
      <c r="X228" s="1">
        <f t="shared" si="50"/>
        <v>-17756.729999999981</v>
      </c>
      <c r="Y228" s="1"/>
      <c r="Z228" s="5">
        <f t="shared" si="51"/>
        <v>-3.6505009055978449E-2</v>
      </c>
    </row>
    <row r="229" spans="1:26" s="24" customFormat="1" hidden="1" outlineLevel="2" x14ac:dyDescent="0.25">
      <c r="A229" s="26"/>
      <c r="B229" s="11" t="str">
        <f>CONCATENATE("          ", "6321", " - ", "BUILDING DEPRECIATION")</f>
        <v xml:space="preserve">          6321 - BUILDING DEPRECIATION</v>
      </c>
      <c r="C229" s="11"/>
      <c r="D229" s="6">
        <v>45519.990000000005</v>
      </c>
      <c r="E229" s="2"/>
      <c r="F229" s="7">
        <f t="shared" si="44"/>
        <v>2.2950239750145641E-2</v>
      </c>
      <c r="G229" s="2"/>
      <c r="H229" s="6">
        <v>44515</v>
      </c>
      <c r="I229" s="2"/>
      <c r="J229" s="7">
        <f t="shared" si="45"/>
        <v>1.8336541995599774E-2</v>
      </c>
      <c r="K229" s="2"/>
      <c r="L229" s="6">
        <f t="shared" si="46"/>
        <v>1004.9900000000052</v>
      </c>
      <c r="M229" s="2"/>
      <c r="N229" s="7">
        <f t="shared" si="47"/>
        <v>2.2576434909581156E-2</v>
      </c>
      <c r="O229" s="11"/>
      <c r="P229" s="6">
        <v>273119.94</v>
      </c>
      <c r="Q229" s="2"/>
      <c r="R229" s="7">
        <f t="shared" si="48"/>
        <v>1.5108003772268898E-2</v>
      </c>
      <c r="S229" s="2"/>
      <c r="T229" s="6">
        <v>267504</v>
      </c>
      <c r="U229" s="2"/>
      <c r="V229" s="7">
        <f t="shared" si="49"/>
        <v>1.4148717331094879E-2</v>
      </c>
      <c r="W229" s="2"/>
      <c r="X229" s="6">
        <f t="shared" si="50"/>
        <v>5615.9400000000023</v>
      </c>
      <c r="Y229" s="2"/>
      <c r="Z229" s="7">
        <f t="shared" si="51"/>
        <v>2.0993854297505839E-2</v>
      </c>
    </row>
    <row r="230" spans="1:26" s="24" customFormat="1" hidden="1" outlineLevel="2" x14ac:dyDescent="0.25">
      <c r="A230" s="26"/>
      <c r="B230" s="11" t="str">
        <f>CONCATENATE("          ", "6322", " - ", "EQUIPMENT DEPRECIATION EXPENSE")</f>
        <v xml:space="preserve">          6322 - EQUIPMENT DEPRECIATION EXPENSE</v>
      </c>
      <c r="C230" s="11"/>
      <c r="D230" s="6">
        <v>33406.03</v>
      </c>
      <c r="E230" s="2"/>
      <c r="F230" s="7">
        <f t="shared" si="44"/>
        <v>1.6842631063859147E-2</v>
      </c>
      <c r="G230" s="2"/>
      <c r="H230" s="6">
        <v>31525</v>
      </c>
      <c r="I230" s="2"/>
      <c r="J230" s="7">
        <f t="shared" si="45"/>
        <v>1.2985723608026124E-2</v>
      </c>
      <c r="K230" s="2"/>
      <c r="L230" s="6">
        <f t="shared" si="46"/>
        <v>1881.0299999999988</v>
      </c>
      <c r="M230" s="2"/>
      <c r="N230" s="7">
        <f t="shared" si="47"/>
        <v>5.966788263283105E-2</v>
      </c>
      <c r="O230" s="11"/>
      <c r="P230" s="6">
        <v>192996.83000000002</v>
      </c>
      <c r="Q230" s="2"/>
      <c r="R230" s="7">
        <f t="shared" si="48"/>
        <v>1.0675884139678484E-2</v>
      </c>
      <c r="S230" s="2"/>
      <c r="T230" s="6">
        <v>189150</v>
      </c>
      <c r="U230" s="2"/>
      <c r="V230" s="7">
        <f t="shared" si="49"/>
        <v>1.0004448094894269E-2</v>
      </c>
      <c r="W230" s="2"/>
      <c r="X230" s="6">
        <f t="shared" si="50"/>
        <v>3846.8300000000163</v>
      </c>
      <c r="Y230" s="2"/>
      <c r="Z230" s="7">
        <f t="shared" si="51"/>
        <v>2.0337457044673626E-2</v>
      </c>
    </row>
    <row r="231" spans="1:26" s="24" customFormat="1" hidden="1" outlineLevel="2" x14ac:dyDescent="0.25">
      <c r="A231" s="26"/>
      <c r="B231" s="11" t="str">
        <f>CONCATENATE("          ", "6324", " - ", "FURNITURE + FIXT DEPRECIATION")</f>
        <v xml:space="preserve">          6324 - FURNITURE + FIXT DEPRECIATION</v>
      </c>
      <c r="C231" s="11"/>
      <c r="D231" s="6"/>
      <c r="E231" s="2"/>
      <c r="F231" s="7">
        <f t="shared" si="44"/>
        <v>0</v>
      </c>
      <c r="G231" s="2"/>
      <c r="H231" s="6">
        <v>5254</v>
      </c>
      <c r="I231" s="2"/>
      <c r="J231" s="7">
        <f t="shared" si="45"/>
        <v>2.1642186149585805E-3</v>
      </c>
      <c r="K231" s="2"/>
      <c r="L231" s="6">
        <f t="shared" si="46"/>
        <v>-5254</v>
      </c>
      <c r="M231" s="2"/>
      <c r="N231" s="7">
        <f t="shared" si="47"/>
        <v>-1</v>
      </c>
      <c r="O231" s="11"/>
      <c r="P231" s="6"/>
      <c r="Q231" s="2"/>
      <c r="R231" s="7">
        <f t="shared" si="48"/>
        <v>0</v>
      </c>
      <c r="S231" s="2"/>
      <c r="T231" s="6">
        <v>20972</v>
      </c>
      <c r="U231" s="2"/>
      <c r="V231" s="7">
        <f t="shared" si="49"/>
        <v>1.1092428519488375E-3</v>
      </c>
      <c r="W231" s="2"/>
      <c r="X231" s="6">
        <f t="shared" si="50"/>
        <v>-20972</v>
      </c>
      <c r="Y231" s="2"/>
      <c r="Z231" s="7">
        <f t="shared" si="51"/>
        <v>-1</v>
      </c>
    </row>
    <row r="232" spans="1:26" s="24" customFormat="1" hidden="1" outlineLevel="2" x14ac:dyDescent="0.25">
      <c r="A232" s="26"/>
      <c r="B232" s="11" t="str">
        <f>CONCATENATE("          ", "6326", " - ", "VEHICLES DEPRECIATION EXPENSE")</f>
        <v xml:space="preserve">          6326 - VEHICLES DEPRECIATION EXPENSE</v>
      </c>
      <c r="C232" s="11"/>
      <c r="D232" s="6">
        <v>424.25</v>
      </c>
      <c r="E232" s="2"/>
      <c r="F232" s="7">
        <f t="shared" si="44"/>
        <v>2.1389809650659605E-4</v>
      </c>
      <c r="G232" s="2"/>
      <c r="H232" s="6">
        <v>2507</v>
      </c>
      <c r="I232" s="2"/>
      <c r="J232" s="7">
        <f t="shared" si="45"/>
        <v>1.0326791145224899E-3</v>
      </c>
      <c r="K232" s="2"/>
      <c r="L232" s="6">
        <f t="shared" si="46"/>
        <v>-2082.75</v>
      </c>
      <c r="M232" s="2"/>
      <c r="N232" s="7">
        <f t="shared" si="47"/>
        <v>-0.83077383326685283</v>
      </c>
      <c r="O232" s="11"/>
      <c r="P232" s="6">
        <v>2545.5</v>
      </c>
      <c r="Q232" s="2"/>
      <c r="R232" s="7">
        <f t="shared" si="48"/>
        <v>1.408078209240617E-4</v>
      </c>
      <c r="S232" s="2"/>
      <c r="T232" s="6">
        <v>8793</v>
      </c>
      <c r="U232" s="2"/>
      <c r="V232" s="7">
        <f t="shared" si="49"/>
        <v>4.6507592967700396E-4</v>
      </c>
      <c r="W232" s="2"/>
      <c r="X232" s="6">
        <f t="shared" si="50"/>
        <v>-6247.5</v>
      </c>
      <c r="Y232" s="2"/>
      <c r="Z232" s="7">
        <f t="shared" si="51"/>
        <v>-0.7105083589218697</v>
      </c>
    </row>
    <row r="233" spans="1:26" s="25" customFormat="1" outlineLevel="1" collapsed="1" x14ac:dyDescent="0.25">
      <c r="A233" s="27"/>
      <c r="B233" s="13" t="str">
        <f>CONCATENATE("     ","Discounts and Markdowns                           ")</f>
        <v xml:space="preserve">     Discounts and Markdowns                           </v>
      </c>
      <c r="C233" s="13"/>
      <c r="D233" s="1">
        <f>SUM(OSRRefD22_6x_0)</f>
        <v>41769.519999999997</v>
      </c>
      <c r="E233" s="1"/>
      <c r="F233" s="5">
        <f t="shared" ref="F233:F235" si="52">IF(D$12=0,0,D233/D$12)</f>
        <v>2.1059330159090617E-2</v>
      </c>
      <c r="G233" s="1"/>
      <c r="H233" s="1">
        <f>SUM(OSRRefH22_6x_0)</f>
        <v>58925</v>
      </c>
      <c r="I233" s="1"/>
      <c r="J233" s="5">
        <f t="shared" ref="J233:J235" si="53">IF(H$12=0,0,H233/H$12)</f>
        <v>2.4272284333162232E-2</v>
      </c>
      <c r="K233" s="1"/>
      <c r="L233" s="1">
        <f t="shared" ref="L233:L235" si="54">+D233-H233</f>
        <v>-17155.480000000003</v>
      </c>
      <c r="M233" s="1"/>
      <c r="N233" s="5">
        <f t="shared" ref="N233:N235" si="55">IF(H233=0,0,L233/H233)</f>
        <v>-0.29114094187526524</v>
      </c>
      <c r="O233" s="13"/>
      <c r="P233" s="1">
        <f>SUM(OSRRefP22_6x_0)</f>
        <v>237051.37000000002</v>
      </c>
      <c r="Q233" s="1"/>
      <c r="R233" s="5">
        <f t="shared" ref="R233:R235" si="56">IF(P$12=0,0,P233/P$12)</f>
        <v>1.3112821393346493E-2</v>
      </c>
      <c r="S233" s="1"/>
      <c r="T233" s="1">
        <f>SUM(OSRRefT22_6x_0)</f>
        <v>207050</v>
      </c>
      <c r="U233" s="1"/>
      <c r="V233" s="5">
        <f t="shared" ref="V233:V235" si="57">IF(T$12=0,0,T233/T$12)</f>
        <v>1.0951207919893515E-2</v>
      </c>
      <c r="W233" s="1"/>
      <c r="X233" s="1">
        <f t="shared" ref="X233:X235" si="58">+P233-T233</f>
        <v>30001.370000000024</v>
      </c>
      <c r="Y233" s="1"/>
      <c r="Z233" s="5">
        <f t="shared" ref="Z233:Z235" si="59">IF(T233=0,0,X233/T233)</f>
        <v>0.14489915479352825</v>
      </c>
    </row>
    <row r="234" spans="1:26" s="24" customFormat="1" hidden="1" outlineLevel="2" x14ac:dyDescent="0.25">
      <c r="A234" s="26"/>
      <c r="B234" s="11" t="str">
        <f>CONCATENATE("          ", "6382", " - ", "DISCOUNTS/MARK DOWNS")</f>
        <v xml:space="preserve">          6382 - DISCOUNTS/MARK DOWNS</v>
      </c>
      <c r="C234" s="11"/>
      <c r="D234" s="6">
        <v>41890.769999999997</v>
      </c>
      <c r="E234" s="2"/>
      <c r="F234" s="7">
        <f t="shared" si="52"/>
        <v>2.1120461907355611E-2</v>
      </c>
      <c r="G234" s="2"/>
      <c r="H234" s="6">
        <v>58925</v>
      </c>
      <c r="I234" s="2"/>
      <c r="J234" s="7">
        <f t="shared" si="53"/>
        <v>2.4272284333162232E-2</v>
      </c>
      <c r="K234" s="2"/>
      <c r="L234" s="6">
        <f t="shared" si="54"/>
        <v>-17034.230000000003</v>
      </c>
      <c r="M234" s="2"/>
      <c r="N234" s="7">
        <f t="shared" si="55"/>
        <v>-0.28908324140857028</v>
      </c>
      <c r="O234" s="11"/>
      <c r="P234" s="6">
        <v>239537.87000000002</v>
      </c>
      <c r="Q234" s="2"/>
      <c r="R234" s="7">
        <f t="shared" si="56"/>
        <v>1.3250365548415311E-2</v>
      </c>
      <c r="S234" s="2"/>
      <c r="T234" s="6">
        <v>207050</v>
      </c>
      <c r="U234" s="2"/>
      <c r="V234" s="7">
        <f t="shared" si="57"/>
        <v>1.0951207919893515E-2</v>
      </c>
      <c r="W234" s="2"/>
      <c r="X234" s="6">
        <f t="shared" si="58"/>
        <v>32487.870000000024</v>
      </c>
      <c r="Y234" s="2"/>
      <c r="Z234" s="7">
        <f t="shared" si="59"/>
        <v>0.15690833132093709</v>
      </c>
    </row>
    <row r="235" spans="1:26" s="24" customFormat="1" hidden="1" outlineLevel="2" x14ac:dyDescent="0.25">
      <c r="A235" s="26"/>
      <c r="B235" s="11" t="str">
        <f>CONCATENATE("          ", "9175", " - ", "EARNED DISCOUNTS")</f>
        <v xml:space="preserve">          9175 - EARNED DISCOUNTS</v>
      </c>
      <c r="C235" s="11"/>
      <c r="D235" s="6">
        <v>-121.25</v>
      </c>
      <c r="E235" s="2"/>
      <c r="F235" s="7">
        <f t="shared" si="52"/>
        <v>-6.1131748264996522E-5</v>
      </c>
      <c r="G235" s="2"/>
      <c r="H235" s="6"/>
      <c r="I235" s="2"/>
      <c r="J235" s="7">
        <f t="shared" si="53"/>
        <v>0</v>
      </c>
      <c r="K235" s="2"/>
      <c r="L235" s="6">
        <f t="shared" si="54"/>
        <v>-121.25</v>
      </c>
      <c r="M235" s="2"/>
      <c r="N235" s="7">
        <f t="shared" si="55"/>
        <v>0</v>
      </c>
      <c r="O235" s="11"/>
      <c r="P235" s="6">
        <v>-2486.5</v>
      </c>
      <c r="Q235" s="2"/>
      <c r="R235" s="7">
        <f t="shared" si="56"/>
        <v>-1.3754415506881927E-4</v>
      </c>
      <c r="S235" s="2"/>
      <c r="T235" s="6"/>
      <c r="U235" s="2"/>
      <c r="V235" s="7">
        <f t="shared" si="57"/>
        <v>0</v>
      </c>
      <c r="W235" s="2"/>
      <c r="X235" s="6">
        <f t="shared" si="58"/>
        <v>-2486.5</v>
      </c>
      <c r="Y235" s="2"/>
      <c r="Z235" s="7">
        <f t="shared" si="59"/>
        <v>0</v>
      </c>
    </row>
    <row r="236" spans="1:26" s="25" customFormat="1" outlineLevel="1" collapsed="1" x14ac:dyDescent="0.25">
      <c r="A236" s="27"/>
      <c r="B236" s="13" t="str">
        <f>CONCATENATE("     ","Donations                                         ")</f>
        <v xml:space="preserve">     Donations                                         </v>
      </c>
      <c r="C236" s="13"/>
      <c r="D236" s="1">
        <f>SUM(OSRRefD22_7x_0)</f>
        <v>11353.93</v>
      </c>
      <c r="E236" s="1"/>
      <c r="F236" s="5">
        <f t="shared" ref="F236:F239" si="60">IF(D$12=0,0,D236/D$12)</f>
        <v>5.7244172418836449E-3</v>
      </c>
      <c r="G236" s="1"/>
      <c r="H236" s="1">
        <f>SUM(OSRRefH22_7x_0)</f>
        <v>14225</v>
      </c>
      <c r="I236" s="1"/>
      <c r="J236" s="5">
        <f t="shared" ref="J236:J239" si="61">IF(H$12=0,0,H236/H$12)</f>
        <v>5.8595374567540553E-3</v>
      </c>
      <c r="K236" s="1"/>
      <c r="L236" s="1">
        <f t="shared" ref="L236:L239" si="62">+D236-H236</f>
        <v>-2871.0699999999997</v>
      </c>
      <c r="M236" s="1"/>
      <c r="N236" s="5">
        <f t="shared" ref="N236:N239" si="63">IF(H236=0,0,L236/H236)</f>
        <v>-0.20183268892794373</v>
      </c>
      <c r="O236" s="13"/>
      <c r="P236" s="1">
        <f>SUM(OSRRefP22_7x_0)</f>
        <v>87408.73</v>
      </c>
      <c r="Q236" s="1"/>
      <c r="R236" s="5">
        <f t="shared" ref="R236:R239" si="64">IF(P$12=0,0,P236/P$12)</f>
        <v>4.8351336873068791E-3</v>
      </c>
      <c r="S236" s="1"/>
      <c r="T236" s="1">
        <f>SUM(OSRRefT22_7x_0)</f>
        <v>79815</v>
      </c>
      <c r="U236" s="1"/>
      <c r="V236" s="5">
        <f t="shared" ref="V236:V239" si="65">IF(T$12=0,0,T236/T$12)</f>
        <v>4.2215438789002697E-3</v>
      </c>
      <c r="W236" s="1"/>
      <c r="X236" s="1">
        <f t="shared" ref="X236:X239" si="66">+P236-T236</f>
        <v>7593.7299999999959</v>
      </c>
      <c r="Y236" s="1"/>
      <c r="Z236" s="5">
        <f t="shared" ref="Z236:Z239" si="67">IF(T236=0,0,X236/T236)</f>
        <v>9.5141640042598452E-2</v>
      </c>
    </row>
    <row r="237" spans="1:26" s="24" customFormat="1" hidden="1" outlineLevel="2" x14ac:dyDescent="0.25">
      <c r="A237" s="26"/>
      <c r="B237" s="11" t="str">
        <f>CONCATENATE("          ", "6395", " - ", "DONATION-OFF CAMPUS")</f>
        <v xml:space="preserve">          6395 - DONATION-OFF CAMPUS</v>
      </c>
      <c r="C237" s="11"/>
      <c r="D237" s="6"/>
      <c r="E237" s="2"/>
      <c r="F237" s="7">
        <f t="shared" si="60"/>
        <v>0</v>
      </c>
      <c r="G237" s="2"/>
      <c r="H237" s="6">
        <v>1025</v>
      </c>
      <c r="I237" s="2"/>
      <c r="J237" s="7">
        <f t="shared" si="61"/>
        <v>4.2221623150600403E-4</v>
      </c>
      <c r="K237" s="2"/>
      <c r="L237" s="6">
        <f t="shared" si="62"/>
        <v>-1025</v>
      </c>
      <c r="M237" s="2"/>
      <c r="N237" s="7">
        <f t="shared" si="63"/>
        <v>-1</v>
      </c>
      <c r="O237" s="11"/>
      <c r="P237" s="6"/>
      <c r="Q237" s="2"/>
      <c r="R237" s="7">
        <f t="shared" si="64"/>
        <v>0</v>
      </c>
      <c r="S237" s="2"/>
      <c r="T237" s="6">
        <v>6225</v>
      </c>
      <c r="U237" s="2"/>
      <c r="V237" s="7">
        <f t="shared" si="65"/>
        <v>3.2925027433633003E-4</v>
      </c>
      <c r="W237" s="2"/>
      <c r="X237" s="6">
        <f t="shared" si="66"/>
        <v>-6225</v>
      </c>
      <c r="Y237" s="2"/>
      <c r="Z237" s="7">
        <f t="shared" si="67"/>
        <v>-1</v>
      </c>
    </row>
    <row r="238" spans="1:26" s="24" customFormat="1" hidden="1" outlineLevel="2" x14ac:dyDescent="0.25">
      <c r="A238" s="26"/>
      <c r="B238" s="11" t="str">
        <f>CONCATENATE("          ", "6396", " - ", "COUPONS-CHARTROOM")</f>
        <v xml:space="preserve">          6396 - COUPONS-CHARTROOM</v>
      </c>
      <c r="C238" s="11"/>
      <c r="D238" s="6"/>
      <c r="E238" s="2"/>
      <c r="F238" s="7">
        <f t="shared" si="60"/>
        <v>0</v>
      </c>
      <c r="G238" s="2"/>
      <c r="H238" s="6">
        <v>100</v>
      </c>
      <c r="I238" s="2"/>
      <c r="J238" s="7">
        <f t="shared" si="61"/>
        <v>4.1191827464000394E-5</v>
      </c>
      <c r="K238" s="2"/>
      <c r="L238" s="6">
        <f t="shared" si="62"/>
        <v>-100</v>
      </c>
      <c r="M238" s="2"/>
      <c r="N238" s="7">
        <f t="shared" si="63"/>
        <v>-1</v>
      </c>
      <c r="O238" s="11"/>
      <c r="P238" s="6"/>
      <c r="Q238" s="2"/>
      <c r="R238" s="7">
        <f t="shared" si="64"/>
        <v>0</v>
      </c>
      <c r="S238" s="2"/>
      <c r="T238" s="6">
        <v>600</v>
      </c>
      <c r="U238" s="2"/>
      <c r="V238" s="7">
        <f t="shared" si="65"/>
        <v>3.1734966201092046E-5</v>
      </c>
      <c r="W238" s="2"/>
      <c r="X238" s="6">
        <f t="shared" si="66"/>
        <v>-600</v>
      </c>
      <c r="Y238" s="2"/>
      <c r="Z238" s="7">
        <f t="shared" si="67"/>
        <v>-1</v>
      </c>
    </row>
    <row r="239" spans="1:26" s="24" customFormat="1" hidden="1" outlineLevel="2" x14ac:dyDescent="0.25">
      <c r="A239" s="26"/>
      <c r="B239" s="11" t="str">
        <f>CONCATENATE("          ", "6399", " - ", "DONATION-ON CAMPUS")</f>
        <v xml:space="preserve">          6399 - DONATION-ON CAMPUS</v>
      </c>
      <c r="C239" s="11"/>
      <c r="D239" s="6">
        <v>11353.93</v>
      </c>
      <c r="E239" s="2"/>
      <c r="F239" s="7">
        <f t="shared" si="60"/>
        <v>5.7244172418836449E-3</v>
      </c>
      <c r="G239" s="2"/>
      <c r="H239" s="6">
        <v>13100</v>
      </c>
      <c r="I239" s="2"/>
      <c r="J239" s="7">
        <f t="shared" si="61"/>
        <v>5.3961293977840517E-3</v>
      </c>
      <c r="K239" s="2"/>
      <c r="L239" s="6">
        <f t="shared" si="62"/>
        <v>-1746.0699999999997</v>
      </c>
      <c r="M239" s="2"/>
      <c r="N239" s="7">
        <f t="shared" si="63"/>
        <v>-0.13328778625954196</v>
      </c>
      <c r="O239" s="11"/>
      <c r="P239" s="6">
        <v>87408.73</v>
      </c>
      <c r="Q239" s="2"/>
      <c r="R239" s="7">
        <f t="shared" si="64"/>
        <v>4.8351336873068791E-3</v>
      </c>
      <c r="S239" s="2"/>
      <c r="T239" s="6">
        <v>72990</v>
      </c>
      <c r="U239" s="2"/>
      <c r="V239" s="7">
        <f t="shared" si="65"/>
        <v>3.8605586383628479E-3</v>
      </c>
      <c r="W239" s="2"/>
      <c r="X239" s="6">
        <f t="shared" si="66"/>
        <v>14418.729999999996</v>
      </c>
      <c r="Y239" s="2"/>
      <c r="Z239" s="7">
        <f t="shared" si="67"/>
        <v>0.19754391012467457</v>
      </c>
    </row>
    <row r="240" spans="1:26" s="25" customFormat="1" outlineLevel="1" collapsed="1" x14ac:dyDescent="0.25">
      <c r="A240" s="27"/>
      <c r="B240" s="13" t="str">
        <f>CONCATENATE("     ","Employees' Appreciation                           ")</f>
        <v xml:space="preserve">     Employees' Appreciation                           </v>
      </c>
      <c r="C240" s="13"/>
      <c r="D240" s="1">
        <f>SUM(OSRRefD22_8x_0)</f>
        <v>573.37</v>
      </c>
      <c r="E240" s="1"/>
      <c r="F240" s="5">
        <f t="shared" ref="F240:F246" si="68">IF(D$12=0,0,D240/D$12)</f>
        <v>2.8908132373361691E-4</v>
      </c>
      <c r="G240" s="1"/>
      <c r="H240" s="1">
        <f>SUM(OSRRefH22_8x_0)</f>
        <v>3885</v>
      </c>
      <c r="I240" s="1"/>
      <c r="J240" s="5">
        <f t="shared" ref="J240:J246" si="69">IF(H$12=0,0,H240/H$12)</f>
        <v>1.6003024969764152E-3</v>
      </c>
      <c r="K240" s="1"/>
      <c r="L240" s="1">
        <f t="shared" ref="L240:L246" si="70">+D240-H240</f>
        <v>-3311.63</v>
      </c>
      <c r="M240" s="1"/>
      <c r="N240" s="5">
        <f t="shared" ref="N240:N246" si="71">IF(H240=0,0,L240/H240)</f>
        <v>-0.85241441441441446</v>
      </c>
      <c r="O240" s="13"/>
      <c r="P240" s="1">
        <f>SUM(OSRRefP22_8x_0)</f>
        <v>3748.75</v>
      </c>
      <c r="Q240" s="1"/>
      <c r="R240" s="5">
        <f t="shared" ref="R240:R246" si="72">IF(P$12=0,0,P240/P$12)</f>
        <v>2.0736724364135782E-4</v>
      </c>
      <c r="S240" s="1"/>
      <c r="T240" s="1">
        <f>SUM(OSRRefT22_8x_0)</f>
        <v>12780</v>
      </c>
      <c r="U240" s="1"/>
      <c r="V240" s="5">
        <f t="shared" ref="V240:V246" si="73">IF(T$12=0,0,T240/T$12)</f>
        <v>6.7595478008326067E-4</v>
      </c>
      <c r="W240" s="1"/>
      <c r="X240" s="1">
        <f t="shared" ref="X240:X246" si="74">+P240-T240</f>
        <v>-9031.25</v>
      </c>
      <c r="Y240" s="1"/>
      <c r="Z240" s="5">
        <f t="shared" ref="Z240:Z246" si="75">IF(T240=0,0,X240/T240)</f>
        <v>-0.70667057902973396</v>
      </c>
    </row>
    <row r="241" spans="1:26" s="24" customFormat="1" hidden="1" outlineLevel="2" x14ac:dyDescent="0.25">
      <c r="A241" s="26"/>
      <c r="B241" s="11" t="str">
        <f>CONCATENATE("          ", "6277", " - ", "EMPLOYEE APPRECIATION")</f>
        <v xml:space="preserve">          6277 - EMPLOYEE APPRECIATION</v>
      </c>
      <c r="C241" s="11"/>
      <c r="D241" s="6">
        <v>573.37</v>
      </c>
      <c r="E241" s="2"/>
      <c r="F241" s="7">
        <f t="shared" si="68"/>
        <v>2.8908132373361691E-4</v>
      </c>
      <c r="G241" s="2"/>
      <c r="H241" s="6">
        <v>3885</v>
      </c>
      <c r="I241" s="2"/>
      <c r="J241" s="7">
        <f t="shared" si="69"/>
        <v>1.6003024969764152E-3</v>
      </c>
      <c r="K241" s="2"/>
      <c r="L241" s="6">
        <f t="shared" si="70"/>
        <v>-3311.63</v>
      </c>
      <c r="M241" s="2"/>
      <c r="N241" s="7">
        <f t="shared" si="71"/>
        <v>-0.85241441441441446</v>
      </c>
      <c r="O241" s="11"/>
      <c r="P241" s="6">
        <v>3748.75</v>
      </c>
      <c r="Q241" s="2"/>
      <c r="R241" s="7">
        <f t="shared" si="72"/>
        <v>2.0736724364135782E-4</v>
      </c>
      <c r="S241" s="2"/>
      <c r="T241" s="6">
        <v>12780</v>
      </c>
      <c r="U241" s="2"/>
      <c r="V241" s="7">
        <f t="shared" si="73"/>
        <v>6.7595478008326067E-4</v>
      </c>
      <c r="W241" s="2"/>
      <c r="X241" s="6">
        <f t="shared" si="74"/>
        <v>-9031.25</v>
      </c>
      <c r="Y241" s="2"/>
      <c r="Z241" s="7">
        <f t="shared" si="75"/>
        <v>-0.70667057902973396</v>
      </c>
    </row>
    <row r="242" spans="1:26" s="25" customFormat="1" outlineLevel="1" collapsed="1" x14ac:dyDescent="0.25">
      <c r="A242" s="27"/>
      <c r="B242" s="13" t="str">
        <f>CONCATENATE("     ","Equipment Rental                                  ")</f>
        <v xml:space="preserve">     Equipment Rental                                  </v>
      </c>
      <c r="C242" s="13"/>
      <c r="D242" s="1">
        <f>SUM(OSRRefD22_9x_0)</f>
        <v>3009.99</v>
      </c>
      <c r="E242" s="1"/>
      <c r="F242" s="5">
        <f t="shared" si="68"/>
        <v>1.517574853279644E-3</v>
      </c>
      <c r="G242" s="1"/>
      <c r="H242" s="1">
        <f>SUM(OSRRefH22_9x_0)</f>
        <v>5140</v>
      </c>
      <c r="I242" s="1"/>
      <c r="J242" s="5">
        <f t="shared" si="69"/>
        <v>2.1172599316496201E-3</v>
      </c>
      <c r="K242" s="1"/>
      <c r="L242" s="1">
        <f t="shared" si="70"/>
        <v>-2130.0100000000002</v>
      </c>
      <c r="M242" s="1"/>
      <c r="N242" s="5">
        <f t="shared" si="71"/>
        <v>-0.41439883268482497</v>
      </c>
      <c r="O242" s="13"/>
      <c r="P242" s="1">
        <f>SUM(OSRRefP22_9x_0)</f>
        <v>29436.74</v>
      </c>
      <c r="Q242" s="1"/>
      <c r="R242" s="5">
        <f t="shared" si="72"/>
        <v>1.628333614027957E-3</v>
      </c>
      <c r="S242" s="1"/>
      <c r="T242" s="1">
        <f>SUM(OSRRefT22_9x_0)</f>
        <v>33096</v>
      </c>
      <c r="U242" s="1"/>
      <c r="V242" s="5">
        <f t="shared" si="73"/>
        <v>1.7505007356522374E-3</v>
      </c>
      <c r="W242" s="1"/>
      <c r="X242" s="1">
        <f t="shared" si="74"/>
        <v>-3659.2599999999984</v>
      </c>
      <c r="Y242" s="1"/>
      <c r="Z242" s="5">
        <f t="shared" si="75"/>
        <v>-0.11056502296350007</v>
      </c>
    </row>
    <row r="243" spans="1:26" s="24" customFormat="1" hidden="1" outlineLevel="2" x14ac:dyDescent="0.25">
      <c r="A243" s="26"/>
      <c r="B243" s="11" t="str">
        <f>CONCATENATE("          ", "6351", " - ", "EQUIPMENT RENTAL")</f>
        <v xml:space="preserve">          6351 - EQUIPMENT RENTAL</v>
      </c>
      <c r="C243" s="11"/>
      <c r="D243" s="6">
        <v>3009.99</v>
      </c>
      <c r="E243" s="2"/>
      <c r="F243" s="7">
        <f t="shared" si="68"/>
        <v>1.517574853279644E-3</v>
      </c>
      <c r="G243" s="2"/>
      <c r="H243" s="6">
        <v>5140</v>
      </c>
      <c r="I243" s="2"/>
      <c r="J243" s="7">
        <f t="shared" si="69"/>
        <v>2.1172599316496201E-3</v>
      </c>
      <c r="K243" s="2"/>
      <c r="L243" s="6">
        <f t="shared" si="70"/>
        <v>-2130.0100000000002</v>
      </c>
      <c r="M243" s="2"/>
      <c r="N243" s="7">
        <f t="shared" si="71"/>
        <v>-0.41439883268482497</v>
      </c>
      <c r="O243" s="11"/>
      <c r="P243" s="6">
        <v>29436.74</v>
      </c>
      <c r="Q243" s="2"/>
      <c r="R243" s="7">
        <f t="shared" si="72"/>
        <v>1.628333614027957E-3</v>
      </c>
      <c r="S243" s="2"/>
      <c r="T243" s="6">
        <v>33096</v>
      </c>
      <c r="U243" s="2"/>
      <c r="V243" s="7">
        <f t="shared" si="73"/>
        <v>1.7505007356522374E-3</v>
      </c>
      <c r="W243" s="2"/>
      <c r="X243" s="6">
        <f t="shared" si="74"/>
        <v>-3659.2599999999984</v>
      </c>
      <c r="Y243" s="2"/>
      <c r="Z243" s="7">
        <f t="shared" si="75"/>
        <v>-0.11056502296350007</v>
      </c>
    </row>
    <row r="244" spans="1:26" s="25" customFormat="1" outlineLevel="1" collapsed="1" x14ac:dyDescent="0.25">
      <c r="A244" s="27"/>
      <c r="B244" s="13" t="str">
        <f>CONCATENATE("     ","Freight out/Postage                               ")</f>
        <v xml:space="preserve">     Freight out/Postage                               </v>
      </c>
      <c r="C244" s="13"/>
      <c r="D244" s="1">
        <f>SUM(OSRRefD22_10x_0)</f>
        <v>1921.3400000000001</v>
      </c>
      <c r="E244" s="1"/>
      <c r="F244" s="5">
        <f t="shared" si="68"/>
        <v>9.6869998524922406E-4</v>
      </c>
      <c r="G244" s="1"/>
      <c r="H244" s="1">
        <f>SUM(OSRRefH22_10x_0)</f>
        <v>-1174</v>
      </c>
      <c r="I244" s="1"/>
      <c r="J244" s="5">
        <f t="shared" si="69"/>
        <v>-4.8359205442736461E-4</v>
      </c>
      <c r="K244" s="1"/>
      <c r="L244" s="1">
        <f t="shared" si="70"/>
        <v>3095.34</v>
      </c>
      <c r="M244" s="1"/>
      <c r="N244" s="5">
        <f t="shared" si="71"/>
        <v>-2.6365758091993188</v>
      </c>
      <c r="O244" s="13"/>
      <c r="P244" s="1">
        <f>SUM(OSRRefP22_10x_0)</f>
        <v>6825.880000000001</v>
      </c>
      <c r="Q244" s="1"/>
      <c r="R244" s="5">
        <f t="shared" si="72"/>
        <v>3.7758290657597114E-4</v>
      </c>
      <c r="S244" s="1"/>
      <c r="T244" s="1">
        <f>SUM(OSRRefT22_10x_0)</f>
        <v>-29744</v>
      </c>
      <c r="U244" s="1"/>
      <c r="V244" s="5">
        <f t="shared" si="73"/>
        <v>-1.5732080578088031E-3</v>
      </c>
      <c r="W244" s="1"/>
      <c r="X244" s="1">
        <f t="shared" si="74"/>
        <v>36569.880000000005</v>
      </c>
      <c r="Y244" s="1"/>
      <c r="Z244" s="5">
        <f t="shared" si="75"/>
        <v>-1.2294876277568587</v>
      </c>
    </row>
    <row r="245" spans="1:26" s="24" customFormat="1" hidden="1" outlineLevel="2" x14ac:dyDescent="0.25">
      <c r="A245" s="26"/>
      <c r="B245" s="11" t="str">
        <f>CONCATENATE("          ", "6305", " - ", "FREIGHT OUT")</f>
        <v xml:space="preserve">          6305 - FREIGHT OUT</v>
      </c>
      <c r="C245" s="11"/>
      <c r="D245" s="6">
        <v>6027.58</v>
      </c>
      <c r="E245" s="2"/>
      <c r="F245" s="7">
        <f t="shared" si="68"/>
        <v>3.0389814697495067E-3</v>
      </c>
      <c r="G245" s="2"/>
      <c r="H245" s="6">
        <v>-1225</v>
      </c>
      <c r="I245" s="2"/>
      <c r="J245" s="7">
        <f t="shared" si="69"/>
        <v>-5.0459988643400476E-4</v>
      </c>
      <c r="K245" s="2"/>
      <c r="L245" s="6">
        <f t="shared" si="70"/>
        <v>7252.58</v>
      </c>
      <c r="M245" s="2"/>
      <c r="N245" s="7">
        <f t="shared" si="71"/>
        <v>-5.9204734693877548</v>
      </c>
      <c r="O245" s="11"/>
      <c r="P245" s="6">
        <v>34979.72</v>
      </c>
      <c r="Q245" s="2"/>
      <c r="R245" s="7">
        <f t="shared" si="72"/>
        <v>1.9349511489820546E-3</v>
      </c>
      <c r="S245" s="2"/>
      <c r="T245" s="6">
        <v>-30050</v>
      </c>
      <c r="U245" s="2"/>
      <c r="V245" s="7">
        <f t="shared" si="73"/>
        <v>-1.5893928905713602E-3</v>
      </c>
      <c r="W245" s="2"/>
      <c r="X245" s="6">
        <f t="shared" si="74"/>
        <v>65029.72</v>
      </c>
      <c r="Y245" s="2"/>
      <c r="Z245" s="7">
        <f t="shared" si="75"/>
        <v>-2.1640505823627287</v>
      </c>
    </row>
    <row r="246" spans="1:26" s="24" customFormat="1" hidden="1" outlineLevel="2" x14ac:dyDescent="0.25">
      <c r="A246" s="26"/>
      <c r="B246" s="11" t="str">
        <f>CONCATENATE("          ", "6307", " - ", "POSTAGE")</f>
        <v xml:space="preserve">          6307 - POSTAGE</v>
      </c>
      <c r="C246" s="11"/>
      <c r="D246" s="6">
        <v>-4106.24</v>
      </c>
      <c r="E246" s="2"/>
      <c r="F246" s="7">
        <f t="shared" si="68"/>
        <v>-2.0702814845002825E-3</v>
      </c>
      <c r="G246" s="2"/>
      <c r="H246" s="6">
        <v>51</v>
      </c>
      <c r="I246" s="2"/>
      <c r="J246" s="7">
        <f t="shared" si="69"/>
        <v>2.1007832006640199E-5</v>
      </c>
      <c r="K246" s="2"/>
      <c r="L246" s="6">
        <f t="shared" si="70"/>
        <v>-4157.24</v>
      </c>
      <c r="M246" s="2"/>
      <c r="N246" s="7">
        <f t="shared" si="71"/>
        <v>-81.51450980392157</v>
      </c>
      <c r="O246" s="11"/>
      <c r="P246" s="6">
        <v>-28153.84</v>
      </c>
      <c r="Q246" s="2"/>
      <c r="R246" s="7">
        <f t="shared" si="72"/>
        <v>-1.5573682424060834E-3</v>
      </c>
      <c r="S246" s="2"/>
      <c r="T246" s="6">
        <v>306</v>
      </c>
      <c r="U246" s="2"/>
      <c r="V246" s="7">
        <f t="shared" si="73"/>
        <v>1.6184832762556944E-5</v>
      </c>
      <c r="W246" s="2"/>
      <c r="X246" s="6">
        <f t="shared" si="74"/>
        <v>-28459.84</v>
      </c>
      <c r="Y246" s="2"/>
      <c r="Z246" s="7">
        <f t="shared" si="75"/>
        <v>-93.006013071895424</v>
      </c>
    </row>
    <row r="247" spans="1:26" s="25" customFormat="1" outlineLevel="1" collapsed="1" x14ac:dyDescent="0.25">
      <c r="A247" s="27"/>
      <c r="B247" s="13" t="str">
        <f>CONCATENATE("     ","General                                           ")</f>
        <v xml:space="preserve">     General                                           </v>
      </c>
      <c r="C247" s="13"/>
      <c r="D247" s="1">
        <f>SUM(OSRRefD22_11x_0)</f>
        <v>7950.42</v>
      </c>
      <c r="E247" s="1"/>
      <c r="F247" s="5">
        <f t="shared" ref="F247:F249" si="76">IF(D$12=0,0,D247/D$12)</f>
        <v>4.0084377240494316E-3</v>
      </c>
      <c r="G247" s="1"/>
      <c r="H247" s="1">
        <f>SUM(OSRRefH22_11x_0)</f>
        <v>6092</v>
      </c>
      <c r="I247" s="1"/>
      <c r="J247" s="5">
        <f t="shared" ref="J247:J249" si="77">IF(H$12=0,0,H247/H$12)</f>
        <v>2.509406129106904E-3</v>
      </c>
      <c r="K247" s="1"/>
      <c r="L247" s="1">
        <f t="shared" ref="L247:L249" si="78">+D247-H247</f>
        <v>1858.42</v>
      </c>
      <c r="M247" s="1"/>
      <c r="N247" s="5">
        <f t="shared" ref="N247:N249" si="79">IF(H247=0,0,L247/H247)</f>
        <v>0.30505909389363101</v>
      </c>
      <c r="O247" s="13"/>
      <c r="P247" s="1">
        <f>SUM(OSRRefP22_11x_0)</f>
        <v>78462.710000000006</v>
      </c>
      <c r="Q247" s="1"/>
      <c r="R247" s="5">
        <f t="shared" ref="R247:R249" si="80">IF(P$12=0,0,P247/P$12)</f>
        <v>4.3402723311320316E-3</v>
      </c>
      <c r="S247" s="1"/>
      <c r="T247" s="1">
        <f>SUM(OSRRefT22_11x_0)</f>
        <v>63192</v>
      </c>
      <c r="U247" s="1"/>
      <c r="V247" s="5">
        <f t="shared" ref="V247:V249" si="81">IF(T$12=0,0,T247/T$12)</f>
        <v>3.3423266402990144E-3</v>
      </c>
      <c r="W247" s="1"/>
      <c r="X247" s="1">
        <f t="shared" ref="X247:X249" si="82">+P247-T247</f>
        <v>15270.710000000006</v>
      </c>
      <c r="Y247" s="1"/>
      <c r="Z247" s="5">
        <f t="shared" ref="Z247:Z249" si="83">IF(T247=0,0,X247/T247)</f>
        <v>0.24165574756298275</v>
      </c>
    </row>
    <row r="248" spans="1:26" s="24" customFormat="1" hidden="1" outlineLevel="2" x14ac:dyDescent="0.25">
      <c r="A248" s="26"/>
      <c r="B248" s="11" t="str">
        <f>CONCATENATE("          ", "6269", " - ", "ENTERTAINMENT")</f>
        <v xml:space="preserve">          6269 - ENTERTAINMENT</v>
      </c>
      <c r="C248" s="11"/>
      <c r="D248" s="6">
        <v>1250</v>
      </c>
      <c r="E248" s="2"/>
      <c r="F248" s="7">
        <f t="shared" si="76"/>
        <v>6.3022420891748984E-4</v>
      </c>
      <c r="G248" s="2"/>
      <c r="H248" s="6">
        <v>600</v>
      </c>
      <c r="I248" s="2"/>
      <c r="J248" s="7">
        <f t="shared" si="77"/>
        <v>2.4715096478400233E-4</v>
      </c>
      <c r="K248" s="2"/>
      <c r="L248" s="6">
        <f t="shared" si="78"/>
        <v>650</v>
      </c>
      <c r="M248" s="2"/>
      <c r="N248" s="7">
        <f t="shared" si="79"/>
        <v>1.0833333333333333</v>
      </c>
      <c r="O248" s="11"/>
      <c r="P248" s="6">
        <v>7350</v>
      </c>
      <c r="Q248" s="2"/>
      <c r="R248" s="7">
        <f t="shared" si="80"/>
        <v>4.0657532264460955E-4</v>
      </c>
      <c r="S248" s="2"/>
      <c r="T248" s="6">
        <v>4350</v>
      </c>
      <c r="U248" s="2"/>
      <c r="V248" s="7">
        <f t="shared" si="81"/>
        <v>2.3007850495791735E-4</v>
      </c>
      <c r="W248" s="2"/>
      <c r="X248" s="6">
        <f t="shared" si="82"/>
        <v>3000</v>
      </c>
      <c r="Y248" s="2"/>
      <c r="Z248" s="7">
        <f t="shared" si="83"/>
        <v>0.68965517241379315</v>
      </c>
    </row>
    <row r="249" spans="1:26" s="24" customFormat="1" hidden="1" outlineLevel="2" x14ac:dyDescent="0.25">
      <c r="A249" s="26"/>
      <c r="B249" s="11" t="str">
        <f>CONCATENATE("          ", "6279", " - ", "GENERAL EXPENSE")</f>
        <v xml:space="preserve">          6279 - GENERAL EXPENSE</v>
      </c>
      <c r="C249" s="11"/>
      <c r="D249" s="6">
        <v>6700.42</v>
      </c>
      <c r="E249" s="2"/>
      <c r="F249" s="7">
        <f t="shared" si="76"/>
        <v>3.378213515131942E-3</v>
      </c>
      <c r="G249" s="2"/>
      <c r="H249" s="6">
        <v>5492</v>
      </c>
      <c r="I249" s="2"/>
      <c r="J249" s="7">
        <f t="shared" si="77"/>
        <v>2.2622551643229015E-3</v>
      </c>
      <c r="K249" s="2"/>
      <c r="L249" s="6">
        <f t="shared" si="78"/>
        <v>1208.42</v>
      </c>
      <c r="M249" s="2"/>
      <c r="N249" s="7">
        <f t="shared" si="79"/>
        <v>0.2200327749453751</v>
      </c>
      <c r="O249" s="11"/>
      <c r="P249" s="6">
        <v>71112.710000000006</v>
      </c>
      <c r="Q249" s="2"/>
      <c r="R249" s="7">
        <f t="shared" si="80"/>
        <v>3.9336970084874225E-3</v>
      </c>
      <c r="S249" s="2"/>
      <c r="T249" s="6">
        <v>58842</v>
      </c>
      <c r="U249" s="2"/>
      <c r="V249" s="7">
        <f t="shared" si="81"/>
        <v>3.112248135341097E-3</v>
      </c>
      <c r="W249" s="2"/>
      <c r="X249" s="6">
        <f t="shared" si="82"/>
        <v>12270.710000000006</v>
      </c>
      <c r="Y249" s="2"/>
      <c r="Z249" s="7">
        <f t="shared" si="83"/>
        <v>0.20853658951089368</v>
      </c>
    </row>
    <row r="250" spans="1:26" s="25" customFormat="1" outlineLevel="1" collapsed="1" x14ac:dyDescent="0.25">
      <c r="A250" s="27"/>
      <c r="B250" s="13" t="str">
        <f>CONCATENATE("     ","Insurance                                         ")</f>
        <v xml:space="preserve">     Insurance                                         </v>
      </c>
      <c r="C250" s="13"/>
      <c r="D250" s="1">
        <f>SUM(OSRRefD22_12x_0)</f>
        <v>8563.32</v>
      </c>
      <c r="E250" s="1"/>
      <c r="F250" s="5">
        <f t="shared" ref="F250:F266" si="84">IF(D$12=0,0,D250/D$12)</f>
        <v>4.3174492581658551E-3</v>
      </c>
      <c r="G250" s="1"/>
      <c r="H250" s="1">
        <f>SUM(OSRRefH22_12x_0)</f>
        <v>8081</v>
      </c>
      <c r="I250" s="1"/>
      <c r="J250" s="5">
        <f t="shared" ref="J250:J266" si="85">IF(H$12=0,0,H250/H$12)</f>
        <v>3.3287115773658715E-3</v>
      </c>
      <c r="K250" s="1"/>
      <c r="L250" s="1">
        <f t="shared" ref="L250:L266" si="86">+D250-H250</f>
        <v>482.31999999999971</v>
      </c>
      <c r="M250" s="1"/>
      <c r="N250" s="5">
        <f t="shared" ref="N250:N266" si="87">IF(H250=0,0,L250/H250)</f>
        <v>5.9685682465041419E-2</v>
      </c>
      <c r="O250" s="13"/>
      <c r="P250" s="1">
        <f>SUM(OSRRefP22_12x_0)</f>
        <v>51379.92</v>
      </c>
      <c r="Q250" s="1"/>
      <c r="R250" s="5">
        <f t="shared" ref="R250:R266" si="88">IF(P$12=0,0,P250/P$12)</f>
        <v>2.842150687272684E-3</v>
      </c>
      <c r="S250" s="1"/>
      <c r="T250" s="1">
        <f>SUM(OSRRefT22_12x_0)</f>
        <v>48486</v>
      </c>
      <c r="U250" s="1"/>
      <c r="V250" s="5">
        <f t="shared" ref="V250:V266" si="89">IF(T$12=0,0,T250/T$12)</f>
        <v>2.5645026187102486E-3</v>
      </c>
      <c r="W250" s="1"/>
      <c r="X250" s="1">
        <f t="shared" ref="X250:X266" si="90">+P250-T250</f>
        <v>2893.9199999999983</v>
      </c>
      <c r="Y250" s="1"/>
      <c r="Z250" s="5">
        <f t="shared" ref="Z250:Z266" si="91">IF(T250=0,0,X250/T250)</f>
        <v>5.9685682465041419E-2</v>
      </c>
    </row>
    <row r="251" spans="1:26" s="24" customFormat="1" hidden="1" outlineLevel="2" x14ac:dyDescent="0.25">
      <c r="A251" s="26"/>
      <c r="B251" s="11" t="str">
        <f>CONCATENATE("          ", "6314", " - ", "LIABILITY INSURANCE")</f>
        <v xml:space="preserve">          6314 - LIABILITY INSURANCE</v>
      </c>
      <c r="C251" s="11"/>
      <c r="D251" s="6">
        <v>8563.32</v>
      </c>
      <c r="E251" s="2"/>
      <c r="F251" s="7">
        <f t="shared" si="84"/>
        <v>4.3174492581658551E-3</v>
      </c>
      <c r="G251" s="2"/>
      <c r="H251" s="6">
        <v>8081</v>
      </c>
      <c r="I251" s="2"/>
      <c r="J251" s="7">
        <f t="shared" si="85"/>
        <v>3.3287115773658715E-3</v>
      </c>
      <c r="K251" s="2"/>
      <c r="L251" s="6">
        <f t="shared" si="86"/>
        <v>482.31999999999971</v>
      </c>
      <c r="M251" s="2"/>
      <c r="N251" s="7">
        <f t="shared" si="87"/>
        <v>5.9685682465041419E-2</v>
      </c>
      <c r="O251" s="11"/>
      <c r="P251" s="6">
        <v>51379.92</v>
      </c>
      <c r="Q251" s="2"/>
      <c r="R251" s="7">
        <f t="shared" si="88"/>
        <v>2.842150687272684E-3</v>
      </c>
      <c r="S251" s="2"/>
      <c r="T251" s="6">
        <v>48486</v>
      </c>
      <c r="U251" s="2"/>
      <c r="V251" s="7">
        <f t="shared" si="89"/>
        <v>2.5645026187102486E-3</v>
      </c>
      <c r="W251" s="2"/>
      <c r="X251" s="6">
        <f t="shared" si="90"/>
        <v>2893.9199999999983</v>
      </c>
      <c r="Y251" s="2"/>
      <c r="Z251" s="7">
        <f t="shared" si="91"/>
        <v>5.9685682465041419E-2</v>
      </c>
    </row>
    <row r="252" spans="1:26" s="25" customFormat="1" outlineLevel="1" collapsed="1" x14ac:dyDescent="0.25">
      <c r="A252" s="27"/>
      <c r="B252" s="13" t="str">
        <f>CONCATENATE("     ","Interest                                          ")</f>
        <v xml:space="preserve">     Interest                                          </v>
      </c>
      <c r="C252" s="13"/>
      <c r="D252" s="1">
        <f>SUM(OSRRefD22_13x_0)</f>
        <v>11929</v>
      </c>
      <c r="E252" s="1"/>
      <c r="F252" s="5">
        <f t="shared" si="84"/>
        <v>6.0143556705413896E-3</v>
      </c>
      <c r="G252" s="1"/>
      <c r="H252" s="1">
        <f>SUM(OSRRefH22_13x_0)</f>
        <v>11929</v>
      </c>
      <c r="I252" s="1"/>
      <c r="J252" s="5">
        <f t="shared" si="85"/>
        <v>4.9137730981806066E-3</v>
      </c>
      <c r="K252" s="1"/>
      <c r="L252" s="1">
        <f t="shared" si="86"/>
        <v>0</v>
      </c>
      <c r="M252" s="1"/>
      <c r="N252" s="5">
        <f t="shared" si="87"/>
        <v>0</v>
      </c>
      <c r="O252" s="13"/>
      <c r="P252" s="1">
        <f>SUM(OSRRefP22_13x_0)</f>
        <v>70975</v>
      </c>
      <c r="Q252" s="1"/>
      <c r="R252" s="5">
        <f t="shared" si="88"/>
        <v>3.9260793911158045E-3</v>
      </c>
      <c r="S252" s="1"/>
      <c r="T252" s="1">
        <f>SUM(OSRRefT22_13x_0)</f>
        <v>71574</v>
      </c>
      <c r="U252" s="1"/>
      <c r="V252" s="5">
        <f t="shared" si="89"/>
        <v>3.7856641181282704E-3</v>
      </c>
      <c r="W252" s="1"/>
      <c r="X252" s="1">
        <f t="shared" si="90"/>
        <v>-599</v>
      </c>
      <c r="Y252" s="1"/>
      <c r="Z252" s="5">
        <f t="shared" si="91"/>
        <v>-8.3689607958197104E-3</v>
      </c>
    </row>
    <row r="253" spans="1:26" s="24" customFormat="1" hidden="1" outlineLevel="2" x14ac:dyDescent="0.25">
      <c r="A253" s="26"/>
      <c r="B253" s="11" t="str">
        <f>CONCATENATE("          ", "6401", " - ", "INTEREST EXPENSE")</f>
        <v xml:space="preserve">          6401 - INTEREST EXPENSE</v>
      </c>
      <c r="C253" s="11"/>
      <c r="D253" s="6">
        <v>11929</v>
      </c>
      <c r="E253" s="2"/>
      <c r="F253" s="7">
        <f t="shared" si="84"/>
        <v>6.0143556705413896E-3</v>
      </c>
      <c r="G253" s="2"/>
      <c r="H253" s="6">
        <v>11929</v>
      </c>
      <c r="I253" s="2"/>
      <c r="J253" s="7">
        <f t="shared" si="85"/>
        <v>4.9137730981806066E-3</v>
      </c>
      <c r="K253" s="2"/>
      <c r="L253" s="6">
        <f t="shared" si="86"/>
        <v>0</v>
      </c>
      <c r="M253" s="2"/>
      <c r="N253" s="7">
        <f t="shared" si="87"/>
        <v>0</v>
      </c>
      <c r="O253" s="11"/>
      <c r="P253" s="6">
        <v>70975</v>
      </c>
      <c r="Q253" s="2"/>
      <c r="R253" s="7">
        <f t="shared" si="88"/>
        <v>3.9260793911158045E-3</v>
      </c>
      <c r="S253" s="2"/>
      <c r="T253" s="6">
        <v>71574</v>
      </c>
      <c r="U253" s="2"/>
      <c r="V253" s="7">
        <f t="shared" si="89"/>
        <v>3.7856641181282704E-3</v>
      </c>
      <c r="W253" s="2"/>
      <c r="X253" s="6">
        <f t="shared" si="90"/>
        <v>-599</v>
      </c>
      <c r="Y253" s="2"/>
      <c r="Z253" s="7">
        <f t="shared" si="91"/>
        <v>-8.3689607958197104E-3</v>
      </c>
    </row>
    <row r="254" spans="1:26" s="25" customFormat="1" outlineLevel="1" collapsed="1" x14ac:dyDescent="0.25">
      <c r="A254" s="27"/>
      <c r="B254" s="13" t="str">
        <f>CONCATENATE("     ","Inventory Adjustment                              ")</f>
        <v xml:space="preserve">     Inventory Adjustment                              </v>
      </c>
      <c r="C254" s="13"/>
      <c r="D254" s="1">
        <f>SUM(OSRRefD22_14x_0)</f>
        <v>10050</v>
      </c>
      <c r="E254" s="1"/>
      <c r="F254" s="5">
        <f t="shared" si="84"/>
        <v>5.0670026396966187E-3</v>
      </c>
      <c r="G254" s="1"/>
      <c r="H254" s="1">
        <f>SUM(OSRRefH22_14x_0)</f>
        <v>10050</v>
      </c>
      <c r="I254" s="1"/>
      <c r="J254" s="5">
        <f t="shared" si="85"/>
        <v>4.1397786601320395E-3</v>
      </c>
      <c r="K254" s="1"/>
      <c r="L254" s="1">
        <f t="shared" si="86"/>
        <v>0</v>
      </c>
      <c r="M254" s="1"/>
      <c r="N254" s="5">
        <f t="shared" si="87"/>
        <v>0</v>
      </c>
      <c r="O254" s="13"/>
      <c r="P254" s="1">
        <f>SUM(OSRRefP22_14x_0)</f>
        <v>31200</v>
      </c>
      <c r="Q254" s="1"/>
      <c r="R254" s="5">
        <f t="shared" si="88"/>
        <v>1.7258707573485465E-3</v>
      </c>
      <c r="S254" s="1"/>
      <c r="T254" s="1">
        <f>SUM(OSRRefT22_14x_0)</f>
        <v>31200</v>
      </c>
      <c r="U254" s="1"/>
      <c r="V254" s="5">
        <f t="shared" si="89"/>
        <v>1.6502182424567866E-3</v>
      </c>
      <c r="W254" s="1"/>
      <c r="X254" s="1">
        <f t="shared" si="90"/>
        <v>0</v>
      </c>
      <c r="Y254" s="1"/>
      <c r="Z254" s="5">
        <f t="shared" si="91"/>
        <v>0</v>
      </c>
    </row>
    <row r="255" spans="1:26" s="24" customFormat="1" hidden="1" outlineLevel="2" x14ac:dyDescent="0.25">
      <c r="A255" s="26"/>
      <c r="B255" s="11" t="str">
        <f>CONCATENATE("          ", "6408", " - ", "INVENTORY ADJUSTMENT")</f>
        <v xml:space="preserve">          6408 - INVENTORY ADJUSTMENT</v>
      </c>
      <c r="C255" s="11"/>
      <c r="D255" s="6">
        <v>10050</v>
      </c>
      <c r="E255" s="2"/>
      <c r="F255" s="7">
        <f t="shared" si="84"/>
        <v>5.0670026396966187E-3</v>
      </c>
      <c r="G255" s="2"/>
      <c r="H255" s="6">
        <v>10050</v>
      </c>
      <c r="I255" s="2"/>
      <c r="J255" s="7">
        <f t="shared" si="85"/>
        <v>4.1397786601320395E-3</v>
      </c>
      <c r="K255" s="2"/>
      <c r="L255" s="6">
        <f t="shared" si="86"/>
        <v>0</v>
      </c>
      <c r="M255" s="2"/>
      <c r="N255" s="7">
        <f t="shared" si="87"/>
        <v>0</v>
      </c>
      <c r="O255" s="11"/>
      <c r="P255" s="6">
        <v>31200</v>
      </c>
      <c r="Q255" s="2"/>
      <c r="R255" s="7">
        <f t="shared" si="88"/>
        <v>1.7258707573485465E-3</v>
      </c>
      <c r="S255" s="2"/>
      <c r="T255" s="6">
        <v>31200</v>
      </c>
      <c r="U255" s="2"/>
      <c r="V255" s="7">
        <f t="shared" si="89"/>
        <v>1.6502182424567866E-3</v>
      </c>
      <c r="W255" s="2"/>
      <c r="X255" s="6">
        <f t="shared" si="90"/>
        <v>0</v>
      </c>
      <c r="Y255" s="2"/>
      <c r="Z255" s="7">
        <f t="shared" si="91"/>
        <v>0</v>
      </c>
    </row>
    <row r="256" spans="1:26" s="25" customFormat="1" outlineLevel="1" collapsed="1" x14ac:dyDescent="0.25">
      <c r="A256" s="27"/>
      <c r="B256" s="13" t="str">
        <f>CONCATENATE("     ","Professional Services                             ")</f>
        <v xml:space="preserve">     Professional Services                             </v>
      </c>
      <c r="C256" s="13"/>
      <c r="D256" s="1">
        <f>SUM(OSRRefD22_15x_0)</f>
        <v>41.15</v>
      </c>
      <c r="E256" s="1"/>
      <c r="F256" s="5">
        <f t="shared" si="84"/>
        <v>2.0746980957563766E-5</v>
      </c>
      <c r="G256" s="1"/>
      <c r="H256" s="1">
        <f>SUM(OSRRefH22_15x_0)</f>
        <v>1415</v>
      </c>
      <c r="I256" s="1"/>
      <c r="J256" s="5">
        <f t="shared" si="85"/>
        <v>5.8286435861560552E-4</v>
      </c>
      <c r="K256" s="1"/>
      <c r="L256" s="1">
        <f t="shared" si="86"/>
        <v>-1373.85</v>
      </c>
      <c r="M256" s="1"/>
      <c r="N256" s="5">
        <f t="shared" si="87"/>
        <v>-0.97091872791519429</v>
      </c>
      <c r="O256" s="13"/>
      <c r="P256" s="1">
        <f>SUM(OSRRefP22_15x_0)</f>
        <v>6324.56</v>
      </c>
      <c r="Q256" s="1"/>
      <c r="R256" s="5">
        <f t="shared" si="88"/>
        <v>3.4985170375308731E-4</v>
      </c>
      <c r="S256" s="1"/>
      <c r="T256" s="1">
        <f>SUM(OSRRefT22_15x_0)</f>
        <v>11140</v>
      </c>
      <c r="U256" s="1"/>
      <c r="V256" s="5">
        <f t="shared" si="89"/>
        <v>5.8921253913360905E-4</v>
      </c>
      <c r="W256" s="1"/>
      <c r="X256" s="1">
        <f t="shared" si="90"/>
        <v>-4815.4399999999996</v>
      </c>
      <c r="Y256" s="1"/>
      <c r="Z256" s="5">
        <f t="shared" si="91"/>
        <v>-0.43226570915619383</v>
      </c>
    </row>
    <row r="257" spans="1:26" s="24" customFormat="1" hidden="1" outlineLevel="2" x14ac:dyDescent="0.25">
      <c r="A257" s="26"/>
      <c r="B257" s="11" t="str">
        <f>CONCATENATE("          ", "6336", " - ", "PROFESSIONAL SERVICES")</f>
        <v xml:space="preserve">          6336 - PROFESSIONAL SERVICES</v>
      </c>
      <c r="C257" s="11"/>
      <c r="D257" s="6">
        <v>41.15</v>
      </c>
      <c r="E257" s="2"/>
      <c r="F257" s="7">
        <f t="shared" si="84"/>
        <v>2.0746980957563766E-5</v>
      </c>
      <c r="G257" s="2"/>
      <c r="H257" s="6">
        <v>1415</v>
      </c>
      <c r="I257" s="2"/>
      <c r="J257" s="7">
        <f t="shared" si="85"/>
        <v>5.8286435861560552E-4</v>
      </c>
      <c r="K257" s="2"/>
      <c r="L257" s="6">
        <f t="shared" si="86"/>
        <v>-1373.85</v>
      </c>
      <c r="M257" s="2"/>
      <c r="N257" s="7">
        <f t="shared" si="87"/>
        <v>-0.97091872791519429</v>
      </c>
      <c r="O257" s="11"/>
      <c r="P257" s="6">
        <v>6324.56</v>
      </c>
      <c r="Q257" s="2"/>
      <c r="R257" s="7">
        <f t="shared" si="88"/>
        <v>3.4985170375308731E-4</v>
      </c>
      <c r="S257" s="2"/>
      <c r="T257" s="6">
        <v>11140</v>
      </c>
      <c r="U257" s="2"/>
      <c r="V257" s="7">
        <f t="shared" si="89"/>
        <v>5.8921253913360905E-4</v>
      </c>
      <c r="W257" s="2"/>
      <c r="X257" s="6">
        <f t="shared" si="90"/>
        <v>-4815.4399999999996</v>
      </c>
      <c r="Y257" s="2"/>
      <c r="Z257" s="7">
        <f t="shared" si="91"/>
        <v>-0.43226570915619383</v>
      </c>
    </row>
    <row r="258" spans="1:26" s="25" customFormat="1" outlineLevel="1" collapsed="1" x14ac:dyDescent="0.25">
      <c r="A258" s="27"/>
      <c r="B258" s="13" t="str">
        <f>CONCATENATE("     ","R/H Commissions                                   ")</f>
        <v xml:space="preserve">     R/H Commissions                                   </v>
      </c>
      <c r="C258" s="13"/>
      <c r="D258" s="1">
        <f>SUM(OSRRefD22_16x_0)</f>
        <v>64695.709999999992</v>
      </c>
      <c r="E258" s="1"/>
      <c r="F258" s="5">
        <f t="shared" si="84"/>
        <v>3.2618242124084269E-2</v>
      </c>
      <c r="G258" s="1"/>
      <c r="H258" s="1">
        <f>SUM(OSRRefH22_16x_0)</f>
        <v>68698</v>
      </c>
      <c r="I258" s="1"/>
      <c r="J258" s="5">
        <f t="shared" si="85"/>
        <v>2.829796163121899E-2</v>
      </c>
      <c r="K258" s="1"/>
      <c r="L258" s="1">
        <f t="shared" si="86"/>
        <v>-4002.2900000000081</v>
      </c>
      <c r="M258" s="1"/>
      <c r="N258" s="5">
        <f t="shared" si="87"/>
        <v>-5.8259192407348219E-2</v>
      </c>
      <c r="O258" s="13"/>
      <c r="P258" s="1">
        <f>SUM(OSRRefP22_16x_0)</f>
        <v>471590.87</v>
      </c>
      <c r="Q258" s="1"/>
      <c r="R258" s="5">
        <f t="shared" si="88"/>
        <v>2.6086695255306408E-2</v>
      </c>
      <c r="S258" s="1"/>
      <c r="T258" s="1">
        <f>SUM(OSRRefT22_16x_0)</f>
        <v>483902</v>
      </c>
      <c r="U258" s="1"/>
      <c r="V258" s="5">
        <f t="shared" si="89"/>
        <v>2.5594356024401407E-2</v>
      </c>
      <c r="W258" s="1"/>
      <c r="X258" s="1">
        <f t="shared" si="90"/>
        <v>-12311.130000000005</v>
      </c>
      <c r="Y258" s="1"/>
      <c r="Z258" s="5">
        <f t="shared" si="91"/>
        <v>-2.5441370360114249E-2</v>
      </c>
    </row>
    <row r="259" spans="1:26" s="24" customFormat="1" hidden="1" outlineLevel="2" x14ac:dyDescent="0.25">
      <c r="A259" s="26"/>
      <c r="B259" s="11" t="str">
        <f>CONCATENATE("          ", "6387", " - ", "COMMISSION DUE HOUSING")</f>
        <v xml:space="preserve">          6387 - COMMISSION DUE HOUSING</v>
      </c>
      <c r="C259" s="11"/>
      <c r="D259" s="6">
        <v>64695.709999999992</v>
      </c>
      <c r="E259" s="2"/>
      <c r="F259" s="7">
        <f t="shared" si="84"/>
        <v>3.2618242124084269E-2</v>
      </c>
      <c r="G259" s="2"/>
      <c r="H259" s="6">
        <v>68698</v>
      </c>
      <c r="I259" s="2"/>
      <c r="J259" s="7">
        <f t="shared" si="85"/>
        <v>2.829796163121899E-2</v>
      </c>
      <c r="K259" s="2"/>
      <c r="L259" s="6">
        <f t="shared" si="86"/>
        <v>-4002.2900000000081</v>
      </c>
      <c r="M259" s="2"/>
      <c r="N259" s="7">
        <f t="shared" si="87"/>
        <v>-5.8259192407348219E-2</v>
      </c>
      <c r="O259" s="11"/>
      <c r="P259" s="6">
        <v>471590.87</v>
      </c>
      <c r="Q259" s="2"/>
      <c r="R259" s="7">
        <f t="shared" si="88"/>
        <v>2.6086695255306408E-2</v>
      </c>
      <c r="S259" s="2"/>
      <c r="T259" s="6">
        <v>483902</v>
      </c>
      <c r="U259" s="2"/>
      <c r="V259" s="7">
        <f t="shared" si="89"/>
        <v>2.5594356024401407E-2</v>
      </c>
      <c r="W259" s="2"/>
      <c r="X259" s="6">
        <f t="shared" si="90"/>
        <v>-12311.130000000005</v>
      </c>
      <c r="Y259" s="2"/>
      <c r="Z259" s="7">
        <f t="shared" si="91"/>
        <v>-2.5441370360114249E-2</v>
      </c>
    </row>
    <row r="260" spans="1:26" s="25" customFormat="1" outlineLevel="1" collapsed="1" x14ac:dyDescent="0.25">
      <c r="A260" s="27"/>
      <c r="B260" s="13" t="str">
        <f>CONCATENATE("     ","Rent                                              ")</f>
        <v xml:space="preserve">     Rent                                              </v>
      </c>
      <c r="C260" s="13"/>
      <c r="D260" s="1">
        <f>SUM(OSRRefD22_17x_0)</f>
        <v>9900</v>
      </c>
      <c r="E260" s="1"/>
      <c r="F260" s="5">
        <f t="shared" si="84"/>
        <v>4.9913757346265195E-3</v>
      </c>
      <c r="G260" s="1"/>
      <c r="H260" s="1">
        <f>SUM(OSRRefH22_17x_0)</f>
        <v>10200</v>
      </c>
      <c r="I260" s="1"/>
      <c r="J260" s="5">
        <f t="shared" si="85"/>
        <v>4.2015664013280397E-3</v>
      </c>
      <c r="K260" s="1"/>
      <c r="L260" s="1">
        <f t="shared" si="86"/>
        <v>-300</v>
      </c>
      <c r="M260" s="1"/>
      <c r="N260" s="5">
        <f t="shared" si="87"/>
        <v>-2.9411764705882353E-2</v>
      </c>
      <c r="O260" s="13"/>
      <c r="P260" s="1">
        <f>SUM(OSRRefP22_17x_0)</f>
        <v>59400</v>
      </c>
      <c r="Q260" s="1"/>
      <c r="R260" s="5">
        <f t="shared" si="88"/>
        <v>3.2857924034135791E-3</v>
      </c>
      <c r="S260" s="1"/>
      <c r="T260" s="1">
        <f>SUM(OSRRefT22_17x_0)</f>
        <v>61200</v>
      </c>
      <c r="U260" s="1"/>
      <c r="V260" s="5">
        <f t="shared" si="89"/>
        <v>3.236966552511389E-3</v>
      </c>
      <c r="W260" s="1"/>
      <c r="X260" s="1">
        <f t="shared" si="90"/>
        <v>-1800</v>
      </c>
      <c r="Y260" s="1"/>
      <c r="Z260" s="5">
        <f t="shared" si="91"/>
        <v>-2.9411764705882353E-2</v>
      </c>
    </row>
    <row r="261" spans="1:26" s="24" customFormat="1" hidden="1" outlineLevel="2" x14ac:dyDescent="0.25">
      <c r="A261" s="26"/>
      <c r="B261" s="11" t="str">
        <f>CONCATENATE("          ", "6273", " - ", "RENT")</f>
        <v xml:space="preserve">          6273 - RENT</v>
      </c>
      <c r="C261" s="11"/>
      <c r="D261" s="6">
        <v>9900</v>
      </c>
      <c r="E261" s="2"/>
      <c r="F261" s="7">
        <f t="shared" si="84"/>
        <v>4.9913757346265195E-3</v>
      </c>
      <c r="G261" s="2"/>
      <c r="H261" s="6">
        <v>10200</v>
      </c>
      <c r="I261" s="2"/>
      <c r="J261" s="7">
        <f t="shared" si="85"/>
        <v>4.2015664013280397E-3</v>
      </c>
      <c r="K261" s="2"/>
      <c r="L261" s="6">
        <f t="shared" si="86"/>
        <v>-300</v>
      </c>
      <c r="M261" s="2"/>
      <c r="N261" s="7">
        <f t="shared" si="87"/>
        <v>-2.9411764705882353E-2</v>
      </c>
      <c r="O261" s="11"/>
      <c r="P261" s="6">
        <v>59400</v>
      </c>
      <c r="Q261" s="2"/>
      <c r="R261" s="7">
        <f t="shared" si="88"/>
        <v>3.2857924034135791E-3</v>
      </c>
      <c r="S261" s="2"/>
      <c r="T261" s="6">
        <v>61200</v>
      </c>
      <c r="U261" s="2"/>
      <c r="V261" s="7">
        <f t="shared" si="89"/>
        <v>3.236966552511389E-3</v>
      </c>
      <c r="W261" s="2"/>
      <c r="X261" s="6">
        <f t="shared" si="90"/>
        <v>-1800</v>
      </c>
      <c r="Y261" s="2"/>
      <c r="Z261" s="7">
        <f t="shared" si="91"/>
        <v>-2.9411764705882353E-2</v>
      </c>
    </row>
    <row r="262" spans="1:26" s="25" customFormat="1" outlineLevel="1" collapsed="1" x14ac:dyDescent="0.25">
      <c r="A262" s="27"/>
      <c r="B262" s="13" t="str">
        <f>CONCATENATE("     ","Repair and Maintenance                            ")</f>
        <v xml:space="preserve">     Repair and Maintenance                            </v>
      </c>
      <c r="C262" s="13"/>
      <c r="D262" s="1">
        <f>SUM(OSRRefD22_18x_0)</f>
        <v>41824.879999999997</v>
      </c>
      <c r="E262" s="1"/>
      <c r="F262" s="5">
        <f t="shared" si="84"/>
        <v>2.1087241528855154E-2</v>
      </c>
      <c r="G262" s="1"/>
      <c r="H262" s="1">
        <f>SUM(OSRRefH22_18x_0)</f>
        <v>47893</v>
      </c>
      <c r="I262" s="1"/>
      <c r="J262" s="5">
        <f t="shared" si="85"/>
        <v>1.9728001927333708E-2</v>
      </c>
      <c r="K262" s="1"/>
      <c r="L262" s="1">
        <f t="shared" si="86"/>
        <v>-6068.1200000000026</v>
      </c>
      <c r="M262" s="1"/>
      <c r="N262" s="5">
        <f t="shared" si="87"/>
        <v>-0.12670160566262298</v>
      </c>
      <c r="O262" s="13"/>
      <c r="P262" s="1">
        <f>SUM(OSRRefP22_18x_0)</f>
        <v>265747.91000000003</v>
      </c>
      <c r="Q262" s="1"/>
      <c r="R262" s="5">
        <f t="shared" si="88"/>
        <v>1.4700209829983765E-2</v>
      </c>
      <c r="S262" s="1"/>
      <c r="T262" s="1">
        <f>SUM(OSRRefT22_18x_0)</f>
        <v>429859</v>
      </c>
      <c r="U262" s="1"/>
      <c r="V262" s="5">
        <f t="shared" si="89"/>
        <v>2.2735934727058711E-2</v>
      </c>
      <c r="W262" s="1"/>
      <c r="X262" s="1">
        <f t="shared" si="90"/>
        <v>-164111.08999999997</v>
      </c>
      <c r="Y262" s="1"/>
      <c r="Z262" s="5">
        <f t="shared" si="91"/>
        <v>-0.38177888563459172</v>
      </c>
    </row>
    <row r="263" spans="1:26" s="24" customFormat="1" hidden="1" outlineLevel="2" x14ac:dyDescent="0.25">
      <c r="A263" s="26"/>
      <c r="B263" s="11" t="str">
        <f>CONCATENATE("          ", "6371", " - ", "COMPUTER SOFTWARE MAINTENANCE")</f>
        <v xml:space="preserve">          6371 - COMPUTER SOFTWARE MAINTENANCE</v>
      </c>
      <c r="C263" s="11"/>
      <c r="D263" s="6">
        <v>601</v>
      </c>
      <c r="E263" s="2"/>
      <c r="F263" s="7">
        <f t="shared" si="84"/>
        <v>3.0301179964752913E-4</v>
      </c>
      <c r="G263" s="2"/>
      <c r="H263" s="6">
        <v>1547</v>
      </c>
      <c r="I263" s="2"/>
      <c r="J263" s="7">
        <f t="shared" si="85"/>
        <v>6.3723757086808601E-4</v>
      </c>
      <c r="K263" s="2"/>
      <c r="L263" s="6">
        <f t="shared" si="86"/>
        <v>-946</v>
      </c>
      <c r="M263" s="2"/>
      <c r="N263" s="7">
        <f t="shared" si="87"/>
        <v>-0.61150614091790567</v>
      </c>
      <c r="O263" s="11"/>
      <c r="P263" s="6">
        <v>49453.26</v>
      </c>
      <c r="Q263" s="2"/>
      <c r="R263" s="7">
        <f t="shared" si="88"/>
        <v>2.7355748490241858E-3</v>
      </c>
      <c r="S263" s="2"/>
      <c r="T263" s="6">
        <v>183817</v>
      </c>
      <c r="U263" s="2"/>
      <c r="V263" s="7">
        <f t="shared" si="89"/>
        <v>9.7223771369768959E-3</v>
      </c>
      <c r="W263" s="2"/>
      <c r="X263" s="6">
        <f t="shared" si="90"/>
        <v>-134363.74</v>
      </c>
      <c r="Y263" s="2"/>
      <c r="Z263" s="7">
        <f t="shared" si="91"/>
        <v>-0.73096470946648018</v>
      </c>
    </row>
    <row r="264" spans="1:26" s="24" customFormat="1" hidden="1" outlineLevel="2" x14ac:dyDescent="0.25">
      <c r="A264" s="26"/>
      <c r="B264" s="11" t="str">
        <f>CONCATENATE("          ", "6372", " - ", "COMPUTER HARDWARE MAINTENANCE")</f>
        <v xml:space="preserve">          6372 - COMPUTER HARDWARE MAINTENANCE</v>
      </c>
      <c r="C264" s="11"/>
      <c r="D264" s="6"/>
      <c r="E264" s="2"/>
      <c r="F264" s="7">
        <f t="shared" si="84"/>
        <v>0</v>
      </c>
      <c r="G264" s="2"/>
      <c r="H264" s="6">
        <v>4070</v>
      </c>
      <c r="I264" s="2"/>
      <c r="J264" s="7">
        <f t="shared" si="85"/>
        <v>1.6765073777848158E-3</v>
      </c>
      <c r="K264" s="2"/>
      <c r="L264" s="6">
        <f t="shared" si="86"/>
        <v>-4070</v>
      </c>
      <c r="M264" s="2"/>
      <c r="N264" s="7">
        <f t="shared" si="87"/>
        <v>-1</v>
      </c>
      <c r="O264" s="11"/>
      <c r="P264" s="6"/>
      <c r="Q264" s="2"/>
      <c r="R264" s="7">
        <f t="shared" si="88"/>
        <v>0</v>
      </c>
      <c r="S264" s="2"/>
      <c r="T264" s="6">
        <v>14340</v>
      </c>
      <c r="U264" s="2"/>
      <c r="V264" s="7">
        <f t="shared" si="89"/>
        <v>7.584656922061E-4</v>
      </c>
      <c r="W264" s="2"/>
      <c r="X264" s="6">
        <f t="shared" si="90"/>
        <v>-14340</v>
      </c>
      <c r="Y264" s="2"/>
      <c r="Z264" s="7">
        <f t="shared" si="91"/>
        <v>-1</v>
      </c>
    </row>
    <row r="265" spans="1:26" s="24" customFormat="1" hidden="1" outlineLevel="2" x14ac:dyDescent="0.25">
      <c r="A265" s="26"/>
      <c r="B265" s="11" t="str">
        <f>CONCATENATE("          ", "6373", " - ", "MAINTENANCE CONTRACTS")</f>
        <v xml:space="preserve">          6373 - MAINTENANCE CONTRACTS</v>
      </c>
      <c r="C265" s="11"/>
      <c r="D265" s="6">
        <v>25634.289999999997</v>
      </c>
      <c r="E265" s="2"/>
      <c r="F265" s="7">
        <f t="shared" si="84"/>
        <v>1.2924280109129216E-2</v>
      </c>
      <c r="G265" s="2"/>
      <c r="H265" s="6">
        <v>9518</v>
      </c>
      <c r="I265" s="2"/>
      <c r="J265" s="7">
        <f t="shared" si="85"/>
        <v>3.9206381380235576E-3</v>
      </c>
      <c r="K265" s="2"/>
      <c r="L265" s="6">
        <f t="shared" si="86"/>
        <v>16116.289999999997</v>
      </c>
      <c r="M265" s="2"/>
      <c r="N265" s="7">
        <f t="shared" si="87"/>
        <v>1.6932433284303423</v>
      </c>
      <c r="O265" s="11"/>
      <c r="P265" s="6">
        <v>99084.450000000012</v>
      </c>
      <c r="Q265" s="2"/>
      <c r="R265" s="7">
        <f t="shared" si="88"/>
        <v>5.4809921398385969E-3</v>
      </c>
      <c r="S265" s="2"/>
      <c r="T265" s="6">
        <v>59940.999999999993</v>
      </c>
      <c r="U265" s="2"/>
      <c r="V265" s="7">
        <f t="shared" si="89"/>
        <v>3.1703760150994303E-3</v>
      </c>
      <c r="W265" s="2"/>
      <c r="X265" s="6">
        <f t="shared" si="90"/>
        <v>39143.450000000019</v>
      </c>
      <c r="Y265" s="2"/>
      <c r="Z265" s="7">
        <f t="shared" si="91"/>
        <v>0.65303298243272589</v>
      </c>
    </row>
    <row r="266" spans="1:26" s="24" customFormat="1" hidden="1" outlineLevel="2" x14ac:dyDescent="0.25">
      <c r="A266" s="26"/>
      <c r="B266" s="11" t="str">
        <f>CONCATENATE("          ", "6375", " - ", "OUTSIDE REPAIRS &amp; MAINTENANCE")</f>
        <v xml:space="preserve">          6375 - OUTSIDE REPAIRS &amp; MAINTENANCE</v>
      </c>
      <c r="C266" s="11"/>
      <c r="D266" s="6">
        <v>15589.590000000002</v>
      </c>
      <c r="E266" s="2"/>
      <c r="F266" s="7">
        <f t="shared" si="84"/>
        <v>7.8599496200784102E-3</v>
      </c>
      <c r="G266" s="2"/>
      <c r="H266" s="6">
        <v>32758</v>
      </c>
      <c r="I266" s="2"/>
      <c r="J266" s="7">
        <f t="shared" si="85"/>
        <v>1.3493618840657248E-2</v>
      </c>
      <c r="K266" s="2"/>
      <c r="L266" s="6">
        <f t="shared" si="86"/>
        <v>-17168.409999999996</v>
      </c>
      <c r="M266" s="2"/>
      <c r="N266" s="7">
        <f t="shared" si="87"/>
        <v>-0.52409823554551549</v>
      </c>
      <c r="O266" s="11"/>
      <c r="P266" s="6">
        <v>117210.20000000001</v>
      </c>
      <c r="Q266" s="2"/>
      <c r="R266" s="7">
        <f t="shared" si="88"/>
        <v>6.4836428411209823E-3</v>
      </c>
      <c r="S266" s="2"/>
      <c r="T266" s="6">
        <v>171761</v>
      </c>
      <c r="U266" s="2"/>
      <c r="V266" s="7">
        <f t="shared" si="89"/>
        <v>9.0847158827762862E-3</v>
      </c>
      <c r="W266" s="2"/>
      <c r="X266" s="6">
        <f t="shared" si="90"/>
        <v>-54550.799999999988</v>
      </c>
      <c r="Y266" s="2"/>
      <c r="Z266" s="7">
        <f t="shared" si="91"/>
        <v>-0.31759712623936742</v>
      </c>
    </row>
    <row r="267" spans="1:26" s="25" customFormat="1" outlineLevel="1" collapsed="1" x14ac:dyDescent="0.25">
      <c r="A267" s="27"/>
      <c r="B267" s="13" t="str">
        <f>CONCATENATE("     ","Royalty &amp; Commissions                             ")</f>
        <v xml:space="preserve">     Royalty &amp; Commissions                             </v>
      </c>
      <c r="C267" s="13"/>
      <c r="D267" s="1">
        <f>SUM(OSRRefD22_19x_0)</f>
        <v>41568.94</v>
      </c>
      <c r="E267" s="1"/>
      <c r="F267" s="5">
        <f t="shared" ref="F267:F271" si="92">IF(D$12=0,0,D267/D$12)</f>
        <v>2.095820186163088E-2</v>
      </c>
      <c r="G267" s="1"/>
      <c r="H267" s="1">
        <f>SUM(OSRRefH22_19x_0)</f>
        <v>40869</v>
      </c>
      <c r="I267" s="1"/>
      <c r="J267" s="5">
        <f t="shared" ref="J267:J271" si="93">IF(H$12=0,0,H267/H$12)</f>
        <v>1.6834687966262321E-2</v>
      </c>
      <c r="K267" s="1"/>
      <c r="L267" s="1">
        <f t="shared" ref="L267:L271" si="94">+D267-H267</f>
        <v>699.94000000000233</v>
      </c>
      <c r="M267" s="1"/>
      <c r="N267" s="5">
        <f t="shared" ref="N267:N271" si="95">IF(H267=0,0,L267/H267)</f>
        <v>1.7126428344221838E-2</v>
      </c>
      <c r="O267" s="13"/>
      <c r="P267" s="1">
        <f>SUM(OSRRefP22_19x_0)</f>
        <v>212497.74</v>
      </c>
      <c r="Q267" s="1"/>
      <c r="R267" s="5">
        <f t="shared" ref="R267:R271" si="96">IF(P$12=0,0,P267/P$12)</f>
        <v>1.1754603700918414E-2</v>
      </c>
      <c r="S267" s="1"/>
      <c r="T267" s="1">
        <f>SUM(OSRRefT22_19x_0)</f>
        <v>242573</v>
      </c>
      <c r="U267" s="1"/>
      <c r="V267" s="5">
        <f t="shared" ref="V267:V271" si="97">IF(T$12=0,0,T267/T$12)</f>
        <v>1.2830076593829169E-2</v>
      </c>
      <c r="W267" s="1"/>
      <c r="X267" s="1">
        <f t="shared" ref="X267:X271" si="98">+P267-T267</f>
        <v>-30075.260000000009</v>
      </c>
      <c r="Y267" s="1"/>
      <c r="Z267" s="5">
        <f t="shared" ref="Z267:Z271" si="99">IF(T267=0,0,X267/T267)</f>
        <v>-0.12398436759243613</v>
      </c>
    </row>
    <row r="268" spans="1:26" s="24" customFormat="1" hidden="1" outlineLevel="2" x14ac:dyDescent="0.25">
      <c r="A268" s="26"/>
      <c r="B268" s="11" t="str">
        <f>CONCATENATE("          ", "6252", " - ", "ROYALTY DUE CSTV")</f>
        <v xml:space="preserve">          6252 - ROYALTY DUE CSTV</v>
      </c>
      <c r="C268" s="11"/>
      <c r="D268" s="6"/>
      <c r="E268" s="2"/>
      <c r="F268" s="7">
        <f t="shared" si="92"/>
        <v>0</v>
      </c>
      <c r="G268" s="2"/>
      <c r="H268" s="6">
        <v>1085</v>
      </c>
      <c r="I268" s="2"/>
      <c r="J268" s="7">
        <f t="shared" si="93"/>
        <v>4.4693132798440425E-4</v>
      </c>
      <c r="K268" s="2"/>
      <c r="L268" s="6">
        <f t="shared" si="94"/>
        <v>-1085</v>
      </c>
      <c r="M268" s="2"/>
      <c r="N268" s="7">
        <f t="shared" si="95"/>
        <v>-1</v>
      </c>
      <c r="O268" s="11"/>
      <c r="P268" s="6"/>
      <c r="Q268" s="2"/>
      <c r="R268" s="7">
        <f t="shared" si="96"/>
        <v>0</v>
      </c>
      <c r="S268" s="2"/>
      <c r="T268" s="6">
        <v>6510</v>
      </c>
      <c r="U268" s="2"/>
      <c r="V268" s="7">
        <f t="shared" si="97"/>
        <v>3.4432438328184872E-4</v>
      </c>
      <c r="W268" s="2"/>
      <c r="X268" s="6">
        <f t="shared" si="98"/>
        <v>-6510</v>
      </c>
      <c r="Y268" s="2"/>
      <c r="Z268" s="7">
        <f t="shared" si="99"/>
        <v>-1</v>
      </c>
    </row>
    <row r="269" spans="1:26" s="24" customFormat="1" hidden="1" outlineLevel="2" x14ac:dyDescent="0.25">
      <c r="A269" s="26"/>
      <c r="B269" s="11" t="str">
        <f>CONCATENATE("          ", "6253", " - ", "ROYALTY DUE ATHLETICS-LRG")</f>
        <v xml:space="preserve">          6253 - ROYALTY DUE ATHLETICS-LRG</v>
      </c>
      <c r="C269" s="11"/>
      <c r="D269" s="6"/>
      <c r="E269" s="2"/>
      <c r="F269" s="7">
        <f t="shared" si="92"/>
        <v>0</v>
      </c>
      <c r="G269" s="2"/>
      <c r="H269" s="6">
        <v>11700</v>
      </c>
      <c r="I269" s="2"/>
      <c r="J269" s="7">
        <f t="shared" si="93"/>
        <v>4.8194438132880459E-3</v>
      </c>
      <c r="K269" s="2"/>
      <c r="L269" s="6">
        <f t="shared" si="94"/>
        <v>-11700</v>
      </c>
      <c r="M269" s="2"/>
      <c r="N269" s="7">
        <f t="shared" si="95"/>
        <v>-1</v>
      </c>
      <c r="O269" s="11"/>
      <c r="P269" s="6">
        <v>4366.95</v>
      </c>
      <c r="Q269" s="2"/>
      <c r="R269" s="7">
        <f t="shared" si="96"/>
        <v>2.4156382383984728E-4</v>
      </c>
      <c r="S269" s="2"/>
      <c r="T269" s="6">
        <v>57200</v>
      </c>
      <c r="U269" s="2"/>
      <c r="V269" s="7">
        <f t="shared" si="97"/>
        <v>3.0254001111707754E-3</v>
      </c>
      <c r="W269" s="2"/>
      <c r="X269" s="6">
        <f t="shared" si="98"/>
        <v>-52833.05</v>
      </c>
      <c r="Y269" s="2"/>
      <c r="Z269" s="7">
        <f t="shared" si="99"/>
        <v>-0.92365472027972029</v>
      </c>
    </row>
    <row r="270" spans="1:26" s="24" customFormat="1" hidden="1" outlineLevel="2" x14ac:dyDescent="0.25">
      <c r="A270" s="26"/>
      <c r="B270" s="11" t="str">
        <f>CONCATENATE("          ", "6254", " - ", "ROYALTY &amp; COMMISSIONS")</f>
        <v xml:space="preserve">          6254 - ROYALTY &amp; COMMISSIONS</v>
      </c>
      <c r="C270" s="11"/>
      <c r="D270" s="6">
        <v>17964.400000000001</v>
      </c>
      <c r="E270" s="2"/>
      <c r="F270" s="7">
        <f t="shared" si="92"/>
        <v>9.0572798229418845E-3</v>
      </c>
      <c r="G270" s="2"/>
      <c r="H270" s="6">
        <v>11700</v>
      </c>
      <c r="I270" s="2"/>
      <c r="J270" s="7">
        <f t="shared" si="93"/>
        <v>4.8194438132880459E-3</v>
      </c>
      <c r="K270" s="2"/>
      <c r="L270" s="6">
        <f t="shared" si="94"/>
        <v>6264.4000000000015</v>
      </c>
      <c r="M270" s="2"/>
      <c r="N270" s="7">
        <f t="shared" si="95"/>
        <v>0.53541880341880355</v>
      </c>
      <c r="O270" s="11"/>
      <c r="P270" s="6">
        <v>78925.69</v>
      </c>
      <c r="Q270" s="2"/>
      <c r="R270" s="7">
        <f t="shared" si="96"/>
        <v>4.3658827043127121E-3</v>
      </c>
      <c r="S270" s="2"/>
      <c r="T270" s="6">
        <v>75317</v>
      </c>
      <c r="U270" s="2"/>
      <c r="V270" s="7">
        <f t="shared" si="97"/>
        <v>3.9836374156127499E-3</v>
      </c>
      <c r="W270" s="2"/>
      <c r="X270" s="6">
        <f t="shared" si="98"/>
        <v>3608.6900000000023</v>
      </c>
      <c r="Y270" s="2"/>
      <c r="Z270" s="7">
        <f t="shared" si="99"/>
        <v>4.7913352895096753E-2</v>
      </c>
    </row>
    <row r="271" spans="1:26" s="24" customFormat="1" hidden="1" outlineLevel="2" x14ac:dyDescent="0.25">
      <c r="A271" s="26"/>
      <c r="B271" s="11" t="str">
        <f>CONCATENATE("          ", "6259", " - ", "ROYALTY &amp; COMMISSIONS")</f>
        <v xml:space="preserve">          6259 - ROYALTY &amp; COMMISSIONS</v>
      </c>
      <c r="C271" s="11"/>
      <c r="D271" s="6">
        <v>23604.54</v>
      </c>
      <c r="E271" s="2"/>
      <c r="F271" s="7">
        <f t="shared" si="92"/>
        <v>1.1900922038688998E-2</v>
      </c>
      <c r="G271" s="2"/>
      <c r="H271" s="6">
        <v>16384</v>
      </c>
      <c r="I271" s="2"/>
      <c r="J271" s="7">
        <f t="shared" si="93"/>
        <v>6.7488690117018238E-3</v>
      </c>
      <c r="K271" s="2"/>
      <c r="L271" s="6">
        <f t="shared" si="94"/>
        <v>7220.5400000000009</v>
      </c>
      <c r="M271" s="2"/>
      <c r="N271" s="7">
        <f t="shared" si="95"/>
        <v>0.44070678710937505</v>
      </c>
      <c r="O271" s="11"/>
      <c r="P271" s="6">
        <v>129205.1</v>
      </c>
      <c r="Q271" s="2"/>
      <c r="R271" s="7">
        <f t="shared" si="96"/>
        <v>7.1471571727658558E-3</v>
      </c>
      <c r="S271" s="2"/>
      <c r="T271" s="6">
        <v>103546</v>
      </c>
      <c r="U271" s="2"/>
      <c r="V271" s="7">
        <f t="shared" si="97"/>
        <v>5.4767146837637953E-3</v>
      </c>
      <c r="W271" s="2"/>
      <c r="X271" s="6">
        <f t="shared" si="98"/>
        <v>25659.100000000006</v>
      </c>
      <c r="Y271" s="2"/>
      <c r="Z271" s="7">
        <f t="shared" si="99"/>
        <v>0.24780387460645517</v>
      </c>
    </row>
    <row r="272" spans="1:26" s="25" customFormat="1" outlineLevel="1" collapsed="1" x14ac:dyDescent="0.25">
      <c r="A272" s="27"/>
      <c r="B272" s="13" t="str">
        <f>CONCATENATE("     ","Services                                          ")</f>
        <v xml:space="preserve">     Services                                          </v>
      </c>
      <c r="C272" s="13"/>
      <c r="D272" s="1">
        <f>SUM(OSRRefD22_20x_0)</f>
        <v>53423.659999999996</v>
      </c>
      <c r="E272" s="1"/>
      <c r="F272" s="5">
        <f t="shared" ref="F272:F278" si="100">IF(D$12=0,0,D272/D$12)</f>
        <v>2.6935107088781555E-2</v>
      </c>
      <c r="G272" s="1"/>
      <c r="H272" s="1">
        <f>SUM(OSRRefH22_20x_0)</f>
        <v>46002.5</v>
      </c>
      <c r="I272" s="1"/>
      <c r="J272" s="5">
        <f t="shared" ref="J272:J278" si="101">IF(H$12=0,0,H272/H$12)</f>
        <v>1.894927042912678E-2</v>
      </c>
      <c r="K272" s="1"/>
      <c r="L272" s="1">
        <f t="shared" ref="L272:L278" si="102">+D272-H272</f>
        <v>7421.1599999999962</v>
      </c>
      <c r="M272" s="1"/>
      <c r="N272" s="5">
        <f t="shared" ref="N272:N278" si="103">IF(H272=0,0,L272/H272)</f>
        <v>0.16132079778272912</v>
      </c>
      <c r="O272" s="13"/>
      <c r="P272" s="1">
        <f>SUM(OSRRefP22_20x_0)</f>
        <v>282982.90999999997</v>
      </c>
      <c r="Q272" s="1"/>
      <c r="R272" s="5">
        <f t="shared" ref="R272:R278" si="104">IF(P$12=0,0,P272/P$12)</f>
        <v>1.5653587474307552E-2</v>
      </c>
      <c r="S272" s="1"/>
      <c r="T272" s="1">
        <f>SUM(OSRRefT22_20x_0)</f>
        <v>277108</v>
      </c>
      <c r="U272" s="1"/>
      <c r="V272" s="5">
        <f t="shared" ref="V272:V278" si="105">IF(T$12=0,0,T272/T$12)</f>
        <v>1.4656688356753692E-2</v>
      </c>
      <c r="W272" s="1"/>
      <c r="X272" s="1">
        <f t="shared" ref="X272:X278" si="106">+P272-T272</f>
        <v>5874.9099999999744</v>
      </c>
      <c r="Y272" s="1"/>
      <c r="Z272" s="5">
        <f t="shared" ref="Z272:Z278" si="107">IF(T272=0,0,X272/T272)</f>
        <v>2.1200795357766554E-2</v>
      </c>
    </row>
    <row r="273" spans="1:26" s="24" customFormat="1" hidden="1" outlineLevel="2" x14ac:dyDescent="0.25">
      <c r="A273" s="26"/>
      <c r="B273" s="11" t="str">
        <f>CONCATENATE("          ", "6281", " - ", "STORAGE FEE")</f>
        <v xml:space="preserve">          6281 - STORAGE FEE</v>
      </c>
      <c r="C273" s="11"/>
      <c r="D273" s="6"/>
      <c r="E273" s="2"/>
      <c r="F273" s="7">
        <f t="shared" si="100"/>
        <v>0</v>
      </c>
      <c r="G273" s="2"/>
      <c r="H273" s="6"/>
      <c r="I273" s="2"/>
      <c r="J273" s="7">
        <f t="shared" si="101"/>
        <v>0</v>
      </c>
      <c r="K273" s="2"/>
      <c r="L273" s="6">
        <f t="shared" si="102"/>
        <v>0</v>
      </c>
      <c r="M273" s="2"/>
      <c r="N273" s="7">
        <f t="shared" si="103"/>
        <v>0</v>
      </c>
      <c r="O273" s="11"/>
      <c r="P273" s="6"/>
      <c r="Q273" s="2"/>
      <c r="R273" s="7">
        <f t="shared" si="104"/>
        <v>0</v>
      </c>
      <c r="S273" s="2"/>
      <c r="T273" s="6">
        <v>0</v>
      </c>
      <c r="U273" s="2"/>
      <c r="V273" s="7">
        <f t="shared" si="105"/>
        <v>0</v>
      </c>
      <c r="W273" s="2"/>
      <c r="X273" s="6">
        <f t="shared" si="106"/>
        <v>0</v>
      </c>
      <c r="Y273" s="2"/>
      <c r="Z273" s="7">
        <f t="shared" si="107"/>
        <v>0</v>
      </c>
    </row>
    <row r="274" spans="1:26" s="24" customFormat="1" hidden="1" outlineLevel="2" x14ac:dyDescent="0.25">
      <c r="A274" s="26"/>
      <c r="B274" s="11" t="str">
        <f>CONCATENATE("          ", "6282", " - ", "JANITORIAL/EXTERMINATOR EXPENS")</f>
        <v xml:space="preserve">          6282 - JANITORIAL/EXTERMINATOR EXPENS</v>
      </c>
      <c r="C274" s="11"/>
      <c r="D274" s="6">
        <v>7110.73</v>
      </c>
      <c r="E274" s="2"/>
      <c r="F274" s="7">
        <f t="shared" si="100"/>
        <v>3.58508335126069E-3</v>
      </c>
      <c r="G274" s="2"/>
      <c r="H274" s="6">
        <v>3456</v>
      </c>
      <c r="I274" s="2"/>
      <c r="J274" s="7">
        <f t="shared" si="101"/>
        <v>1.4235895571558536E-3</v>
      </c>
      <c r="K274" s="2"/>
      <c r="L274" s="6">
        <f t="shared" si="102"/>
        <v>3654.7299999999996</v>
      </c>
      <c r="M274" s="2"/>
      <c r="N274" s="7">
        <f t="shared" si="103"/>
        <v>1.0575028935185184</v>
      </c>
      <c r="O274" s="11"/>
      <c r="P274" s="6">
        <v>25521.72</v>
      </c>
      <c r="Q274" s="2"/>
      <c r="R274" s="7">
        <f t="shared" si="104"/>
        <v>1.4117689174755626E-3</v>
      </c>
      <c r="S274" s="2"/>
      <c r="T274" s="6">
        <v>20842</v>
      </c>
      <c r="U274" s="2"/>
      <c r="V274" s="7">
        <f t="shared" si="105"/>
        <v>1.1023669426052675E-3</v>
      </c>
      <c r="W274" s="2"/>
      <c r="X274" s="6">
        <f t="shared" si="106"/>
        <v>4679.7200000000012</v>
      </c>
      <c r="Y274" s="2"/>
      <c r="Z274" s="7">
        <f t="shared" si="107"/>
        <v>0.22453315420784958</v>
      </c>
    </row>
    <row r="275" spans="1:26" s="24" customFormat="1" hidden="1" outlineLevel="2" x14ac:dyDescent="0.25">
      <c r="A275" s="26"/>
      <c r="B275" s="11" t="str">
        <f>CONCATENATE("          ", "6283", " - ", "PLANT SERVICE")</f>
        <v xml:space="preserve">          6283 - PLANT SERVICE</v>
      </c>
      <c r="C275" s="11"/>
      <c r="D275" s="6"/>
      <c r="E275" s="2"/>
      <c r="F275" s="7">
        <f t="shared" si="100"/>
        <v>0</v>
      </c>
      <c r="G275" s="2"/>
      <c r="H275" s="6">
        <v>245</v>
      </c>
      <c r="I275" s="2"/>
      <c r="J275" s="7">
        <f t="shared" si="101"/>
        <v>1.0091997728680096E-4</v>
      </c>
      <c r="K275" s="2"/>
      <c r="L275" s="6">
        <f t="shared" si="102"/>
        <v>-245</v>
      </c>
      <c r="M275" s="2"/>
      <c r="N275" s="7">
        <f t="shared" si="103"/>
        <v>-1</v>
      </c>
      <c r="O275" s="11"/>
      <c r="P275" s="6">
        <v>1341.1</v>
      </c>
      <c r="Q275" s="2"/>
      <c r="R275" s="7">
        <f t="shared" si="104"/>
        <v>7.4184784380773583E-5</v>
      </c>
      <c r="S275" s="2"/>
      <c r="T275" s="6">
        <v>1435</v>
      </c>
      <c r="U275" s="2"/>
      <c r="V275" s="7">
        <f t="shared" si="105"/>
        <v>7.5899460830945153E-5</v>
      </c>
      <c r="W275" s="2"/>
      <c r="X275" s="6">
        <f t="shared" si="106"/>
        <v>-93.900000000000091</v>
      </c>
      <c r="Y275" s="2"/>
      <c r="Z275" s="7">
        <f t="shared" si="107"/>
        <v>-6.5435540069686479E-2</v>
      </c>
    </row>
    <row r="276" spans="1:26" s="24" customFormat="1" hidden="1" outlineLevel="2" x14ac:dyDescent="0.25">
      <c r="A276" s="26"/>
      <c r="B276" s="11" t="str">
        <f>CONCATENATE("          ", "6284", " - ", "TRASH REMOVAL EXPENSE")</f>
        <v xml:space="preserve">          6284 - TRASH REMOVAL EXPENSE</v>
      </c>
      <c r="C276" s="11"/>
      <c r="D276" s="6">
        <v>10592.82</v>
      </c>
      <c r="E276" s="2"/>
      <c r="F276" s="7">
        <f t="shared" si="100"/>
        <v>5.3406812837642915E-3</v>
      </c>
      <c r="G276" s="2"/>
      <c r="H276" s="6">
        <v>4277.5</v>
      </c>
      <c r="I276" s="2"/>
      <c r="J276" s="7">
        <f t="shared" si="101"/>
        <v>1.7619804197726169E-3</v>
      </c>
      <c r="K276" s="2"/>
      <c r="L276" s="6">
        <f t="shared" si="102"/>
        <v>6315.32</v>
      </c>
      <c r="M276" s="2"/>
      <c r="N276" s="7">
        <f t="shared" si="103"/>
        <v>1.4764044418468731</v>
      </c>
      <c r="O276" s="11"/>
      <c r="P276" s="6">
        <v>25434.92</v>
      </c>
      <c r="Q276" s="2"/>
      <c r="R276" s="7">
        <f t="shared" si="104"/>
        <v>1.4069674565224261E-3</v>
      </c>
      <c r="S276" s="2"/>
      <c r="T276" s="6">
        <v>25615</v>
      </c>
      <c r="U276" s="2"/>
      <c r="V276" s="7">
        <f t="shared" si="105"/>
        <v>1.3548185987349547E-3</v>
      </c>
      <c r="W276" s="2"/>
      <c r="X276" s="6">
        <f t="shared" si="106"/>
        <v>-180.08000000000175</v>
      </c>
      <c r="Y276" s="2"/>
      <c r="Z276" s="7">
        <f t="shared" si="107"/>
        <v>-7.0302557095452568E-3</v>
      </c>
    </row>
    <row r="277" spans="1:26" s="24" customFormat="1" hidden="1" outlineLevel="2" x14ac:dyDescent="0.25">
      <c r="A277" s="26"/>
      <c r="B277" s="11" t="str">
        <f>CONCATENATE("          ", "6285", " - ", "JANITORIAL SERVICES")</f>
        <v xml:space="preserve">          6285 - JANITORIAL SERVICES</v>
      </c>
      <c r="C277" s="11"/>
      <c r="D277" s="6">
        <v>29006.79</v>
      </c>
      <c r="E277" s="2"/>
      <c r="F277" s="7">
        <f t="shared" si="100"/>
        <v>1.4624625024788606E-2</v>
      </c>
      <c r="G277" s="2"/>
      <c r="H277" s="6">
        <v>29351</v>
      </c>
      <c r="I277" s="2"/>
      <c r="J277" s="7">
        <f t="shared" si="101"/>
        <v>1.2090213278958754E-2</v>
      </c>
      <c r="K277" s="2"/>
      <c r="L277" s="6">
        <f t="shared" si="102"/>
        <v>-344.20999999999913</v>
      </c>
      <c r="M277" s="2"/>
      <c r="N277" s="7">
        <f t="shared" si="103"/>
        <v>-1.1727368743824712E-2</v>
      </c>
      <c r="O277" s="11"/>
      <c r="P277" s="6">
        <v>178825.13999999998</v>
      </c>
      <c r="Q277" s="2"/>
      <c r="R277" s="7">
        <f t="shared" si="104"/>
        <v>9.8919576860499944E-3</v>
      </c>
      <c r="S277" s="2"/>
      <c r="T277" s="6">
        <v>177194</v>
      </c>
      <c r="U277" s="2"/>
      <c r="V277" s="7">
        <f t="shared" si="105"/>
        <v>9.372076001727174E-3</v>
      </c>
      <c r="W277" s="2"/>
      <c r="X277" s="6">
        <f t="shared" si="106"/>
        <v>1631.1399999999849</v>
      </c>
      <c r="Y277" s="2"/>
      <c r="Z277" s="7">
        <f t="shared" si="107"/>
        <v>9.2053907017166769E-3</v>
      </c>
    </row>
    <row r="278" spans="1:26" s="24" customFormat="1" hidden="1" outlineLevel="2" x14ac:dyDescent="0.25">
      <c r="A278" s="26"/>
      <c r="B278" s="11" t="str">
        <f>CONCATENATE("          ", "6286", " - ", "LAUNDRY EXPENSE")</f>
        <v xml:space="preserve">          6286 - LAUNDRY EXPENSE</v>
      </c>
      <c r="C278" s="11"/>
      <c r="D278" s="6">
        <v>6713.32</v>
      </c>
      <c r="E278" s="2"/>
      <c r="F278" s="7">
        <f t="shared" si="100"/>
        <v>3.3847174289679703E-3</v>
      </c>
      <c r="G278" s="2"/>
      <c r="H278" s="6">
        <v>8673</v>
      </c>
      <c r="I278" s="2"/>
      <c r="J278" s="7">
        <f t="shared" si="101"/>
        <v>3.572567195952754E-3</v>
      </c>
      <c r="K278" s="2"/>
      <c r="L278" s="6">
        <f t="shared" si="102"/>
        <v>-1959.6800000000003</v>
      </c>
      <c r="M278" s="2"/>
      <c r="N278" s="7">
        <f t="shared" si="103"/>
        <v>-0.22595180445059382</v>
      </c>
      <c r="O278" s="11"/>
      <c r="P278" s="6">
        <v>51860.03</v>
      </c>
      <c r="Q278" s="2"/>
      <c r="R278" s="7">
        <f t="shared" si="104"/>
        <v>2.868708629878793E-3</v>
      </c>
      <c r="S278" s="2"/>
      <c r="T278" s="6">
        <v>52022</v>
      </c>
      <c r="U278" s="2"/>
      <c r="V278" s="7">
        <f t="shared" si="105"/>
        <v>2.751527352855351E-3</v>
      </c>
      <c r="W278" s="2"/>
      <c r="X278" s="6">
        <f t="shared" si="106"/>
        <v>-161.97000000000116</v>
      </c>
      <c r="Y278" s="2"/>
      <c r="Z278" s="7">
        <f t="shared" si="107"/>
        <v>-3.1134904463496439E-3</v>
      </c>
    </row>
    <row r="279" spans="1:26" s="25" customFormat="1" outlineLevel="1" collapsed="1" x14ac:dyDescent="0.25">
      <c r="A279" s="27"/>
      <c r="B279" s="13" t="str">
        <f>CONCATENATE("     ","Subscriptions &amp; Dues                              ")</f>
        <v xml:space="preserve">     Subscriptions &amp; Dues                              </v>
      </c>
      <c r="C279" s="13"/>
      <c r="D279" s="1">
        <f>SUM(OSRRefD22_21x_0)</f>
        <v>4726.22</v>
      </c>
      <c r="E279" s="1"/>
      <c r="F279" s="5">
        <f t="shared" ref="F279:F281" si="108">IF(D$12=0,0,D279/D$12)</f>
        <v>2.3828626085360153E-3</v>
      </c>
      <c r="G279" s="1"/>
      <c r="H279" s="1">
        <f>SUM(OSRRefH22_21x_0)</f>
        <v>4784</v>
      </c>
      <c r="I279" s="1"/>
      <c r="J279" s="5">
        <f t="shared" ref="J279:J281" si="109">IF(H$12=0,0,H279/H$12)</f>
        <v>1.9706170258777787E-3</v>
      </c>
      <c r="K279" s="1"/>
      <c r="L279" s="1">
        <f t="shared" ref="L279:L281" si="110">+D279-H279</f>
        <v>-57.779999999999745</v>
      </c>
      <c r="M279" s="1"/>
      <c r="N279" s="5">
        <f t="shared" ref="N279:N281" si="111">IF(H279=0,0,L279/H279)</f>
        <v>-1.2077759197324362E-2</v>
      </c>
      <c r="O279" s="13"/>
      <c r="P279" s="1">
        <f>SUM(OSRRefP22_21x_0)</f>
        <v>4800.7599999999993</v>
      </c>
      <c r="Q279" s="1"/>
      <c r="R279" s="5">
        <f t="shared" ref="R279:R281" si="112">IF(P$12=0,0,P279/P$12)</f>
        <v>2.6556061849514765E-4</v>
      </c>
      <c r="S279" s="1"/>
      <c r="T279" s="1">
        <f>SUM(OSRRefT22_21x_0)</f>
        <v>16999</v>
      </c>
      <c r="U279" s="1"/>
      <c r="V279" s="5">
        <f t="shared" ref="V279:V281" si="113">IF(T$12=0,0,T279/T$12)</f>
        <v>8.9910448408727294E-4</v>
      </c>
      <c r="W279" s="1"/>
      <c r="X279" s="1">
        <f t="shared" ref="X279:X281" si="114">+P279-T279</f>
        <v>-12198.240000000002</v>
      </c>
      <c r="Y279" s="1"/>
      <c r="Z279" s="5">
        <f t="shared" ref="Z279:Z281" si="115">IF(T279=0,0,X279/T279)</f>
        <v>-0.71758574033766698</v>
      </c>
    </row>
    <row r="280" spans="1:26" s="24" customFormat="1" hidden="1" outlineLevel="2" x14ac:dyDescent="0.25">
      <c r="A280" s="26"/>
      <c r="B280" s="11" t="str">
        <f>CONCATENATE("          ", "6258", " - ", "MEMBERSHIP DUES")</f>
        <v xml:space="preserve">          6258 - MEMBERSHIP DUES</v>
      </c>
      <c r="C280" s="11"/>
      <c r="D280" s="6">
        <v>3980</v>
      </c>
      <c r="E280" s="2"/>
      <c r="F280" s="7">
        <f t="shared" si="108"/>
        <v>2.0066338811932879E-3</v>
      </c>
      <c r="G280" s="2"/>
      <c r="H280" s="6">
        <v>3945</v>
      </c>
      <c r="I280" s="2"/>
      <c r="J280" s="7">
        <f t="shared" si="109"/>
        <v>1.6250175934548155E-3</v>
      </c>
      <c r="K280" s="2"/>
      <c r="L280" s="6">
        <f t="shared" si="110"/>
        <v>35</v>
      </c>
      <c r="M280" s="2"/>
      <c r="N280" s="7">
        <f t="shared" si="111"/>
        <v>8.8719898605830166E-3</v>
      </c>
      <c r="O280" s="11"/>
      <c r="P280" s="6">
        <v>407.4</v>
      </c>
      <c r="Q280" s="2"/>
      <c r="R280" s="7">
        <f t="shared" si="112"/>
        <v>2.2535889312301212E-5</v>
      </c>
      <c r="S280" s="2"/>
      <c r="T280" s="6">
        <v>11140</v>
      </c>
      <c r="U280" s="2"/>
      <c r="V280" s="7">
        <f t="shared" si="113"/>
        <v>5.8921253913360905E-4</v>
      </c>
      <c r="W280" s="2"/>
      <c r="X280" s="6">
        <f t="shared" si="114"/>
        <v>-10732.6</v>
      </c>
      <c r="Y280" s="2"/>
      <c r="Z280" s="7">
        <f t="shared" si="115"/>
        <v>-0.96342908438061048</v>
      </c>
    </row>
    <row r="281" spans="1:26" s="24" customFormat="1" hidden="1" outlineLevel="2" x14ac:dyDescent="0.25">
      <c r="A281" s="26"/>
      <c r="B281" s="11" t="str">
        <f>CONCATENATE("          ", "6275", " - ", "SUBSCRIPTIONS")</f>
        <v xml:space="preserve">          6275 - SUBSCRIPTIONS</v>
      </c>
      <c r="C281" s="11"/>
      <c r="D281" s="6">
        <v>746.22</v>
      </c>
      <c r="E281" s="2"/>
      <c r="F281" s="7">
        <f t="shared" si="108"/>
        <v>3.7622872734272743E-4</v>
      </c>
      <c r="G281" s="2"/>
      <c r="H281" s="6">
        <v>839</v>
      </c>
      <c r="I281" s="2"/>
      <c r="J281" s="7">
        <f t="shared" si="109"/>
        <v>3.455994324229633E-4</v>
      </c>
      <c r="K281" s="2"/>
      <c r="L281" s="6">
        <f t="shared" si="110"/>
        <v>-92.779999999999973</v>
      </c>
      <c r="M281" s="2"/>
      <c r="N281" s="7">
        <f t="shared" si="111"/>
        <v>-0.11058402860548268</v>
      </c>
      <c r="O281" s="11"/>
      <c r="P281" s="6">
        <v>4393.3599999999997</v>
      </c>
      <c r="Q281" s="2"/>
      <c r="R281" s="7">
        <f t="shared" si="112"/>
        <v>2.4302472918284648E-4</v>
      </c>
      <c r="S281" s="2"/>
      <c r="T281" s="6">
        <v>5859</v>
      </c>
      <c r="U281" s="2"/>
      <c r="V281" s="7">
        <f t="shared" si="113"/>
        <v>3.0989194495366384E-4</v>
      </c>
      <c r="W281" s="2"/>
      <c r="X281" s="6">
        <f t="shared" si="114"/>
        <v>-1465.6400000000003</v>
      </c>
      <c r="Y281" s="2"/>
      <c r="Z281" s="7">
        <f t="shared" si="115"/>
        <v>-0.25015190305512891</v>
      </c>
    </row>
    <row r="282" spans="1:26" s="25" customFormat="1" outlineLevel="1" collapsed="1" x14ac:dyDescent="0.25">
      <c r="A282" s="27"/>
      <c r="B282" s="13" t="str">
        <f>CONCATENATE("     ","Supplies                                          ")</f>
        <v xml:space="preserve">     Supplies                                          </v>
      </c>
      <c r="C282" s="13"/>
      <c r="D282" s="1">
        <f>SUM(OSRRefD22_22x_0)</f>
        <v>33466.619999999995</v>
      </c>
      <c r="E282" s="1"/>
      <c r="F282" s="5">
        <f t="shared" ref="F282:F292" si="116">IF(D$12=0,0,D282/D$12)</f>
        <v>1.6873179291713794E-2</v>
      </c>
      <c r="G282" s="1"/>
      <c r="H282" s="1">
        <f>SUM(OSRRefH22_22x_0)</f>
        <v>64625.16</v>
      </c>
      <c r="I282" s="1"/>
      <c r="J282" s="5">
        <f t="shared" ref="J282:J292" si="117">IF(H$12=0,0,H282/H$12)</f>
        <v>2.6620284405534198E-2</v>
      </c>
      <c r="K282" s="1"/>
      <c r="L282" s="1">
        <f t="shared" ref="L282:L292" si="118">+D282-H282</f>
        <v>-31158.540000000008</v>
      </c>
      <c r="M282" s="1"/>
      <c r="N282" s="5">
        <f t="shared" ref="N282:N292" si="119">IF(H282=0,0,L282/H282)</f>
        <v>-0.48214255871861683</v>
      </c>
      <c r="O282" s="13"/>
      <c r="P282" s="1">
        <f>SUM(OSRRefP22_22x_0)</f>
        <v>360912.55999999994</v>
      </c>
      <c r="Q282" s="1"/>
      <c r="R282" s="5">
        <f t="shared" ref="R282:R292" si="120">IF(P$12=0,0,P282/P$12)</f>
        <v>1.9964372861019316E-2</v>
      </c>
      <c r="S282" s="1"/>
      <c r="T282" s="1">
        <f>SUM(OSRRefT22_22x_0)</f>
        <v>396304.5</v>
      </c>
      <c r="U282" s="1"/>
      <c r="V282" s="5">
        <f t="shared" ref="V282:V292" si="121">IF(T$12=0,0,T282/T$12)</f>
        <v>2.0961183188067806E-2</v>
      </c>
      <c r="W282" s="1"/>
      <c r="X282" s="1">
        <f t="shared" ref="X282:X292" si="122">+P282-T282</f>
        <v>-35391.940000000061</v>
      </c>
      <c r="Y282" s="1"/>
      <c r="Z282" s="5">
        <f t="shared" ref="Z282:Z292" si="123">IF(T282=0,0,X282/T282)</f>
        <v>-8.9304915790762052E-2</v>
      </c>
    </row>
    <row r="283" spans="1:26" s="24" customFormat="1" hidden="1" outlineLevel="2" x14ac:dyDescent="0.25">
      <c r="A283" s="26"/>
      <c r="B283" s="11" t="str">
        <f>CONCATENATE("          ", "6234", " - ", "EXPENDABLE SUPPLIES &amp; EQUIPMEN")</f>
        <v xml:space="preserve">          6234 - EXPENDABLE SUPPLIES &amp; EQUIPMEN</v>
      </c>
      <c r="C283" s="11"/>
      <c r="D283" s="6"/>
      <c r="E283" s="2"/>
      <c r="F283" s="7">
        <f t="shared" si="116"/>
        <v>0</v>
      </c>
      <c r="G283" s="2"/>
      <c r="H283" s="6">
        <v>7550</v>
      </c>
      <c r="I283" s="2"/>
      <c r="J283" s="7">
        <f t="shared" si="117"/>
        <v>3.1099829735320296E-3</v>
      </c>
      <c r="K283" s="2"/>
      <c r="L283" s="6">
        <f t="shared" si="118"/>
        <v>-7550</v>
      </c>
      <c r="M283" s="2"/>
      <c r="N283" s="7">
        <f t="shared" si="119"/>
        <v>-1</v>
      </c>
      <c r="O283" s="11"/>
      <c r="P283" s="6">
        <v>15631.2</v>
      </c>
      <c r="Q283" s="2"/>
      <c r="R283" s="7">
        <f t="shared" si="120"/>
        <v>8.6466124943162192E-4</v>
      </c>
      <c r="S283" s="2"/>
      <c r="T283" s="6">
        <v>52750</v>
      </c>
      <c r="U283" s="2"/>
      <c r="V283" s="7">
        <f t="shared" si="121"/>
        <v>2.7900324451793426E-3</v>
      </c>
      <c r="W283" s="2"/>
      <c r="X283" s="6">
        <f t="shared" si="122"/>
        <v>-37118.800000000003</v>
      </c>
      <c r="Y283" s="2"/>
      <c r="Z283" s="7">
        <f t="shared" si="123"/>
        <v>-0.70367393364928921</v>
      </c>
    </row>
    <row r="284" spans="1:26" s="24" customFormat="1" hidden="1" outlineLevel="2" x14ac:dyDescent="0.25">
      <c r="A284" s="26"/>
      <c r="B284" s="11" t="str">
        <f>CONCATENATE("          ", "6237", " - ", "JANITORIAL SUPPLIES")</f>
        <v xml:space="preserve">          6237 - JANITORIAL SUPPLIES</v>
      </c>
      <c r="C284" s="11"/>
      <c r="D284" s="6">
        <v>10899.49</v>
      </c>
      <c r="E284" s="2"/>
      <c r="F284" s="7">
        <f t="shared" si="116"/>
        <v>5.4952979702832735E-3</v>
      </c>
      <c r="G284" s="2"/>
      <c r="H284" s="6">
        <v>14961</v>
      </c>
      <c r="I284" s="2"/>
      <c r="J284" s="7">
        <f t="shared" si="117"/>
        <v>6.1627093068890989E-3</v>
      </c>
      <c r="K284" s="2"/>
      <c r="L284" s="6">
        <f t="shared" si="118"/>
        <v>-4061.51</v>
      </c>
      <c r="M284" s="2"/>
      <c r="N284" s="7">
        <f t="shared" si="119"/>
        <v>-0.2714731635585857</v>
      </c>
      <c r="O284" s="11"/>
      <c r="P284" s="6">
        <v>86182.58</v>
      </c>
      <c r="Q284" s="2"/>
      <c r="R284" s="7">
        <f t="shared" si="120"/>
        <v>4.7673075197067856E-3</v>
      </c>
      <c r="S284" s="2"/>
      <c r="T284" s="6">
        <v>85291</v>
      </c>
      <c r="U284" s="2"/>
      <c r="V284" s="7">
        <f t="shared" si="121"/>
        <v>4.5111783370955696E-3</v>
      </c>
      <c r="W284" s="2"/>
      <c r="X284" s="6">
        <f t="shared" si="122"/>
        <v>891.58000000000175</v>
      </c>
      <c r="Y284" s="2"/>
      <c r="Z284" s="7">
        <f t="shared" si="123"/>
        <v>1.0453388985942265E-2</v>
      </c>
    </row>
    <row r="285" spans="1:26" s="24" customFormat="1" hidden="1" outlineLevel="2" x14ac:dyDescent="0.25">
      <c r="A285" s="26"/>
      <c r="B285" s="11" t="str">
        <f>CONCATENATE("          ", "6239", " - ", "KITCHEN SUPPLIES")</f>
        <v xml:space="preserve">          6239 - KITCHEN SUPPLIES</v>
      </c>
      <c r="C285" s="11"/>
      <c r="D285" s="6">
        <v>3255.8</v>
      </c>
      <c r="E285" s="2"/>
      <c r="F285" s="7">
        <f t="shared" si="116"/>
        <v>1.6415071835148508E-3</v>
      </c>
      <c r="G285" s="2"/>
      <c r="H285" s="6">
        <v>5450</v>
      </c>
      <c r="I285" s="2"/>
      <c r="J285" s="7">
        <f t="shared" si="117"/>
        <v>2.2449545967880213E-3</v>
      </c>
      <c r="K285" s="2"/>
      <c r="L285" s="6">
        <f t="shared" si="118"/>
        <v>-2194.1999999999998</v>
      </c>
      <c r="M285" s="2"/>
      <c r="N285" s="7">
        <f t="shared" si="119"/>
        <v>-0.40260550458715594</v>
      </c>
      <c r="O285" s="11"/>
      <c r="P285" s="6">
        <v>55062.03</v>
      </c>
      <c r="Q285" s="2"/>
      <c r="R285" s="7">
        <f t="shared" si="120"/>
        <v>3.0458316479887305E-3</v>
      </c>
      <c r="S285" s="2"/>
      <c r="T285" s="6">
        <v>45777.71</v>
      </c>
      <c r="U285" s="2"/>
      <c r="V285" s="7">
        <f t="shared" si="121"/>
        <v>2.421256799355656E-3</v>
      </c>
      <c r="W285" s="2"/>
      <c r="X285" s="6">
        <f t="shared" si="122"/>
        <v>9284.32</v>
      </c>
      <c r="Y285" s="2"/>
      <c r="Z285" s="7">
        <f t="shared" si="123"/>
        <v>0.20281311581553554</v>
      </c>
    </row>
    <row r="286" spans="1:26" s="24" customFormat="1" hidden="1" outlineLevel="2" x14ac:dyDescent="0.25">
      <c r="A286" s="26"/>
      <c r="B286" s="11" t="str">
        <f>CONCATENATE("          ", "6241", " - ", "OFFICE EXPENSE")</f>
        <v xml:space="preserve">          6241 - OFFICE EXPENSE</v>
      </c>
      <c r="C286" s="11"/>
      <c r="D286" s="6">
        <v>5299.35</v>
      </c>
      <c r="E286" s="2"/>
      <c r="F286" s="7">
        <f t="shared" si="116"/>
        <v>2.67182292922152E-3</v>
      </c>
      <c r="G286" s="2"/>
      <c r="H286" s="6">
        <v>5724</v>
      </c>
      <c r="I286" s="2"/>
      <c r="J286" s="7">
        <f t="shared" si="117"/>
        <v>2.3578202040393822E-3</v>
      </c>
      <c r="K286" s="2"/>
      <c r="L286" s="6">
        <f t="shared" si="118"/>
        <v>-424.64999999999964</v>
      </c>
      <c r="M286" s="2"/>
      <c r="N286" s="7">
        <f t="shared" si="119"/>
        <v>-7.4187631027253606E-2</v>
      </c>
      <c r="O286" s="11"/>
      <c r="P286" s="6">
        <v>79329.47</v>
      </c>
      <c r="Q286" s="2"/>
      <c r="R286" s="7">
        <f t="shared" si="120"/>
        <v>4.3882183483640643E-3</v>
      </c>
      <c r="S286" s="2"/>
      <c r="T286" s="6">
        <v>24581.25</v>
      </c>
      <c r="U286" s="2"/>
      <c r="V286" s="7">
        <f t="shared" si="121"/>
        <v>1.3001418965509898E-3</v>
      </c>
      <c r="W286" s="2"/>
      <c r="X286" s="6">
        <f t="shared" si="122"/>
        <v>54748.22</v>
      </c>
      <c r="Y286" s="2"/>
      <c r="Z286" s="7">
        <f t="shared" si="123"/>
        <v>2.2272349860157643</v>
      </c>
    </row>
    <row r="287" spans="1:26" s="24" customFormat="1" hidden="1" outlineLevel="2" x14ac:dyDescent="0.25">
      <c r="A287" s="26"/>
      <c r="B287" s="11" t="str">
        <f>CONCATENATE("          ", "6243", " - ", "PAPER SUPPLIES")</f>
        <v xml:space="preserve">          6243 - PAPER SUPPLIES</v>
      </c>
      <c r="C287" s="11"/>
      <c r="D287" s="6">
        <v>10157.1</v>
      </c>
      <c r="E287" s="2"/>
      <c r="F287" s="7">
        <f t="shared" si="116"/>
        <v>5.1210002499166695E-3</v>
      </c>
      <c r="G287" s="2"/>
      <c r="H287" s="6">
        <v>9759</v>
      </c>
      <c r="I287" s="2"/>
      <c r="J287" s="7">
        <f t="shared" si="117"/>
        <v>4.0199104422117982E-3</v>
      </c>
      <c r="K287" s="2"/>
      <c r="L287" s="6">
        <f t="shared" si="118"/>
        <v>398.10000000000036</v>
      </c>
      <c r="M287" s="2"/>
      <c r="N287" s="7">
        <f t="shared" si="119"/>
        <v>4.079311404857059E-2</v>
      </c>
      <c r="O287" s="11"/>
      <c r="P287" s="6">
        <v>69590.320000000007</v>
      </c>
      <c r="Q287" s="2"/>
      <c r="R287" s="7">
        <f t="shared" si="120"/>
        <v>3.8494839193117859E-3</v>
      </c>
      <c r="S287" s="2"/>
      <c r="T287" s="6">
        <v>64184.52</v>
      </c>
      <c r="U287" s="2"/>
      <c r="V287" s="7">
        <f t="shared" si="121"/>
        <v>3.394822621388861E-3</v>
      </c>
      <c r="W287" s="2"/>
      <c r="X287" s="6">
        <f t="shared" si="122"/>
        <v>5405.8000000000102</v>
      </c>
      <c r="Y287" s="2"/>
      <c r="Z287" s="7">
        <f t="shared" si="123"/>
        <v>8.4222800139348408E-2</v>
      </c>
    </row>
    <row r="288" spans="1:26" s="24" customFormat="1" hidden="1" outlineLevel="2" x14ac:dyDescent="0.25">
      <c r="A288" s="26"/>
      <c r="B288" s="11" t="str">
        <f>CONCATENATE("          ", "6244", " - ", "SAFETY SUPPLY EXPENSE")</f>
        <v xml:space="preserve">          6244 - SAFETY SUPPLY EXPENSE</v>
      </c>
      <c r="C288" s="11"/>
      <c r="D288" s="6"/>
      <c r="E288" s="2"/>
      <c r="F288" s="7">
        <f t="shared" si="116"/>
        <v>0</v>
      </c>
      <c r="G288" s="2"/>
      <c r="H288" s="6">
        <v>235</v>
      </c>
      <c r="I288" s="2"/>
      <c r="J288" s="7">
        <f t="shared" si="117"/>
        <v>9.6800794540400915E-5</v>
      </c>
      <c r="K288" s="2"/>
      <c r="L288" s="6">
        <f t="shared" si="118"/>
        <v>-235</v>
      </c>
      <c r="M288" s="2"/>
      <c r="N288" s="7">
        <f t="shared" si="119"/>
        <v>-1</v>
      </c>
      <c r="O288" s="11"/>
      <c r="P288" s="6"/>
      <c r="Q288" s="2"/>
      <c r="R288" s="7">
        <f t="shared" si="120"/>
        <v>0</v>
      </c>
      <c r="S288" s="2"/>
      <c r="T288" s="6">
        <v>1440</v>
      </c>
      <c r="U288" s="2"/>
      <c r="V288" s="7">
        <f t="shared" si="121"/>
        <v>7.6163918882620922E-5</v>
      </c>
      <c r="W288" s="2"/>
      <c r="X288" s="6">
        <f t="shared" si="122"/>
        <v>-1440</v>
      </c>
      <c r="Y288" s="2"/>
      <c r="Z288" s="7">
        <f t="shared" si="123"/>
        <v>-1</v>
      </c>
    </row>
    <row r="289" spans="1:26" s="24" customFormat="1" hidden="1" outlineLevel="2" x14ac:dyDescent="0.25">
      <c r="A289" s="26"/>
      <c r="B289" s="11" t="str">
        <f>CONCATENATE("          ", "6245", " - ", "PRINTING")</f>
        <v xml:space="preserve">          6245 - PRINTING</v>
      </c>
      <c r="C289" s="11"/>
      <c r="D289" s="6">
        <v>748.76</v>
      </c>
      <c r="E289" s="2"/>
      <c r="F289" s="7">
        <f t="shared" si="116"/>
        <v>3.7750934293524774E-4</v>
      </c>
      <c r="G289" s="2"/>
      <c r="H289" s="6">
        <v>710</v>
      </c>
      <c r="I289" s="2"/>
      <c r="J289" s="7">
        <f t="shared" si="117"/>
        <v>2.924619749944028E-4</v>
      </c>
      <c r="K289" s="2"/>
      <c r="L289" s="6">
        <f t="shared" si="118"/>
        <v>38.759999999999991</v>
      </c>
      <c r="M289" s="2"/>
      <c r="N289" s="7">
        <f t="shared" si="119"/>
        <v>5.4591549295774637E-2</v>
      </c>
      <c r="O289" s="11"/>
      <c r="P289" s="6">
        <v>7418.72</v>
      </c>
      <c r="Q289" s="2"/>
      <c r="R289" s="7">
        <f t="shared" si="120"/>
        <v>4.1037666362041058E-4</v>
      </c>
      <c r="S289" s="2"/>
      <c r="T289" s="6">
        <v>3700</v>
      </c>
      <c r="U289" s="2"/>
      <c r="V289" s="7">
        <f t="shared" si="121"/>
        <v>1.9569895824006763E-4</v>
      </c>
      <c r="W289" s="2"/>
      <c r="X289" s="6">
        <f t="shared" si="122"/>
        <v>3718.7200000000003</v>
      </c>
      <c r="Y289" s="2"/>
      <c r="Z289" s="7">
        <f t="shared" si="123"/>
        <v>1.0050594594594595</v>
      </c>
    </row>
    <row r="290" spans="1:26" s="24" customFormat="1" hidden="1" outlineLevel="2" x14ac:dyDescent="0.25">
      <c r="A290" s="26"/>
      <c r="B290" s="11" t="str">
        <f>CONCATENATE("          ", "6246", " - ", "REPLACEMENTS")</f>
        <v xml:space="preserve">          6246 - REPLACEMENTS</v>
      </c>
      <c r="C290" s="11"/>
      <c r="D290" s="6"/>
      <c r="E290" s="2"/>
      <c r="F290" s="7">
        <f t="shared" si="116"/>
        <v>0</v>
      </c>
      <c r="G290" s="2"/>
      <c r="H290" s="6"/>
      <c r="I290" s="2"/>
      <c r="J290" s="7">
        <f t="shared" si="117"/>
        <v>0</v>
      </c>
      <c r="K290" s="2"/>
      <c r="L290" s="6">
        <f t="shared" si="118"/>
        <v>0</v>
      </c>
      <c r="M290" s="2"/>
      <c r="N290" s="7">
        <f t="shared" si="119"/>
        <v>0</v>
      </c>
      <c r="O290" s="11"/>
      <c r="P290" s="6"/>
      <c r="Q290" s="2"/>
      <c r="R290" s="7">
        <f t="shared" si="120"/>
        <v>0</v>
      </c>
      <c r="S290" s="2"/>
      <c r="T290" s="6">
        <v>2400</v>
      </c>
      <c r="U290" s="2"/>
      <c r="V290" s="7">
        <f t="shared" si="121"/>
        <v>1.2693986480436818E-4</v>
      </c>
      <c r="W290" s="2"/>
      <c r="X290" s="6">
        <f t="shared" si="122"/>
        <v>-2400</v>
      </c>
      <c r="Y290" s="2"/>
      <c r="Z290" s="7">
        <f t="shared" si="123"/>
        <v>-1</v>
      </c>
    </row>
    <row r="291" spans="1:26" s="24" customFormat="1" hidden="1" outlineLevel="2" x14ac:dyDescent="0.25">
      <c r="A291" s="26"/>
      <c r="B291" s="11" t="str">
        <f>CONCATENATE("          ", "6247", " - ", "STORE SUPPLIES")</f>
        <v xml:space="preserve">          6247 - STORE SUPPLIES</v>
      </c>
      <c r="C291" s="11"/>
      <c r="D291" s="6">
        <v>3106.12</v>
      </c>
      <c r="E291" s="2"/>
      <c r="F291" s="7">
        <f t="shared" si="116"/>
        <v>1.5660416158422349E-3</v>
      </c>
      <c r="G291" s="2"/>
      <c r="H291" s="6">
        <v>17561.16</v>
      </c>
      <c r="I291" s="2"/>
      <c r="J291" s="7">
        <f t="shared" si="117"/>
        <v>7.2337627278770515E-3</v>
      </c>
      <c r="K291" s="2"/>
      <c r="L291" s="6">
        <f t="shared" si="118"/>
        <v>-14455.04</v>
      </c>
      <c r="M291" s="2"/>
      <c r="N291" s="7">
        <f t="shared" si="119"/>
        <v>-0.82312557940363851</v>
      </c>
      <c r="O291" s="11"/>
      <c r="P291" s="6">
        <v>47849.84</v>
      </c>
      <c r="Q291" s="2"/>
      <c r="R291" s="7">
        <f t="shared" si="120"/>
        <v>2.646879474352781E-3</v>
      </c>
      <c r="S291" s="2"/>
      <c r="T291" s="6">
        <v>92480.01999999999</v>
      </c>
      <c r="U291" s="2"/>
      <c r="V291" s="7">
        <f t="shared" si="121"/>
        <v>4.8914171816271937E-3</v>
      </c>
      <c r="W291" s="2"/>
      <c r="X291" s="6">
        <f t="shared" si="122"/>
        <v>-44630.179999999993</v>
      </c>
      <c r="Y291" s="2"/>
      <c r="Z291" s="7">
        <f t="shared" si="123"/>
        <v>-0.48259267244968157</v>
      </c>
    </row>
    <row r="292" spans="1:26" s="24" customFormat="1" hidden="1" outlineLevel="2" x14ac:dyDescent="0.25">
      <c r="A292" s="26"/>
      <c r="B292" s="11" t="str">
        <f>CONCATENATE("          ", "6248", " - ", "UNIFORMS")</f>
        <v xml:space="preserve">          6248 - UNIFORMS</v>
      </c>
      <c r="C292" s="11"/>
      <c r="D292" s="6"/>
      <c r="E292" s="2"/>
      <c r="F292" s="7">
        <f t="shared" si="116"/>
        <v>0</v>
      </c>
      <c r="G292" s="2"/>
      <c r="H292" s="6">
        <v>2675</v>
      </c>
      <c r="I292" s="2"/>
      <c r="J292" s="7">
        <f t="shared" si="117"/>
        <v>1.1018813846620104E-3</v>
      </c>
      <c r="K292" s="2"/>
      <c r="L292" s="6">
        <f t="shared" si="118"/>
        <v>-2675</v>
      </c>
      <c r="M292" s="2"/>
      <c r="N292" s="7">
        <f t="shared" si="119"/>
        <v>-1</v>
      </c>
      <c r="O292" s="11"/>
      <c r="P292" s="6">
        <v>-151.6</v>
      </c>
      <c r="Q292" s="2"/>
      <c r="R292" s="7">
        <f t="shared" si="120"/>
        <v>-8.3859617568602446E-6</v>
      </c>
      <c r="S292" s="2"/>
      <c r="T292" s="6">
        <v>23700</v>
      </c>
      <c r="U292" s="2"/>
      <c r="V292" s="7">
        <f t="shared" si="121"/>
        <v>1.253531164943136E-3</v>
      </c>
      <c r="W292" s="2"/>
      <c r="X292" s="6">
        <f t="shared" si="122"/>
        <v>-23851.599999999999</v>
      </c>
      <c r="Y292" s="2"/>
      <c r="Z292" s="7">
        <f t="shared" si="123"/>
        <v>-1.0063966244725737</v>
      </c>
    </row>
    <row r="293" spans="1:26" s="25" customFormat="1" outlineLevel="1" collapsed="1" x14ac:dyDescent="0.25">
      <c r="A293" s="27"/>
      <c r="B293" s="13" t="str">
        <f>CONCATENATE("     ","Telephone/Data Lines                              ")</f>
        <v xml:space="preserve">     Telephone/Data Lines                              </v>
      </c>
      <c r="C293" s="13"/>
      <c r="D293" s="1">
        <f>SUM(OSRRefD22_23x_0)</f>
        <v>6040.64</v>
      </c>
      <c r="E293" s="1"/>
      <c r="F293" s="5">
        <f t="shared" ref="F293:F295" si="124">IF(D$12=0,0,D293/D$12)</f>
        <v>3.0455660522842772E-3</v>
      </c>
      <c r="G293" s="1"/>
      <c r="H293" s="1">
        <f>SUM(OSRRefH22_23x_0)</f>
        <v>6514</v>
      </c>
      <c r="I293" s="1"/>
      <c r="J293" s="5">
        <f t="shared" ref="J293:J295" si="125">IF(H$12=0,0,H293/H$12)</f>
        <v>2.6832356410049856E-3</v>
      </c>
      <c r="K293" s="1"/>
      <c r="L293" s="1">
        <f t="shared" ref="L293:L295" si="126">+D293-H293</f>
        <v>-473.35999999999967</v>
      </c>
      <c r="M293" s="1"/>
      <c r="N293" s="5">
        <f t="shared" ref="N293:N295" si="127">IF(H293=0,0,L293/H293)</f>
        <v>-7.2668099478047227E-2</v>
      </c>
      <c r="O293" s="13"/>
      <c r="P293" s="1">
        <f>SUM(OSRRefP22_23x_0)</f>
        <v>34958.590000000004</v>
      </c>
      <c r="Q293" s="1"/>
      <c r="R293" s="5">
        <f t="shared" ref="R293:R295" si="128">IF(P$12=0,0,P293/P$12)</f>
        <v>1.9337823140749145E-3</v>
      </c>
      <c r="S293" s="1"/>
      <c r="T293" s="1">
        <f>SUM(OSRRefT22_23x_0)</f>
        <v>39640</v>
      </c>
      <c r="U293" s="1"/>
      <c r="V293" s="5">
        <f t="shared" ref="V293:V295" si="129">IF(T$12=0,0,T293/T$12)</f>
        <v>2.0966234336854813E-3</v>
      </c>
      <c r="W293" s="1"/>
      <c r="X293" s="1">
        <f t="shared" ref="X293:X295" si="130">+P293-T293</f>
        <v>-4681.4099999999962</v>
      </c>
      <c r="Y293" s="1"/>
      <c r="Z293" s="5">
        <f t="shared" ref="Z293:Z295" si="131">IF(T293=0,0,X293/T293)</f>
        <v>-0.11809813319878901</v>
      </c>
    </row>
    <row r="294" spans="1:26" s="24" customFormat="1" hidden="1" outlineLevel="2" x14ac:dyDescent="0.25">
      <c r="A294" s="26"/>
      <c r="B294" s="11" t="str">
        <f>CONCATENATE("          ", "6303", " - ", "DATA PHONE LINES")</f>
        <v xml:space="preserve">          6303 - DATA PHONE LINES</v>
      </c>
      <c r="C294" s="11"/>
      <c r="D294" s="6">
        <v>295</v>
      </c>
      <c r="E294" s="2"/>
      <c r="F294" s="7">
        <f t="shared" si="124"/>
        <v>1.487329133045276E-4</v>
      </c>
      <c r="G294" s="2"/>
      <c r="H294" s="6">
        <v>1876</v>
      </c>
      <c r="I294" s="2"/>
      <c r="J294" s="7">
        <f t="shared" si="125"/>
        <v>7.7275868322464734E-4</v>
      </c>
      <c r="K294" s="2"/>
      <c r="L294" s="6">
        <f t="shared" si="126"/>
        <v>-1581</v>
      </c>
      <c r="M294" s="2"/>
      <c r="N294" s="7">
        <f t="shared" si="127"/>
        <v>-0.84275053304904046</v>
      </c>
      <c r="O294" s="11"/>
      <c r="P294" s="6">
        <v>1770</v>
      </c>
      <c r="Q294" s="2"/>
      <c r="R294" s="7">
        <f t="shared" si="128"/>
        <v>9.7909975657273316E-5</v>
      </c>
      <c r="S294" s="2"/>
      <c r="T294" s="6">
        <v>11537</v>
      </c>
      <c r="U294" s="2"/>
      <c r="V294" s="7">
        <f t="shared" si="129"/>
        <v>6.1021050843666498E-4</v>
      </c>
      <c r="W294" s="2"/>
      <c r="X294" s="6">
        <f t="shared" si="130"/>
        <v>-9767</v>
      </c>
      <c r="Y294" s="2"/>
      <c r="Z294" s="7">
        <f t="shared" si="131"/>
        <v>-0.84658056687180372</v>
      </c>
    </row>
    <row r="295" spans="1:26" s="24" customFormat="1" hidden="1" outlineLevel="2" x14ac:dyDescent="0.25">
      <c r="A295" s="26"/>
      <c r="B295" s="11" t="str">
        <f>CONCATENATE("          ", "6309", " - ", "TELEPHONE")</f>
        <v xml:space="preserve">          6309 - TELEPHONE</v>
      </c>
      <c r="C295" s="11"/>
      <c r="D295" s="6">
        <v>5745.64</v>
      </c>
      <c r="E295" s="2"/>
      <c r="F295" s="7">
        <f t="shared" si="124"/>
        <v>2.8968331389797493E-3</v>
      </c>
      <c r="G295" s="2"/>
      <c r="H295" s="6">
        <v>4638</v>
      </c>
      <c r="I295" s="2"/>
      <c r="J295" s="7">
        <f t="shared" si="125"/>
        <v>1.9104769577803383E-3</v>
      </c>
      <c r="K295" s="2"/>
      <c r="L295" s="6">
        <f t="shared" si="126"/>
        <v>1107.6400000000003</v>
      </c>
      <c r="M295" s="2"/>
      <c r="N295" s="7">
        <f t="shared" si="127"/>
        <v>0.23881845623113418</v>
      </c>
      <c r="O295" s="11"/>
      <c r="P295" s="6">
        <v>33188.590000000004</v>
      </c>
      <c r="Q295" s="2"/>
      <c r="R295" s="7">
        <f t="shared" si="128"/>
        <v>1.8358723384176412E-3</v>
      </c>
      <c r="S295" s="2"/>
      <c r="T295" s="6">
        <v>28103</v>
      </c>
      <c r="U295" s="2"/>
      <c r="V295" s="7">
        <f t="shared" si="129"/>
        <v>1.4864129252488165E-3</v>
      </c>
      <c r="W295" s="2"/>
      <c r="X295" s="6">
        <f t="shared" si="130"/>
        <v>5085.5900000000038</v>
      </c>
      <c r="Y295" s="2"/>
      <c r="Z295" s="7">
        <f t="shared" si="131"/>
        <v>0.18096253069067372</v>
      </c>
    </row>
    <row r="296" spans="1:26" s="25" customFormat="1" outlineLevel="1" collapsed="1" x14ac:dyDescent="0.25">
      <c r="A296" s="27"/>
      <c r="B296" s="13" t="str">
        <f>CONCATENATE("     ","Training                                          ")</f>
        <v xml:space="preserve">     Training                                          </v>
      </c>
      <c r="C296" s="13"/>
      <c r="D296" s="1">
        <f>SUM(OSRRefD22_24x_0)</f>
        <v>1663.1</v>
      </c>
      <c r="E296" s="1"/>
      <c r="F296" s="5">
        <f t="shared" ref="F296:F301" si="132">IF(D$12=0,0,D296/D$12)</f>
        <v>8.3850070548054188E-4</v>
      </c>
      <c r="G296" s="1"/>
      <c r="H296" s="1">
        <f>SUM(OSRRefH22_24x_0)</f>
        <v>6735</v>
      </c>
      <c r="I296" s="1"/>
      <c r="J296" s="5">
        <f t="shared" ref="J296:J301" si="133">IF(H$12=0,0,H296/H$12)</f>
        <v>2.7742695797004263E-3</v>
      </c>
      <c r="K296" s="1"/>
      <c r="L296" s="1">
        <f t="shared" ref="L296:L301" si="134">+D296-H296</f>
        <v>-5071.8999999999996</v>
      </c>
      <c r="M296" s="1"/>
      <c r="N296" s="5">
        <f t="shared" ref="N296:N301" si="135">IF(H296=0,0,L296/H296)</f>
        <v>-0.75306607275426873</v>
      </c>
      <c r="O296" s="13"/>
      <c r="P296" s="1">
        <f>SUM(OSRRefP22_24x_0)</f>
        <v>16396.310000000001</v>
      </c>
      <c r="Q296" s="1"/>
      <c r="R296" s="5">
        <f t="shared" ref="R296:R301" si="136">IF(P$12=0,0,P296/P$12)</f>
        <v>9.0698435760966508E-4</v>
      </c>
      <c r="S296" s="1"/>
      <c r="T296" s="1">
        <f>SUM(OSRRefT22_24x_0)</f>
        <v>33298</v>
      </c>
      <c r="U296" s="1"/>
      <c r="V296" s="5">
        <f t="shared" ref="V296:V301" si="137">IF(T$12=0,0,T296/T$12)</f>
        <v>1.7611848409399384E-3</v>
      </c>
      <c r="W296" s="1"/>
      <c r="X296" s="1">
        <f t="shared" ref="X296:X301" si="138">+P296-T296</f>
        <v>-16901.689999999999</v>
      </c>
      <c r="Y296" s="1"/>
      <c r="Z296" s="5">
        <f t="shared" ref="Z296:Z301" si="139">IF(T296=0,0,X296/T296)</f>
        <v>-0.50758874406871279</v>
      </c>
    </row>
    <row r="297" spans="1:26" s="24" customFormat="1" hidden="1" outlineLevel="2" x14ac:dyDescent="0.25">
      <c r="A297" s="26"/>
      <c r="B297" s="11" t="str">
        <f>CONCATENATE("          ", "6376", " - ", "TRAINING")</f>
        <v xml:space="preserve">          6376 - TRAINING</v>
      </c>
      <c r="C297" s="11"/>
      <c r="D297" s="6">
        <v>1663.1</v>
      </c>
      <c r="E297" s="2"/>
      <c r="F297" s="7">
        <f t="shared" si="132"/>
        <v>8.3850070548054188E-4</v>
      </c>
      <c r="G297" s="2"/>
      <c r="H297" s="6">
        <v>6735</v>
      </c>
      <c r="I297" s="2"/>
      <c r="J297" s="7">
        <f t="shared" si="133"/>
        <v>2.7742695797004263E-3</v>
      </c>
      <c r="K297" s="2"/>
      <c r="L297" s="6">
        <f t="shared" si="134"/>
        <v>-5071.8999999999996</v>
      </c>
      <c r="M297" s="2"/>
      <c r="N297" s="7">
        <f t="shared" si="135"/>
        <v>-0.75306607275426873</v>
      </c>
      <c r="O297" s="11"/>
      <c r="P297" s="6">
        <v>16396.310000000001</v>
      </c>
      <c r="Q297" s="2"/>
      <c r="R297" s="7">
        <f t="shared" si="136"/>
        <v>9.0698435760966508E-4</v>
      </c>
      <c r="S297" s="2"/>
      <c r="T297" s="6">
        <v>33298</v>
      </c>
      <c r="U297" s="2"/>
      <c r="V297" s="7">
        <f t="shared" si="137"/>
        <v>1.7611848409399384E-3</v>
      </c>
      <c r="W297" s="2"/>
      <c r="X297" s="6">
        <f t="shared" si="138"/>
        <v>-16901.689999999999</v>
      </c>
      <c r="Y297" s="2"/>
      <c r="Z297" s="7">
        <f t="shared" si="139"/>
        <v>-0.50758874406871279</v>
      </c>
    </row>
    <row r="298" spans="1:26" s="25" customFormat="1" outlineLevel="1" collapsed="1" x14ac:dyDescent="0.25">
      <c r="A298" s="27"/>
      <c r="B298" s="13" t="str">
        <f>CONCATENATE("     ","Travel                                            ")</f>
        <v xml:space="preserve">     Travel                                            </v>
      </c>
      <c r="C298" s="13"/>
      <c r="D298" s="1">
        <f>SUM(OSRRefD22_25x_0)</f>
        <v>1113.98</v>
      </c>
      <c r="E298" s="1"/>
      <c r="F298" s="5">
        <f t="shared" si="132"/>
        <v>5.6164573139992429E-4</v>
      </c>
      <c r="G298" s="1"/>
      <c r="H298" s="1">
        <f>SUM(OSRRefH22_25x_0)</f>
        <v>510</v>
      </c>
      <c r="I298" s="1"/>
      <c r="J298" s="5">
        <f t="shared" si="133"/>
        <v>2.10078320066402E-4</v>
      </c>
      <c r="K298" s="1"/>
      <c r="L298" s="1">
        <f t="shared" si="134"/>
        <v>603.98</v>
      </c>
      <c r="M298" s="1"/>
      <c r="N298" s="5">
        <f t="shared" si="135"/>
        <v>1.1842745098039216</v>
      </c>
      <c r="O298" s="13"/>
      <c r="P298" s="1">
        <f>SUM(OSRRefP22_25x_0)</f>
        <v>5947.14</v>
      </c>
      <c r="Q298" s="1"/>
      <c r="R298" s="5">
        <f t="shared" si="136"/>
        <v>3.2897419922621267E-4</v>
      </c>
      <c r="S298" s="1"/>
      <c r="T298" s="1">
        <f>SUM(OSRRefT22_25x_0)</f>
        <v>12220</v>
      </c>
      <c r="U298" s="1"/>
      <c r="V298" s="5">
        <f t="shared" si="137"/>
        <v>6.4633547829557475E-4</v>
      </c>
      <c r="W298" s="1"/>
      <c r="X298" s="1">
        <f t="shared" si="138"/>
        <v>-6272.86</v>
      </c>
      <c r="Y298" s="1"/>
      <c r="Z298" s="5">
        <f t="shared" si="139"/>
        <v>-0.51332733224222582</v>
      </c>
    </row>
    <row r="299" spans="1:26" s="24" customFormat="1" hidden="1" outlineLevel="2" x14ac:dyDescent="0.25">
      <c r="A299" s="26"/>
      <c r="B299" s="11" t="str">
        <f>CONCATENATE("          ", "6292", " - ", "TRAVEL/CONFERENCE")</f>
        <v xml:space="preserve">          6292 - TRAVEL/CONFERENCE</v>
      </c>
      <c r="C299" s="11"/>
      <c r="D299" s="6">
        <v>835.94</v>
      </c>
      <c r="E299" s="2"/>
      <c r="F299" s="7">
        <f t="shared" si="132"/>
        <v>4.2146370016198922E-4</v>
      </c>
      <c r="G299" s="2"/>
      <c r="H299" s="6">
        <v>300</v>
      </c>
      <c r="I299" s="2"/>
      <c r="J299" s="7">
        <f t="shared" si="133"/>
        <v>1.2357548239200116E-4</v>
      </c>
      <c r="K299" s="2"/>
      <c r="L299" s="6">
        <f t="shared" si="134"/>
        <v>535.94000000000005</v>
      </c>
      <c r="M299" s="2"/>
      <c r="N299" s="7">
        <f t="shared" si="135"/>
        <v>1.7864666666666669</v>
      </c>
      <c r="O299" s="11"/>
      <c r="P299" s="6">
        <v>4052.42</v>
      </c>
      <c r="Q299" s="2"/>
      <c r="R299" s="7">
        <f t="shared" si="136"/>
        <v>2.2416516584917941E-4</v>
      </c>
      <c r="S299" s="2"/>
      <c r="T299" s="6">
        <v>10500</v>
      </c>
      <c r="U299" s="2"/>
      <c r="V299" s="7">
        <f t="shared" si="137"/>
        <v>5.5536190851911084E-4</v>
      </c>
      <c r="W299" s="2"/>
      <c r="X299" s="6">
        <f t="shared" si="138"/>
        <v>-6447.58</v>
      </c>
      <c r="Y299" s="2"/>
      <c r="Z299" s="7">
        <f t="shared" si="139"/>
        <v>-0.6140552380952381</v>
      </c>
    </row>
    <row r="300" spans="1:26" s="24" customFormat="1" hidden="1" outlineLevel="2" x14ac:dyDescent="0.25">
      <c r="A300" s="26"/>
      <c r="B300" s="11" t="str">
        <f>CONCATENATE("          ", "6294", " - ", "TRAVEL OPERATIONAL")</f>
        <v xml:space="preserve">          6294 - TRAVEL OPERATIONAL</v>
      </c>
      <c r="C300" s="11"/>
      <c r="D300" s="6">
        <v>125.14</v>
      </c>
      <c r="E300" s="2"/>
      <c r="F300" s="7">
        <f t="shared" si="132"/>
        <v>6.3093006003147741E-5</v>
      </c>
      <c r="G300" s="2"/>
      <c r="H300" s="6">
        <v>100</v>
      </c>
      <c r="I300" s="2"/>
      <c r="J300" s="7">
        <f t="shared" si="133"/>
        <v>4.1191827464000394E-5</v>
      </c>
      <c r="K300" s="2"/>
      <c r="L300" s="6">
        <f t="shared" si="134"/>
        <v>25.14</v>
      </c>
      <c r="M300" s="2"/>
      <c r="N300" s="7">
        <f t="shared" si="135"/>
        <v>0.25140000000000001</v>
      </c>
      <c r="O300" s="11"/>
      <c r="P300" s="6">
        <v>864.43</v>
      </c>
      <c r="Q300" s="2"/>
      <c r="R300" s="7">
        <f t="shared" si="136"/>
        <v>4.7817130088936029E-5</v>
      </c>
      <c r="S300" s="2"/>
      <c r="T300" s="6">
        <v>610</v>
      </c>
      <c r="U300" s="2"/>
      <c r="V300" s="7">
        <f t="shared" si="137"/>
        <v>3.2263882304443582E-5</v>
      </c>
      <c r="W300" s="2"/>
      <c r="X300" s="6">
        <f t="shared" si="138"/>
        <v>254.42999999999995</v>
      </c>
      <c r="Y300" s="2"/>
      <c r="Z300" s="7">
        <f t="shared" si="139"/>
        <v>0.41709836065573763</v>
      </c>
    </row>
    <row r="301" spans="1:26" s="24" customFormat="1" hidden="1" outlineLevel="2" x14ac:dyDescent="0.25">
      <c r="A301" s="26"/>
      <c r="B301" s="11" t="str">
        <f>CONCATENATE("          ", "6298", " - ", "VEHICLE MILEAGE")</f>
        <v xml:space="preserve">          6298 - VEHICLE MILEAGE</v>
      </c>
      <c r="C301" s="11"/>
      <c r="D301" s="6">
        <v>152.9</v>
      </c>
      <c r="E301" s="2"/>
      <c r="F301" s="7">
        <f t="shared" si="132"/>
        <v>7.7089025234787357E-5</v>
      </c>
      <c r="G301" s="2"/>
      <c r="H301" s="6">
        <v>110</v>
      </c>
      <c r="I301" s="2"/>
      <c r="J301" s="7">
        <f t="shared" si="133"/>
        <v>4.5311010210400431E-5</v>
      </c>
      <c r="K301" s="2"/>
      <c r="L301" s="6">
        <f t="shared" si="134"/>
        <v>42.900000000000006</v>
      </c>
      <c r="M301" s="2"/>
      <c r="N301" s="7">
        <f t="shared" si="135"/>
        <v>0.39000000000000007</v>
      </c>
      <c r="O301" s="11"/>
      <c r="P301" s="6">
        <v>1030.29</v>
      </c>
      <c r="Q301" s="2"/>
      <c r="R301" s="7">
        <f t="shared" si="136"/>
        <v>5.6991903288097244E-5</v>
      </c>
      <c r="S301" s="2"/>
      <c r="T301" s="6">
        <v>1110</v>
      </c>
      <c r="U301" s="2"/>
      <c r="V301" s="7">
        <f t="shared" si="137"/>
        <v>5.8709687472020293E-5</v>
      </c>
      <c r="W301" s="2"/>
      <c r="X301" s="6">
        <f t="shared" si="138"/>
        <v>-79.710000000000036</v>
      </c>
      <c r="Y301" s="2"/>
      <c r="Z301" s="7">
        <f t="shared" si="139"/>
        <v>-7.1810810810810838E-2</v>
      </c>
    </row>
    <row r="302" spans="1:26" s="25" customFormat="1" outlineLevel="1" collapsed="1" x14ac:dyDescent="0.25">
      <c r="A302" s="27"/>
      <c r="B302" s="13" t="str">
        <f>CONCATENATE("     ","Utilities                                         ")</f>
        <v xml:space="preserve">     Utilities                                         </v>
      </c>
      <c r="C302" s="13"/>
      <c r="D302" s="1">
        <f>SUM(OSRRefD22_26x_0)</f>
        <v>50394.76</v>
      </c>
      <c r="E302" s="1"/>
      <c r="F302" s="5">
        <f t="shared" ref="F302:F303" si="140">IF(D$12=0,0,D302/D$12)</f>
        <v>2.5407998203669409E-2</v>
      </c>
      <c r="G302" s="1"/>
      <c r="H302" s="1">
        <f>SUM(OSRRefH22_26x_0)</f>
        <v>23648</v>
      </c>
      <c r="I302" s="1"/>
      <c r="J302" s="5">
        <f t="shared" ref="J302:J303" si="141">IF(H$12=0,0,H302/H$12)</f>
        <v>9.7410433586868125E-3</v>
      </c>
      <c r="K302" s="1"/>
      <c r="L302" s="1">
        <f t="shared" ref="L302:L303" si="142">+D302-H302</f>
        <v>26746.760000000002</v>
      </c>
      <c r="M302" s="1"/>
      <c r="N302" s="5">
        <f t="shared" ref="N302:N303" si="143">IF(H302=0,0,L302/H302)</f>
        <v>1.1310368741542627</v>
      </c>
      <c r="O302" s="13"/>
      <c r="P302" s="1">
        <f>SUM(OSRRefP22_26x_0)</f>
        <v>134371.80000000002</v>
      </c>
      <c r="Q302" s="1"/>
      <c r="R302" s="5">
        <f t="shared" ref="R302:R303" si="144">IF(P$12=0,0,P302/P$12)</f>
        <v>7.4329602638553679E-3</v>
      </c>
      <c r="S302" s="1"/>
      <c r="T302" s="1">
        <f>SUM(OSRRefT22_26x_0)</f>
        <v>151994</v>
      </c>
      <c r="U302" s="1"/>
      <c r="V302" s="5">
        <f t="shared" ref="V302:V303" si="145">IF(T$12=0,0,T302/T$12)</f>
        <v>8.0392074212813081E-3</v>
      </c>
      <c r="W302" s="1"/>
      <c r="X302" s="1">
        <f t="shared" ref="X302:X303" si="146">+P302-T302</f>
        <v>-17622.199999999983</v>
      </c>
      <c r="Y302" s="1"/>
      <c r="Z302" s="5">
        <f t="shared" ref="Z302:Z303" si="147">IF(T302=0,0,X302/T302)</f>
        <v>-0.11594010289879852</v>
      </c>
    </row>
    <row r="303" spans="1:26" s="24" customFormat="1" hidden="1" outlineLevel="2" x14ac:dyDescent="0.25">
      <c r="A303" s="26"/>
      <c r="B303" s="11" t="str">
        <f>CONCATENATE("          ", "6274", " - ", "UTILITIES")</f>
        <v xml:space="preserve">          6274 - UTILITIES</v>
      </c>
      <c r="C303" s="11"/>
      <c r="D303" s="6">
        <v>50394.76</v>
      </c>
      <c r="E303" s="2"/>
      <c r="F303" s="7">
        <f t="shared" si="140"/>
        <v>2.5407998203669409E-2</v>
      </c>
      <c r="G303" s="2"/>
      <c r="H303" s="6">
        <v>23648</v>
      </c>
      <c r="I303" s="2"/>
      <c r="J303" s="7">
        <f t="shared" si="141"/>
        <v>9.7410433586868125E-3</v>
      </c>
      <c r="K303" s="2"/>
      <c r="L303" s="6">
        <f t="shared" si="142"/>
        <v>26746.760000000002</v>
      </c>
      <c r="M303" s="2"/>
      <c r="N303" s="7">
        <f t="shared" si="143"/>
        <v>1.1310368741542627</v>
      </c>
      <c r="O303" s="11"/>
      <c r="P303" s="6">
        <v>134371.80000000002</v>
      </c>
      <c r="Q303" s="2"/>
      <c r="R303" s="7">
        <f t="shared" si="144"/>
        <v>7.4329602638553679E-3</v>
      </c>
      <c r="S303" s="2"/>
      <c r="T303" s="6">
        <v>151994</v>
      </c>
      <c r="U303" s="2"/>
      <c r="V303" s="7">
        <f t="shared" si="145"/>
        <v>8.0392074212813081E-3</v>
      </c>
      <c r="W303" s="2"/>
      <c r="X303" s="6">
        <f t="shared" si="146"/>
        <v>-17622.199999999983</v>
      </c>
      <c r="Y303" s="2"/>
      <c r="Z303" s="7">
        <f t="shared" si="147"/>
        <v>-0.11594010289879852</v>
      </c>
    </row>
    <row r="304" spans="1:26" s="53" customFormat="1" x14ac:dyDescent="0.25">
      <c r="A304" s="36"/>
      <c r="B304" s="36"/>
      <c r="C304" s="36"/>
      <c r="D304" s="1"/>
      <c r="E304" s="1"/>
      <c r="F304" s="5"/>
      <c r="G304" s="1"/>
      <c r="H304" s="1"/>
      <c r="I304" s="1"/>
      <c r="J304" s="5"/>
      <c r="K304" s="1"/>
      <c r="L304" s="1"/>
      <c r="M304" s="1"/>
      <c r="N304" s="5"/>
      <c r="O304" s="36"/>
      <c r="P304" s="1"/>
      <c r="Q304" s="1"/>
      <c r="R304" s="5"/>
      <c r="S304" s="1"/>
      <c r="T304" s="1"/>
      <c r="U304" s="1"/>
      <c r="V304" s="5"/>
      <c r="W304" s="1"/>
      <c r="X304" s="1"/>
      <c r="Y304" s="1"/>
      <c r="Z304" s="5"/>
    </row>
    <row r="305" spans="1:26" s="23" customFormat="1" collapsed="1" x14ac:dyDescent="0.25">
      <c r="A305" s="10"/>
      <c r="B305" s="28" t="s">
        <v>0</v>
      </c>
      <c r="C305" s="10"/>
      <c r="D305" s="4">
        <f>SUM(OSRRefD25x_0)</f>
        <v>46005.49</v>
      </c>
      <c r="E305" s="4"/>
      <c r="F305" s="12">
        <f t="shared" ref="F305:F318" si="148">IF(D$12=0,0,D305/D$12)</f>
        <v>2.3195018832889193E-2</v>
      </c>
      <c r="G305" s="4"/>
      <c r="H305" s="4">
        <f>SUM(OSRRefH25x_0)</f>
        <v>98971</v>
      </c>
      <c r="I305" s="4"/>
      <c r="J305" s="12">
        <f t="shared" ref="J305:J318" si="149">IF(H$12=0,0,H305/H$12)</f>
        <v>4.0767963559395826E-2</v>
      </c>
      <c r="K305" s="4"/>
      <c r="L305" s="4">
        <f t="shared" ref="L305:L318" si="150">+D305-H305</f>
        <v>-52965.51</v>
      </c>
      <c r="M305" s="4"/>
      <c r="N305" s="12">
        <f t="shared" ref="N305:N318" si="151">IF(H305=0,0,L305/H305)</f>
        <v>-0.53516191611684227</v>
      </c>
      <c r="O305" s="10"/>
      <c r="P305" s="4">
        <f>SUM(OSRRefP25x_0)</f>
        <v>958891.85999999987</v>
      </c>
      <c r="Q305" s="4"/>
      <c r="R305" s="12">
        <f t="shared" ref="R305:R318" si="152">IF(P$12=0,0,P305/P$12)</f>
        <v>5.3042417327998602E-2</v>
      </c>
      <c r="S305" s="4"/>
      <c r="T305" s="4">
        <f>SUM(OSRRefT25x_0)</f>
        <v>915220</v>
      </c>
      <c r="U305" s="4"/>
      <c r="V305" s="12">
        <f t="shared" ref="V305:V318" si="153">IF(T$12=0,0,T305/T$12)</f>
        <v>4.8407459610939112E-2</v>
      </c>
      <c r="W305" s="4"/>
      <c r="X305" s="4">
        <f t="shared" ref="X305:X318" si="154">+P305-T305</f>
        <v>43671.85999999987</v>
      </c>
      <c r="Y305" s="4"/>
      <c r="Z305" s="12">
        <f t="shared" ref="Z305:Z318" si="155">IF(T305=0,0,X305/T305)</f>
        <v>4.7717335722558367E-2</v>
      </c>
    </row>
    <row r="306" spans="1:26" s="24" customFormat="1" hidden="1" outlineLevel="1" x14ac:dyDescent="0.25">
      <c r="A306" s="44"/>
      <c r="B306" s="11" t="str">
        <f>CONCATENATE("          ", "4098", " - ", "TAXABLE SALES-GRAD RENTALS")</f>
        <v xml:space="preserve">          4098 - TAXABLE SALES-GRAD RENTALS</v>
      </c>
      <c r="C306" s="11"/>
      <c r="D306" s="2">
        <f>0</f>
        <v>0</v>
      </c>
      <c r="E306" s="2"/>
      <c r="F306" s="19">
        <f t="shared" si="148"/>
        <v>0</v>
      </c>
      <c r="G306" s="2"/>
      <c r="H306" s="2"/>
      <c r="I306" s="2"/>
      <c r="J306" s="19">
        <f t="shared" si="149"/>
        <v>0</v>
      </c>
      <c r="K306" s="2"/>
      <c r="L306" s="2">
        <f t="shared" si="150"/>
        <v>0</v>
      </c>
      <c r="M306" s="2"/>
      <c r="N306" s="19">
        <f t="shared" si="151"/>
        <v>0</v>
      </c>
      <c r="O306" s="11"/>
      <c r="P306" s="2">
        <f>--1626.85</f>
        <v>1626.85</v>
      </c>
      <c r="Q306" s="2"/>
      <c r="R306" s="19">
        <f t="shared" si="152"/>
        <v>8.9991437230528299E-5</v>
      </c>
      <c r="S306" s="2"/>
      <c r="T306" s="2"/>
      <c r="U306" s="2"/>
      <c r="V306" s="19">
        <f t="shared" si="153"/>
        <v>0</v>
      </c>
      <c r="W306" s="2"/>
      <c r="X306" s="2">
        <f t="shared" si="154"/>
        <v>1626.85</v>
      </c>
      <c r="Y306" s="2"/>
      <c r="Z306" s="19">
        <f t="shared" si="155"/>
        <v>0</v>
      </c>
    </row>
    <row r="307" spans="1:26" s="24" customFormat="1" hidden="1" outlineLevel="1" x14ac:dyDescent="0.25">
      <c r="A307" s="44"/>
      <c r="B307" s="11" t="str">
        <f>CONCATENATE("          ", "4187", " - ", "NON-TAXABLE SALES-COMPUTER REP")</f>
        <v xml:space="preserve">          4187 - NON-TAXABLE SALES-COMPUTER REP</v>
      </c>
      <c r="C307" s="11"/>
      <c r="D307" s="2">
        <f>--456.99</f>
        <v>456.99</v>
      </c>
      <c r="E307" s="2"/>
      <c r="F307" s="19">
        <f t="shared" si="148"/>
        <v>2.3040492898656297E-4</v>
      </c>
      <c r="G307" s="2"/>
      <c r="H307" s="2"/>
      <c r="I307" s="2"/>
      <c r="J307" s="19">
        <f t="shared" si="149"/>
        <v>0</v>
      </c>
      <c r="K307" s="2"/>
      <c r="L307" s="2">
        <f t="shared" si="150"/>
        <v>456.99</v>
      </c>
      <c r="M307" s="2"/>
      <c r="N307" s="19">
        <f t="shared" si="151"/>
        <v>0</v>
      </c>
      <c r="O307" s="11"/>
      <c r="P307" s="2">
        <f>--13188.92</f>
        <v>13188.92</v>
      </c>
      <c r="Q307" s="2"/>
      <c r="R307" s="19">
        <f t="shared" si="152"/>
        <v>7.295631842631216E-4</v>
      </c>
      <c r="S307" s="2"/>
      <c r="T307" s="2"/>
      <c r="U307" s="2"/>
      <c r="V307" s="19">
        <f t="shared" si="153"/>
        <v>0</v>
      </c>
      <c r="W307" s="2"/>
      <c r="X307" s="2">
        <f t="shared" si="154"/>
        <v>13188.92</v>
      </c>
      <c r="Y307" s="2"/>
      <c r="Z307" s="19">
        <f t="shared" si="155"/>
        <v>0</v>
      </c>
    </row>
    <row r="308" spans="1:26" s="24" customFormat="1" hidden="1" outlineLevel="1" x14ac:dyDescent="0.25">
      <c r="A308" s="44"/>
      <c r="B308" s="11" t="str">
        <f>CONCATENATE("          ", "4197", " - ", "NON-TAXABLE SALES-RETURNED CHE")</f>
        <v xml:space="preserve">          4197 - NON-TAXABLE SALES-RETURNED CHE</v>
      </c>
      <c r="C308" s="11"/>
      <c r="D308" s="2">
        <f t="shared" ref="D308:D310" si="156">0</f>
        <v>0</v>
      </c>
      <c r="E308" s="2"/>
      <c r="F308" s="19">
        <f t="shared" si="148"/>
        <v>0</v>
      </c>
      <c r="G308" s="2"/>
      <c r="H308" s="2"/>
      <c r="I308" s="2"/>
      <c r="J308" s="19">
        <f t="shared" si="149"/>
        <v>0</v>
      </c>
      <c r="K308" s="2"/>
      <c r="L308" s="2">
        <f t="shared" si="150"/>
        <v>0</v>
      </c>
      <c r="M308" s="2"/>
      <c r="N308" s="19">
        <f t="shared" si="151"/>
        <v>0</v>
      </c>
      <c r="O308" s="11"/>
      <c r="P308" s="2">
        <f>--30</f>
        <v>30</v>
      </c>
      <c r="Q308" s="2"/>
      <c r="R308" s="19">
        <f t="shared" si="152"/>
        <v>1.6594911128351409E-6</v>
      </c>
      <c r="S308" s="2"/>
      <c r="T308" s="2"/>
      <c r="U308" s="2"/>
      <c r="V308" s="19">
        <f t="shared" si="153"/>
        <v>0</v>
      </c>
      <c r="W308" s="2"/>
      <c r="X308" s="2">
        <f t="shared" si="154"/>
        <v>30</v>
      </c>
      <c r="Y308" s="2"/>
      <c r="Z308" s="19">
        <f t="shared" si="155"/>
        <v>0</v>
      </c>
    </row>
    <row r="309" spans="1:26" s="24" customFormat="1" hidden="1" outlineLevel="1" x14ac:dyDescent="0.25">
      <c r="A309" s="44"/>
      <c r="B309" s="11" t="str">
        <f>CONCATENATE("          ", "4198", " - ", "NON-TAXABLE SALES-GRAD RENTALS")</f>
        <v xml:space="preserve">          4198 - NON-TAXABLE SALES-GRAD RENTALS</v>
      </c>
      <c r="C309" s="11"/>
      <c r="D309" s="2">
        <f t="shared" si="156"/>
        <v>0</v>
      </c>
      <c r="E309" s="2"/>
      <c r="F309" s="19">
        <f t="shared" si="148"/>
        <v>0</v>
      </c>
      <c r="G309" s="2"/>
      <c r="H309" s="2"/>
      <c r="I309" s="2"/>
      <c r="J309" s="19">
        <f t="shared" si="149"/>
        <v>0</v>
      </c>
      <c r="K309" s="2"/>
      <c r="L309" s="2">
        <f t="shared" si="150"/>
        <v>0</v>
      </c>
      <c r="M309" s="2"/>
      <c r="N309" s="19">
        <f t="shared" si="151"/>
        <v>0</v>
      </c>
      <c r="O309" s="11"/>
      <c r="P309" s="2">
        <f>--495</f>
        <v>495</v>
      </c>
      <c r="Q309" s="2"/>
      <c r="R309" s="19">
        <f t="shared" si="152"/>
        <v>2.7381603361779827E-5</v>
      </c>
      <c r="S309" s="2"/>
      <c r="T309" s="2"/>
      <c r="U309" s="2"/>
      <c r="V309" s="19">
        <f t="shared" si="153"/>
        <v>0</v>
      </c>
      <c r="W309" s="2"/>
      <c r="X309" s="2">
        <f t="shared" si="154"/>
        <v>495</v>
      </c>
      <c r="Y309" s="2"/>
      <c r="Z309" s="19">
        <f t="shared" si="155"/>
        <v>0</v>
      </c>
    </row>
    <row r="310" spans="1:26" s="24" customFormat="1" hidden="1" outlineLevel="1" x14ac:dyDescent="0.25">
      <c r="A310" s="44"/>
      <c r="B310" s="11" t="str">
        <f>CONCATENATE("          ", "4387", " - ", "SALES RETURN NON TAXABLE-COMPU")</f>
        <v xml:space="preserve">          4387 - SALES RETURN NON TAXABLE-COMPU</v>
      </c>
      <c r="C310" s="11"/>
      <c r="D310" s="2">
        <f t="shared" si="156"/>
        <v>0</v>
      </c>
      <c r="E310" s="2"/>
      <c r="F310" s="19">
        <f t="shared" si="148"/>
        <v>0</v>
      </c>
      <c r="G310" s="2"/>
      <c r="H310" s="2"/>
      <c r="I310" s="2"/>
      <c r="J310" s="19">
        <f t="shared" si="149"/>
        <v>0</v>
      </c>
      <c r="K310" s="2"/>
      <c r="L310" s="2">
        <f t="shared" si="150"/>
        <v>0</v>
      </c>
      <c r="M310" s="2"/>
      <c r="N310" s="19">
        <f t="shared" si="151"/>
        <v>0</v>
      </c>
      <c r="O310" s="11"/>
      <c r="P310" s="2">
        <f>-7889</f>
        <v>-7889</v>
      </c>
      <c r="Q310" s="2"/>
      <c r="R310" s="19">
        <f t="shared" si="152"/>
        <v>-4.3639084630521421E-4</v>
      </c>
      <c r="S310" s="2"/>
      <c r="T310" s="2"/>
      <c r="U310" s="2"/>
      <c r="V310" s="19">
        <f t="shared" si="153"/>
        <v>0</v>
      </c>
      <c r="W310" s="2"/>
      <c r="X310" s="2">
        <f t="shared" si="154"/>
        <v>-7889</v>
      </c>
      <c r="Y310" s="2"/>
      <c r="Z310" s="19">
        <f t="shared" si="155"/>
        <v>0</v>
      </c>
    </row>
    <row r="311" spans="1:26" s="24" customFormat="1" hidden="1" outlineLevel="1" x14ac:dyDescent="0.25">
      <c r="A311" s="44"/>
      <c r="B311" s="11" t="str">
        <f>CONCATENATE("          ", "5087", " - ", "PURCHASES @ COST-COMPUTER REPA")</f>
        <v xml:space="preserve">          5087 - PURCHASES @ COST-COMPUTER REPA</v>
      </c>
      <c r="C311" s="11"/>
      <c r="D311" s="2">
        <f>-56.72</f>
        <v>-56.72</v>
      </c>
      <c r="E311" s="2"/>
      <c r="F311" s="19">
        <f t="shared" si="148"/>
        <v>-2.8597053703840021E-5</v>
      </c>
      <c r="G311" s="2"/>
      <c r="H311" s="2"/>
      <c r="I311" s="2"/>
      <c r="J311" s="19">
        <f t="shared" si="149"/>
        <v>0</v>
      </c>
      <c r="K311" s="2"/>
      <c r="L311" s="2">
        <f t="shared" si="150"/>
        <v>-56.72</v>
      </c>
      <c r="M311" s="2"/>
      <c r="N311" s="19">
        <f t="shared" si="151"/>
        <v>0</v>
      </c>
      <c r="O311" s="11"/>
      <c r="P311" s="2">
        <f>-56.72</f>
        <v>-56.72</v>
      </c>
      <c r="Q311" s="2"/>
      <c r="R311" s="19">
        <f t="shared" si="152"/>
        <v>-3.1375445306669732E-6</v>
      </c>
      <c r="S311" s="2"/>
      <c r="T311" s="2"/>
      <c r="U311" s="2"/>
      <c r="V311" s="19">
        <f t="shared" si="153"/>
        <v>0</v>
      </c>
      <c r="W311" s="2"/>
      <c r="X311" s="2">
        <f t="shared" si="154"/>
        <v>-56.72</v>
      </c>
      <c r="Y311" s="2"/>
      <c r="Z311" s="19">
        <f t="shared" si="155"/>
        <v>0</v>
      </c>
    </row>
    <row r="312" spans="1:26" s="24" customFormat="1" hidden="1" outlineLevel="1" x14ac:dyDescent="0.25">
      <c r="A312" s="44"/>
      <c r="B312" s="11" t="str">
        <f>CONCATENATE("          ", "9150", " - ", "MISC. INCOME")</f>
        <v xml:space="preserve">          9150 - MISC. INCOME</v>
      </c>
      <c r="C312" s="11"/>
      <c r="D312" s="2">
        <f>--37912.6</f>
        <v>37912.6</v>
      </c>
      <c r="E312" s="2"/>
      <c r="F312" s="19">
        <f t="shared" si="148"/>
        <v>1.9114750674404182E-2</v>
      </c>
      <c r="G312" s="2"/>
      <c r="H312" s="2">
        <v>61771.000000000007</v>
      </c>
      <c r="I312" s="2"/>
      <c r="J312" s="19">
        <f t="shared" si="149"/>
        <v>2.5444603742787685E-2</v>
      </c>
      <c r="K312" s="2"/>
      <c r="L312" s="2">
        <f t="shared" si="150"/>
        <v>-23858.400000000009</v>
      </c>
      <c r="M312" s="2"/>
      <c r="N312" s="19">
        <f t="shared" si="151"/>
        <v>-0.38623949749882641</v>
      </c>
      <c r="O312" s="11"/>
      <c r="P312" s="2">
        <f>--444275.73</f>
        <v>444275.73</v>
      </c>
      <c r="Q312" s="2"/>
      <c r="R312" s="19">
        <f t="shared" si="152"/>
        <v>2.4575720852778152E-2</v>
      </c>
      <c r="S312" s="2"/>
      <c r="T312" s="2">
        <v>401103</v>
      </c>
      <c r="U312" s="2"/>
      <c r="V312" s="19">
        <f t="shared" si="153"/>
        <v>2.121498358026104E-2</v>
      </c>
      <c r="W312" s="2"/>
      <c r="X312" s="2">
        <f t="shared" si="154"/>
        <v>43172.729999999981</v>
      </c>
      <c r="Y312" s="2"/>
      <c r="Z312" s="19">
        <f t="shared" si="155"/>
        <v>0.10763502142841111</v>
      </c>
    </row>
    <row r="313" spans="1:26" s="24" customFormat="1" hidden="1" outlineLevel="1" x14ac:dyDescent="0.25">
      <c r="A313" s="44"/>
      <c r="B313" s="11" t="str">
        <f>CONCATENATE("          ", "9151", " - ", "MISC. INCOME")</f>
        <v xml:space="preserve">          9151 - MISC. INCOME</v>
      </c>
      <c r="C313" s="11"/>
      <c r="D313" s="2">
        <f>--268.24</f>
        <v>268.24</v>
      </c>
      <c r="E313" s="2"/>
      <c r="F313" s="19">
        <f t="shared" si="148"/>
        <v>1.35241073440022E-4</v>
      </c>
      <c r="G313" s="2"/>
      <c r="H313" s="2">
        <v>12850</v>
      </c>
      <c r="I313" s="2"/>
      <c r="J313" s="19">
        <f t="shared" si="149"/>
        <v>5.2931498291240503E-3</v>
      </c>
      <c r="K313" s="2"/>
      <c r="L313" s="2">
        <f t="shared" si="150"/>
        <v>-12581.76</v>
      </c>
      <c r="M313" s="2"/>
      <c r="N313" s="19">
        <f t="shared" si="151"/>
        <v>-0.97912529182879382</v>
      </c>
      <c r="O313" s="11"/>
      <c r="P313" s="2">
        <f>--87492.51</f>
        <v>87492.51</v>
      </c>
      <c r="Q313" s="2"/>
      <c r="R313" s="19">
        <f t="shared" si="152"/>
        <v>4.839768092821323E-3</v>
      </c>
      <c r="S313" s="2"/>
      <c r="T313" s="2">
        <v>322667</v>
      </c>
      <c r="U313" s="2"/>
      <c r="V313" s="19">
        <f t="shared" si="153"/>
        <v>1.7066377232012948E-2</v>
      </c>
      <c r="W313" s="2"/>
      <c r="X313" s="2">
        <f t="shared" si="154"/>
        <v>-235174.49</v>
      </c>
      <c r="Y313" s="2"/>
      <c r="Z313" s="19">
        <f t="shared" si="155"/>
        <v>-0.72884580697747214</v>
      </c>
    </row>
    <row r="314" spans="1:26" s="24" customFormat="1" hidden="1" outlineLevel="1" x14ac:dyDescent="0.25">
      <c r="A314" s="44"/>
      <c r="B314" s="11" t="str">
        <f>CONCATENATE("          ", "9152", " - ", "MISC. INCOME")</f>
        <v xml:space="preserve">          9152 - MISC. INCOME</v>
      </c>
      <c r="C314" s="11"/>
      <c r="D314" s="2">
        <f>--3382.44</f>
        <v>3382.44</v>
      </c>
      <c r="E314" s="2"/>
      <c r="F314" s="19">
        <f t="shared" si="148"/>
        <v>1.7053564585686996E-3</v>
      </c>
      <c r="G314" s="2"/>
      <c r="H314" s="2"/>
      <c r="I314" s="2"/>
      <c r="J314" s="19">
        <f t="shared" si="149"/>
        <v>0</v>
      </c>
      <c r="K314" s="2"/>
      <c r="L314" s="2">
        <f t="shared" si="150"/>
        <v>3382.44</v>
      </c>
      <c r="M314" s="2"/>
      <c r="N314" s="19">
        <f t="shared" si="151"/>
        <v>0</v>
      </c>
      <c r="O314" s="11"/>
      <c r="P314" s="2">
        <f>--4230.76</f>
        <v>4230.76</v>
      </c>
      <c r="Q314" s="2"/>
      <c r="R314" s="19">
        <f t="shared" si="152"/>
        <v>2.3403028735128004E-4</v>
      </c>
      <c r="S314" s="2"/>
      <c r="T314" s="2"/>
      <c r="U314" s="2"/>
      <c r="V314" s="19">
        <f t="shared" si="153"/>
        <v>0</v>
      </c>
      <c r="W314" s="2"/>
      <c r="X314" s="2">
        <f t="shared" si="154"/>
        <v>4230.76</v>
      </c>
      <c r="Y314" s="2"/>
      <c r="Z314" s="19">
        <f t="shared" si="155"/>
        <v>0</v>
      </c>
    </row>
    <row r="315" spans="1:26" s="24" customFormat="1" hidden="1" outlineLevel="1" x14ac:dyDescent="0.25">
      <c r="A315" s="44"/>
      <c r="B315" s="11" t="str">
        <f>CONCATENATE("          ", "9153", " - ", "MISC. INCOME")</f>
        <v xml:space="preserve">          9153 - MISC. INCOME</v>
      </c>
      <c r="C315" s="11"/>
      <c r="D315" s="2">
        <f t="shared" ref="D315:D317" si="157">0</f>
        <v>0</v>
      </c>
      <c r="E315" s="2"/>
      <c r="F315" s="19">
        <f t="shared" si="148"/>
        <v>0</v>
      </c>
      <c r="G315" s="2"/>
      <c r="H315" s="2"/>
      <c r="I315" s="2"/>
      <c r="J315" s="19">
        <f t="shared" si="149"/>
        <v>0</v>
      </c>
      <c r="K315" s="2"/>
      <c r="L315" s="2">
        <f t="shared" si="150"/>
        <v>0</v>
      </c>
      <c r="M315" s="2"/>
      <c r="N315" s="19">
        <f t="shared" si="151"/>
        <v>0</v>
      </c>
      <c r="O315" s="11"/>
      <c r="P315" s="2">
        <f>--450</f>
        <v>450</v>
      </c>
      <c r="Q315" s="2"/>
      <c r="R315" s="19">
        <f t="shared" si="152"/>
        <v>2.4892366692527113E-5</v>
      </c>
      <c r="S315" s="2"/>
      <c r="T315" s="2"/>
      <c r="U315" s="2"/>
      <c r="V315" s="19">
        <f t="shared" si="153"/>
        <v>0</v>
      </c>
      <c r="W315" s="2"/>
      <c r="X315" s="2">
        <f t="shared" si="154"/>
        <v>450</v>
      </c>
      <c r="Y315" s="2"/>
      <c r="Z315" s="19">
        <f t="shared" si="155"/>
        <v>0</v>
      </c>
    </row>
    <row r="316" spans="1:26" s="24" customFormat="1" hidden="1" outlineLevel="1" x14ac:dyDescent="0.25">
      <c r="A316" s="44"/>
      <c r="B316" s="11" t="str">
        <f>CONCATENATE("          ", "9160", " - ", "MISC. INCOME")</f>
        <v xml:space="preserve">          9160 - MISC. INCOME</v>
      </c>
      <c r="C316" s="11"/>
      <c r="D316" s="2">
        <f t="shared" si="157"/>
        <v>0</v>
      </c>
      <c r="E316" s="2"/>
      <c r="F316" s="19">
        <f t="shared" si="148"/>
        <v>0</v>
      </c>
      <c r="G316" s="2"/>
      <c r="H316" s="2">
        <v>24350</v>
      </c>
      <c r="I316" s="2"/>
      <c r="J316" s="19">
        <f t="shared" si="149"/>
        <v>1.0030209987484096E-2</v>
      </c>
      <c r="K316" s="2"/>
      <c r="L316" s="2">
        <f t="shared" si="150"/>
        <v>-24350</v>
      </c>
      <c r="M316" s="2"/>
      <c r="N316" s="19">
        <f t="shared" si="151"/>
        <v>-1</v>
      </c>
      <c r="O316" s="11"/>
      <c r="P316" s="2">
        <f>--126525.2</f>
        <v>126525.2</v>
      </c>
      <c r="Q316" s="2"/>
      <c r="R316" s="19">
        <f t="shared" si="152"/>
        <v>6.9989148316562926E-3</v>
      </c>
      <c r="S316" s="2"/>
      <c r="T316" s="2">
        <v>191450</v>
      </c>
      <c r="U316" s="2"/>
      <c r="V316" s="19">
        <f t="shared" si="153"/>
        <v>1.0126098798665122E-2</v>
      </c>
      <c r="W316" s="2"/>
      <c r="X316" s="2">
        <f t="shared" si="154"/>
        <v>-64924.800000000003</v>
      </c>
      <c r="Y316" s="2"/>
      <c r="Z316" s="19">
        <f t="shared" si="155"/>
        <v>-0.33912144162966834</v>
      </c>
    </row>
    <row r="317" spans="1:26" s="24" customFormat="1" hidden="1" outlineLevel="1" x14ac:dyDescent="0.25">
      <c r="A317" s="44"/>
      <c r="B317" s="11" t="str">
        <f>CONCATENATE("          ", "9163", " - ", "MISC. INCOME")</f>
        <v xml:space="preserve">          9163 - MISC. INCOME</v>
      </c>
      <c r="C317" s="11"/>
      <c r="D317" s="2">
        <f t="shared" si="157"/>
        <v>0</v>
      </c>
      <c r="E317" s="2"/>
      <c r="F317" s="19">
        <f t="shared" si="148"/>
        <v>0</v>
      </c>
      <c r="G317" s="2"/>
      <c r="H317" s="2"/>
      <c r="I317" s="2"/>
      <c r="J317" s="19">
        <f t="shared" si="149"/>
        <v>0</v>
      </c>
      <c r="K317" s="2"/>
      <c r="L317" s="2">
        <f t="shared" si="150"/>
        <v>0</v>
      </c>
      <c r="M317" s="2"/>
      <c r="N317" s="19">
        <f t="shared" si="151"/>
        <v>0</v>
      </c>
      <c r="O317" s="11"/>
      <c r="P317" s="2">
        <f>--61106.55</f>
        <v>61106.55</v>
      </c>
      <c r="Q317" s="2"/>
      <c r="R317" s="19">
        <f t="shared" si="152"/>
        <v>3.3801925553672064E-3</v>
      </c>
      <c r="S317" s="2"/>
      <c r="T317" s="2"/>
      <c r="U317" s="2"/>
      <c r="V317" s="19">
        <f t="shared" si="153"/>
        <v>0</v>
      </c>
      <c r="W317" s="2"/>
      <c r="X317" s="2">
        <f t="shared" si="154"/>
        <v>61106.55</v>
      </c>
      <c r="Y317" s="2"/>
      <c r="Z317" s="19">
        <f t="shared" si="155"/>
        <v>0</v>
      </c>
    </row>
    <row r="318" spans="1:26" s="24" customFormat="1" hidden="1" outlineLevel="1" x14ac:dyDescent="0.25">
      <c r="A318" s="44"/>
      <c r="B318" s="11" t="str">
        <f>CONCATENATE("          ", "9165", " - ", "OTHER INCOME")</f>
        <v xml:space="preserve">          9165 - OTHER INCOME</v>
      </c>
      <c r="C318" s="11"/>
      <c r="D318" s="2">
        <f>--4041.94</f>
        <v>4041.94</v>
      </c>
      <c r="E318" s="2"/>
      <c r="F318" s="19">
        <f t="shared" si="148"/>
        <v>2.0378627511935671E-3</v>
      </c>
      <c r="G318" s="2"/>
      <c r="H318" s="2"/>
      <c r="I318" s="2"/>
      <c r="J318" s="19">
        <f t="shared" si="149"/>
        <v>0</v>
      </c>
      <c r="K318" s="2"/>
      <c r="L318" s="2">
        <f t="shared" si="150"/>
        <v>4041.94</v>
      </c>
      <c r="M318" s="2"/>
      <c r="N318" s="19">
        <f t="shared" si="151"/>
        <v>0</v>
      </c>
      <c r="O318" s="11"/>
      <c r="P318" s="2">
        <f>--227416.06</f>
        <v>227416.06</v>
      </c>
      <c r="Q318" s="2"/>
      <c r="R318" s="19">
        <f t="shared" si="152"/>
        <v>1.2579831016199439E-2</v>
      </c>
      <c r="S318" s="2"/>
      <c r="T318" s="2"/>
      <c r="U318" s="2"/>
      <c r="V318" s="19">
        <f t="shared" si="153"/>
        <v>0</v>
      </c>
      <c r="W318" s="2"/>
      <c r="X318" s="2">
        <f t="shared" si="154"/>
        <v>227416.06</v>
      </c>
      <c r="Y318" s="2"/>
      <c r="Z318" s="19">
        <f t="shared" si="155"/>
        <v>0</v>
      </c>
    </row>
    <row r="319" spans="1:26" x14ac:dyDescent="0.25">
      <c r="A319" s="9"/>
      <c r="B319" s="10"/>
      <c r="C319" s="10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O319" s="10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x14ac:dyDescent="0.25">
      <c r="A320" s="10"/>
      <c r="B320" s="29" t="s">
        <v>3</v>
      </c>
      <c r="C320" s="29"/>
      <c r="D320" s="22">
        <f>+D196-D198+D305</f>
        <v>-38658.979999999276</v>
      </c>
      <c r="E320" s="14"/>
      <c r="F320" s="20">
        <f>IF(D$12=0,0,D320/D$12)</f>
        <v>-1.9491060070445286E-2</v>
      </c>
      <c r="G320" s="14"/>
      <c r="H320" s="22">
        <f>+H196-H198+H305</f>
        <v>224432.25140310475</v>
      </c>
      <c r="I320" s="14"/>
      <c r="J320" s="20">
        <f>IF(H$12=0,0,H320/H$12)</f>
        <v>9.2447745771538511E-2</v>
      </c>
      <c r="K320" s="16"/>
      <c r="L320" s="22">
        <f>+D320-H320</f>
        <v>-263091.23140310403</v>
      </c>
      <c r="M320" s="16"/>
      <c r="N320" s="20">
        <f>IF(H320=0,0,L320/H320)</f>
        <v>-1.1722523378806353</v>
      </c>
      <c r="O320" s="28"/>
      <c r="P320" s="22">
        <f>+P196-P198+P305</f>
        <v>2167793.3600000092</v>
      </c>
      <c r="Q320" s="14"/>
      <c r="R320" s="20">
        <f>IF(P$12=0,0,P320/P$12)</f>
        <v>0.11991446051276815</v>
      </c>
      <c r="S320" s="14"/>
      <c r="T320" s="22">
        <f>+T196-T198+T305</f>
        <v>2730232.4424832482</v>
      </c>
      <c r="U320" s="14"/>
      <c r="V320" s="20">
        <f>IF(T$12=0,0,T320/T$12)</f>
        <v>0.14440639047221812</v>
      </c>
      <c r="W320" s="16"/>
      <c r="X320" s="22">
        <f>+P320-T320</f>
        <v>-562439.08248323901</v>
      </c>
      <c r="Y320" s="16"/>
      <c r="Z320" s="20">
        <f>IF(T320=0,0,X320/T320)</f>
        <v>-0.20600410197004315</v>
      </c>
    </row>
    <row r="321" spans="1:26" x14ac:dyDescent="0.25">
      <c r="A321" s="9"/>
      <c r="B321" s="10"/>
      <c r="C321" s="9"/>
      <c r="D321" s="3"/>
      <c r="E321" s="3"/>
      <c r="F321" s="8"/>
      <c r="G321" s="3"/>
      <c r="H321" s="3"/>
      <c r="I321" s="3"/>
      <c r="J321" s="8"/>
      <c r="K321" s="3"/>
      <c r="L321" s="3"/>
      <c r="M321" s="3"/>
      <c r="N321" s="8"/>
      <c r="P321" s="3"/>
      <c r="Q321" s="3"/>
      <c r="R321" s="8"/>
      <c r="S321" s="3"/>
      <c r="T321" s="3"/>
      <c r="U321" s="3"/>
      <c r="V321" s="8"/>
      <c r="W321" s="3"/>
      <c r="X321" s="3"/>
      <c r="Y321" s="3"/>
      <c r="Z321" s="8"/>
    </row>
    <row r="322" spans="1:26" s="23" customFormat="1" x14ac:dyDescent="0.25">
      <c r="A322" s="52"/>
      <c r="B322" s="10" t="s">
        <v>14</v>
      </c>
      <c r="C322" s="10"/>
      <c r="D322" s="4">
        <v>248255.84000000003</v>
      </c>
      <c r="E322" s="4"/>
      <c r="F322" s="12">
        <f>IF(D$12=0,0,D322/D$12)</f>
        <v>0.12516547229851757</v>
      </c>
      <c r="G322" s="4"/>
      <c r="H322" s="4">
        <v>347041</v>
      </c>
      <c r="I322" s="4"/>
      <c r="J322" s="12">
        <f>IF(H$12=0,0,H322/H$12)</f>
        <v>0.1429525299493416</v>
      </c>
      <c r="K322" s="4"/>
      <c r="L322" s="4">
        <f>+D322-H322</f>
        <v>-98785.159999999974</v>
      </c>
      <c r="M322" s="4"/>
      <c r="N322" s="12">
        <f>IF(H322=0,0,L322/H322)</f>
        <v>-0.2846498252367875</v>
      </c>
      <c r="O322" s="10"/>
      <c r="P322" s="4">
        <v>1952544.9800000002</v>
      </c>
      <c r="Q322" s="4"/>
      <c r="R322" s="12">
        <f>IF(P$12=0,0,P322/P$12)</f>
        <v>0.10800770139069561</v>
      </c>
      <c r="S322" s="4"/>
      <c r="T322" s="4">
        <v>2435421</v>
      </c>
      <c r="U322" s="4"/>
      <c r="V322" s="12">
        <f>IF(T$12=0,0,T322/T$12)</f>
        <v>0.12881333853404967</v>
      </c>
      <c r="W322" s="4"/>
      <c r="X322" s="4">
        <f>+P322-T322</f>
        <v>-482876.01999999979</v>
      </c>
      <c r="Y322" s="4"/>
      <c r="Z322" s="12">
        <f>IF(T322=0,0,X322/T322)</f>
        <v>-0.19827209340808008</v>
      </c>
    </row>
    <row r="323" spans="1:26" x14ac:dyDescent="0.25">
      <c r="A323" s="9"/>
      <c r="B323" s="10"/>
      <c r="C323" s="10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O323" s="10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3" customFormat="1" ht="15.75" thickBot="1" x14ac:dyDescent="0.3">
      <c r="A324" s="10"/>
      <c r="B324" s="29" t="s">
        <v>4</v>
      </c>
      <c r="C324" s="29"/>
      <c r="D324" s="31">
        <f>+D320-D322</f>
        <v>-286914.81999999931</v>
      </c>
      <c r="E324" s="14"/>
      <c r="F324" s="32">
        <f>IF(D$12=0,0,D324/D$12)</f>
        <v>-0.14465653236896284</v>
      </c>
      <c r="G324" s="14"/>
      <c r="H324" s="31">
        <f>+H320-H322</f>
        <v>-122608.74859689525</v>
      </c>
      <c r="I324" s="14"/>
      <c r="J324" s="32">
        <f>IF(H$12=0,0,H324/H$12)</f>
        <v>-5.0504784177803096E-2</v>
      </c>
      <c r="K324" s="16"/>
      <c r="L324" s="31">
        <f>D324-H324</f>
        <v>-164306.07140310406</v>
      </c>
      <c r="M324" s="16"/>
      <c r="N324" s="32">
        <f>IF(H324=0,0,L324/H324)</f>
        <v>1.3400844008554271</v>
      </c>
      <c r="O324" s="28"/>
      <c r="P324" s="31">
        <f>+P320-P322</f>
        <v>215248.38000000897</v>
      </c>
      <c r="Q324" s="14"/>
      <c r="R324" s="32">
        <f>IF(P$12=0,0,P324/P$12)</f>
        <v>1.1906759122072539E-2</v>
      </c>
      <c r="S324" s="14"/>
      <c r="T324" s="31">
        <f>+T320-T322</f>
        <v>294811.44248324819</v>
      </c>
      <c r="U324" s="14"/>
      <c r="V324" s="32">
        <f>IF(T$12=0,0,T324/T$12)</f>
        <v>1.5593051938168456E-2</v>
      </c>
      <c r="W324" s="16"/>
      <c r="X324" s="31">
        <f>P324-T324</f>
        <v>-79563.06248323922</v>
      </c>
      <c r="Y324" s="16"/>
      <c r="Z324" s="32">
        <f>IF(T324=0,0,X324/T324)</f>
        <v>-0.26987779650974764</v>
      </c>
    </row>
    <row r="325" spans="1:26" ht="15.75" thickTop="1" x14ac:dyDescent="0.25">
      <c r="A325" s="9"/>
      <c r="B325" s="9"/>
      <c r="C325" s="9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3" customFormat="1" x14ac:dyDescent="0.25">
      <c r="A326" s="52"/>
      <c r="B326" s="10" t="s">
        <v>2</v>
      </c>
      <c r="C326" s="10"/>
      <c r="D326" s="4">
        <f>--207006.23</f>
        <v>207006.23</v>
      </c>
      <c r="E326" s="4"/>
      <c r="F326" s="12">
        <f t="shared" ref="F326:F327" si="158">IF(D$12=0,0,D326/D$12)</f>
        <v>0.10436827003419358</v>
      </c>
      <c r="G326" s="4"/>
      <c r="H326" s="4">
        <f>--25000</f>
        <v>25000</v>
      </c>
      <c r="I326" s="4"/>
      <c r="J326" s="12">
        <f t="shared" ref="J326:J327" si="159">IF(H$12=0,0,H326/H$12)</f>
        <v>1.0297956866000098E-2</v>
      </c>
      <c r="K326" s="4"/>
      <c r="L326" s="4">
        <f t="shared" ref="L326:L327" si="160">+D326-H326</f>
        <v>182006.23</v>
      </c>
      <c r="M326" s="4"/>
      <c r="N326" s="12">
        <f t="shared" ref="N326:N327" si="161">IF(H326=0,0,L326/H326)</f>
        <v>7.2802492000000001</v>
      </c>
      <c r="O326" s="10"/>
      <c r="P326" s="4">
        <f>--524210.9</f>
        <v>524210.9</v>
      </c>
      <c r="Q326" s="4"/>
      <c r="R326" s="12">
        <f t="shared" ref="R326:R327" si="162">IF(P$12=0,0,P326/P$12)</f>
        <v>2.8997444326710361E-2</v>
      </c>
      <c r="S326" s="4"/>
      <c r="T326" s="4">
        <f>--150000</f>
        <v>150000</v>
      </c>
      <c r="U326" s="4"/>
      <c r="V326" s="12">
        <f t="shared" ref="V326:V327" si="163">IF(T$12=0,0,T326/T$12)</f>
        <v>7.9337415502730123E-3</v>
      </c>
      <c r="W326" s="4"/>
      <c r="X326" s="4">
        <f t="shared" ref="X326:X327" si="164">+P326-T326</f>
        <v>374210.9</v>
      </c>
      <c r="Y326" s="4"/>
      <c r="Z326" s="12">
        <f t="shared" ref="Z326:Z327" si="165">IF(T326=0,0,X326/T326)</f>
        <v>2.4947393333333334</v>
      </c>
    </row>
    <row r="327" spans="1:26" s="23" customFormat="1" x14ac:dyDescent="0.25">
      <c r="A327" s="52"/>
      <c r="B327" s="10" t="s">
        <v>1</v>
      </c>
      <c r="C327" s="10"/>
      <c r="D327" s="4">
        <f>--80889.64</f>
        <v>80889.64</v>
      </c>
      <c r="E327" s="4"/>
      <c r="F327" s="12">
        <f t="shared" si="158"/>
        <v>4.0782887502896437E-2</v>
      </c>
      <c r="G327" s="4"/>
      <c r="H327" s="4">
        <f>--20000</f>
        <v>20000</v>
      </c>
      <c r="I327" s="4"/>
      <c r="J327" s="12">
        <f t="shared" si="159"/>
        <v>8.2383654928000778E-3</v>
      </c>
      <c r="K327" s="4"/>
      <c r="L327" s="4">
        <f t="shared" si="160"/>
        <v>60889.64</v>
      </c>
      <c r="M327" s="4"/>
      <c r="N327" s="12">
        <f t="shared" si="161"/>
        <v>3.0444819999999999</v>
      </c>
      <c r="O327" s="10"/>
      <c r="P327" s="4">
        <f>--159064.94</f>
        <v>159064.94</v>
      </c>
      <c r="Q327" s="4"/>
      <c r="R327" s="12">
        <f t="shared" si="162"/>
        <v>8.7988951431218314E-3</v>
      </c>
      <c r="S327" s="4"/>
      <c r="T327" s="4">
        <f>--140000</f>
        <v>140000</v>
      </c>
      <c r="U327" s="4"/>
      <c r="V327" s="12">
        <f t="shared" si="163"/>
        <v>7.4048254469214784E-3</v>
      </c>
      <c r="W327" s="4"/>
      <c r="X327" s="4">
        <f t="shared" si="164"/>
        <v>19064.940000000002</v>
      </c>
      <c r="Y327" s="4"/>
      <c r="Z327" s="12">
        <f t="shared" si="165"/>
        <v>0.13617814285714289</v>
      </c>
    </row>
    <row r="328" spans="1:26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3" customFormat="1" ht="15.75" thickBot="1" x14ac:dyDescent="0.3">
      <c r="A329" s="10"/>
      <c r="B329" s="29" t="s">
        <v>5</v>
      </c>
      <c r="C329" s="29"/>
      <c r="D329" s="35">
        <f>SUM(D324:D328)</f>
        <v>981.0500000007014</v>
      </c>
      <c r="E329" s="14"/>
      <c r="F329" s="34">
        <f>IF(D$12=0,0,D329/D$12)</f>
        <v>4.9462516812715635E-4</v>
      </c>
      <c r="G329" s="14"/>
      <c r="H329" s="35">
        <f>SUM(H324:H328)</f>
        <v>-77608.748596895253</v>
      </c>
      <c r="I329" s="14"/>
      <c r="J329" s="34">
        <f>IF(H$12=0,0,H329/H$12)</f>
        <v>-3.1968461819002918E-2</v>
      </c>
      <c r="K329" s="16"/>
      <c r="L329" s="35">
        <f>+D329-H329</f>
        <v>78589.798596895955</v>
      </c>
      <c r="M329" s="16"/>
      <c r="N329" s="34">
        <f>IF(H329=0,0,L329/H329)</f>
        <v>-1.0126409717684837</v>
      </c>
      <c r="O329" s="28"/>
      <c r="P329" s="35">
        <f>SUM(P324:P328)</f>
        <v>898524.22000000905</v>
      </c>
      <c r="Q329" s="14"/>
      <c r="R329" s="34">
        <f>IF(P$12=0,0,P329/P$12)</f>
        <v>4.9703098591904735E-2</v>
      </c>
      <c r="S329" s="14"/>
      <c r="T329" s="35">
        <f>SUM(T324:T328)</f>
        <v>584811.44248324819</v>
      </c>
      <c r="U329" s="14"/>
      <c r="V329" s="34">
        <f>IF(T$12=0,0,T329/T$12)</f>
        <v>3.0931618935362948E-2</v>
      </c>
      <c r="W329" s="16"/>
      <c r="X329" s="35">
        <f>+P329-T329</f>
        <v>313712.77751676086</v>
      </c>
      <c r="Y329" s="16"/>
      <c r="Z329" s="34">
        <f>IF(T329=0,0,X329/T329)</f>
        <v>0.53643406186558518</v>
      </c>
    </row>
    <row r="330" spans="1:26" ht="15.75" thickTop="1" x14ac:dyDescent="0.25">
      <c r="A330" s="9"/>
      <c r="C330" s="9"/>
      <c r="D330" s="17"/>
      <c r="E330" s="17"/>
      <c r="G330" s="17"/>
      <c r="H330" s="17"/>
      <c r="I330" s="17"/>
      <c r="J330" s="42"/>
      <c r="K330" s="17"/>
      <c r="L330" s="17"/>
      <c r="M330" s="17"/>
      <c r="P330" s="17"/>
      <c r="Q330" s="17"/>
      <c r="R330" s="42"/>
      <c r="S330" s="17"/>
      <c r="T330" s="17"/>
      <c r="U330" s="17"/>
      <c r="V330" s="42"/>
      <c r="W330" s="17"/>
      <c r="X330" s="17"/>
    </row>
    <row r="331" spans="1:26" x14ac:dyDescent="0.25">
      <c r="A331" s="9"/>
      <c r="B331" s="63">
        <v>43847.445258564818</v>
      </c>
      <c r="D331" s="17"/>
      <c r="E331" s="17"/>
      <c r="G331" s="17"/>
      <c r="H331" s="17"/>
      <c r="I331" s="17"/>
      <c r="J331" s="42"/>
      <c r="K331" s="17"/>
      <c r="L331" s="17"/>
      <c r="M331" s="17"/>
      <c r="P331" s="17"/>
      <c r="Q331" s="17"/>
      <c r="R331" s="42"/>
      <c r="S331" s="17"/>
      <c r="T331" s="17"/>
      <c r="U331" s="17"/>
      <c r="V331" s="42"/>
      <c r="W331" s="17"/>
      <c r="X331" s="17"/>
    </row>
    <row r="332" spans="1:26" x14ac:dyDescent="0.25">
      <c r="A332" s="9"/>
      <c r="B332" s="55" t="s">
        <v>314</v>
      </c>
      <c r="D332" s="17"/>
      <c r="E332" s="17"/>
      <c r="G332" s="17"/>
      <c r="H332" s="17"/>
      <c r="I332" s="17"/>
      <c r="J332" s="42"/>
      <c r="K332" s="17"/>
      <c r="L332" s="17"/>
      <c r="M332" s="17"/>
      <c r="P332" s="17"/>
      <c r="Q332" s="17"/>
      <c r="R332" s="42"/>
      <c r="S332" s="17"/>
      <c r="T332" s="17"/>
      <c r="U332" s="17"/>
      <c r="V332" s="42"/>
      <c r="W332" s="17"/>
      <c r="X332" s="17"/>
    </row>
    <row r="333" spans="1:26" x14ac:dyDescent="0.25">
      <c r="A333" s="9"/>
      <c r="B333" s="56"/>
      <c r="D333" s="17"/>
      <c r="E333" s="17"/>
      <c r="G333" s="17"/>
      <c r="H333" s="17"/>
      <c r="I333" s="17"/>
      <c r="J333" s="42"/>
      <c r="K333" s="17"/>
      <c r="L333" s="17"/>
      <c r="M333" s="17"/>
      <c r="P333" s="17"/>
      <c r="Q333" s="17"/>
      <c r="R333" s="42"/>
      <c r="S333" s="17"/>
      <c r="T333" s="17"/>
      <c r="U333" s="17"/>
      <c r="V333" s="42"/>
      <c r="W333" s="17"/>
      <c r="X333" s="17"/>
    </row>
    <row r="334" spans="1:26" x14ac:dyDescent="0.25">
      <c r="D334" s="17"/>
      <c r="E334" s="17"/>
      <c r="G334" s="17"/>
      <c r="H334" s="17"/>
      <c r="I334" s="17"/>
      <c r="J334" s="42"/>
      <c r="K334" s="17"/>
      <c r="L334" s="17"/>
      <c r="M334" s="17"/>
      <c r="P334" s="17"/>
      <c r="Q334" s="17"/>
      <c r="R334" s="42"/>
      <c r="S334" s="17"/>
      <c r="T334" s="17"/>
      <c r="U334" s="17"/>
      <c r="V334" s="42"/>
      <c r="W334" s="17"/>
      <c r="X334" s="17"/>
    </row>
  </sheetData>
  <pageMargins left="0.25" right="0.25" top="0.75" bottom="0.75" header="0.3" footer="0.3"/>
  <pageSetup scale="55" fitToWidth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6"/>
      <c r="L26" s="31">
        <f>D26-H26</f>
        <v>0</v>
      </c>
      <c r="M26" s="16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6"/>
      <c r="X26" s="31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--207006.23</f>
        <v>207006.23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182006.23</v>
      </c>
      <c r="M28" s="4"/>
      <c r="N28" s="12">
        <f t="shared" ref="N28:N29" si="3">IF(H28=0,0,L28/H28)</f>
        <v>7.2802492000000001</v>
      </c>
      <c r="O28" s="10"/>
      <c r="P28" s="4">
        <f>--524210.9</f>
        <v>524210.9</v>
      </c>
      <c r="Q28" s="4"/>
      <c r="R28" s="12">
        <f t="shared" ref="R28:R29" si="4">IF(P$12=0,0,P28/P$12)</f>
        <v>0</v>
      </c>
      <c r="S28" s="4"/>
      <c r="T28" s="4">
        <f>--150000</f>
        <v>150000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374210.9</v>
      </c>
      <c r="Y28" s="4"/>
      <c r="Z28" s="12">
        <f t="shared" ref="Z28:Z29" si="7">IF(T28=0,0,X28/T28)</f>
        <v>2.4947393333333334</v>
      </c>
    </row>
    <row r="29" spans="1:26" s="23" customFormat="1" x14ac:dyDescent="0.25">
      <c r="A29" s="52"/>
      <c r="B29" s="10" t="s">
        <v>1</v>
      </c>
      <c r="C29" s="10"/>
      <c r="D29" s="4">
        <f>--80889.64</f>
        <v>80889.64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60889.64</v>
      </c>
      <c r="M29" s="4"/>
      <c r="N29" s="12">
        <f t="shared" si="3"/>
        <v>3.0444819999999999</v>
      </c>
      <c r="O29" s="10"/>
      <c r="P29" s="4">
        <f>--159064.94</f>
        <v>159064.94</v>
      </c>
      <c r="Q29" s="4"/>
      <c r="R29" s="12">
        <f t="shared" si="4"/>
        <v>0</v>
      </c>
      <c r="S29" s="4"/>
      <c r="T29" s="4">
        <f>--140000</f>
        <v>140000</v>
      </c>
      <c r="U29" s="4"/>
      <c r="V29" s="12">
        <f t="shared" si="5"/>
        <v>0</v>
      </c>
      <c r="W29" s="4"/>
      <c r="X29" s="4">
        <f t="shared" si="6"/>
        <v>19064.940000000002</v>
      </c>
      <c r="Y29" s="4"/>
      <c r="Z29" s="12">
        <f t="shared" si="7"/>
        <v>0.13617814285714289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5">
        <f>SUM(D26:D30)</f>
        <v>287895.87</v>
      </c>
      <c r="E31" s="14"/>
      <c r="F31" s="34">
        <f>IF(D$12=0,0,D31/D$12)</f>
        <v>0</v>
      </c>
      <c r="G31" s="14"/>
      <c r="H31" s="35">
        <f>SUM(H26:H30)</f>
        <v>45000</v>
      </c>
      <c r="I31" s="14"/>
      <c r="J31" s="34">
        <f>IF(H$12=0,0,H31/H$12)</f>
        <v>0</v>
      </c>
      <c r="K31" s="16"/>
      <c r="L31" s="35">
        <f>+D31-H31</f>
        <v>242895.87</v>
      </c>
      <c r="M31" s="16"/>
      <c r="N31" s="34">
        <f>IF(H31=0,0,L31/H31)</f>
        <v>5.3976860000000002</v>
      </c>
      <c r="O31" s="28"/>
      <c r="P31" s="35">
        <f>SUM(P26:P30)</f>
        <v>683275.84000000008</v>
      </c>
      <c r="Q31" s="14"/>
      <c r="R31" s="34">
        <f>IF(P$12=0,0,P31/P$12)</f>
        <v>0</v>
      </c>
      <c r="S31" s="14"/>
      <c r="T31" s="35">
        <f>SUM(T26:T30)</f>
        <v>290000</v>
      </c>
      <c r="U31" s="14"/>
      <c r="V31" s="34">
        <f>IF(T$12=0,0,T31/T$12)</f>
        <v>0</v>
      </c>
      <c r="W31" s="16"/>
      <c r="X31" s="35">
        <f>+P31-T31</f>
        <v>393275.84000000008</v>
      </c>
      <c r="Y31" s="16"/>
      <c r="Z31" s="34">
        <f>IF(T31=0,0,X31/T31)</f>
        <v>1.3561235862068968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3">
        <v>43847.445313391203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6"/>
      <c r="L26" s="31">
        <f>D26-H26</f>
        <v>0</v>
      </c>
      <c r="M26" s="16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6"/>
      <c r="X26" s="31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--207006.23</f>
        <v>207006.23</v>
      </c>
      <c r="E28" s="4"/>
      <c r="F28" s="12">
        <f t="shared" ref="F28:F29" si="0">IF(D$12=0,0,D28/D$12)</f>
        <v>0</v>
      </c>
      <c r="G28" s="4"/>
      <c r="H28" s="4">
        <f>--25000</f>
        <v>25000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182006.23</v>
      </c>
      <c r="M28" s="4"/>
      <c r="N28" s="12">
        <f t="shared" ref="N28:N29" si="3">IF(H28=0,0,L28/H28)</f>
        <v>7.2802492000000001</v>
      </c>
      <c r="O28" s="10"/>
      <c r="P28" s="4">
        <f>--524210.9</f>
        <v>524210.9</v>
      </c>
      <c r="Q28" s="4"/>
      <c r="R28" s="12">
        <f t="shared" ref="R28:R29" si="4">IF(P$12=0,0,P28/P$12)</f>
        <v>0</v>
      </c>
      <c r="S28" s="4"/>
      <c r="T28" s="4">
        <f>--150000</f>
        <v>150000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374210.9</v>
      </c>
      <c r="Y28" s="4"/>
      <c r="Z28" s="12">
        <f t="shared" ref="Z28:Z29" si="7">IF(T28=0,0,X28/T28)</f>
        <v>2.4947393333333334</v>
      </c>
    </row>
    <row r="29" spans="1:26" s="23" customFormat="1" x14ac:dyDescent="0.25">
      <c r="A29" s="52"/>
      <c r="B29" s="10" t="s">
        <v>1</v>
      </c>
      <c r="C29" s="10"/>
      <c r="D29" s="4">
        <f>--80889.64</f>
        <v>80889.64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60889.64</v>
      </c>
      <c r="M29" s="4"/>
      <c r="N29" s="12">
        <f t="shared" si="3"/>
        <v>3.0444819999999999</v>
      </c>
      <c r="O29" s="10"/>
      <c r="P29" s="4">
        <f>--159064.94</f>
        <v>159064.94</v>
      </c>
      <c r="Q29" s="4"/>
      <c r="R29" s="12">
        <f t="shared" si="4"/>
        <v>0</v>
      </c>
      <c r="S29" s="4"/>
      <c r="T29" s="4">
        <f>--140000</f>
        <v>140000</v>
      </c>
      <c r="U29" s="4"/>
      <c r="V29" s="12">
        <f t="shared" si="5"/>
        <v>0</v>
      </c>
      <c r="W29" s="4"/>
      <c r="X29" s="4">
        <f t="shared" si="6"/>
        <v>19064.940000000002</v>
      </c>
      <c r="Y29" s="4"/>
      <c r="Z29" s="12">
        <f t="shared" si="7"/>
        <v>0.13617814285714289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5">
        <f>SUM(D26:D30)</f>
        <v>287895.87</v>
      </c>
      <c r="E31" s="14"/>
      <c r="F31" s="34">
        <f>IF(D$12=0,0,D31/D$12)</f>
        <v>0</v>
      </c>
      <c r="G31" s="14"/>
      <c r="H31" s="35">
        <f>SUM(H26:H30)</f>
        <v>45000</v>
      </c>
      <c r="I31" s="14"/>
      <c r="J31" s="34">
        <f>IF(H$12=0,0,H31/H$12)</f>
        <v>0</v>
      </c>
      <c r="K31" s="16"/>
      <c r="L31" s="35">
        <f>+D31-H31</f>
        <v>242895.87</v>
      </c>
      <c r="M31" s="16"/>
      <c r="N31" s="34">
        <f>IF(H31=0,0,L31/H31)</f>
        <v>5.3976860000000002</v>
      </c>
      <c r="O31" s="28"/>
      <c r="P31" s="35">
        <f>SUM(P26:P30)</f>
        <v>683275.84000000008</v>
      </c>
      <c r="Q31" s="14"/>
      <c r="R31" s="34">
        <f>IF(P$12=0,0,P31/P$12)</f>
        <v>0</v>
      </c>
      <c r="S31" s="14"/>
      <c r="T31" s="35">
        <f>SUM(T26:T30)</f>
        <v>290000</v>
      </c>
      <c r="U31" s="14"/>
      <c r="V31" s="34">
        <f>IF(T$12=0,0,T31/T$12)</f>
        <v>0</v>
      </c>
      <c r="W31" s="16"/>
      <c r="X31" s="35">
        <f>+P31-T31</f>
        <v>393275.84000000008</v>
      </c>
      <c r="Y31" s="16"/>
      <c r="Z31" s="34">
        <f>IF(T31=0,0,X31/T31)</f>
        <v>1.3561235862068968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3">
        <v>43847.445654976851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6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6"/>
      <c r="X17" s="22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248255.84</v>
      </c>
      <c r="E19" s="21"/>
      <c r="F19" s="30">
        <f t="shared" ref="F19:F31" si="4">IF(D$12=0,0,D19/D$12)</f>
        <v>0</v>
      </c>
      <c r="G19" s="21"/>
      <c r="H19" s="21">
        <f>SUM(OSRRefH22x_0)</f>
        <v>347040.75540137431</v>
      </c>
      <c r="I19" s="21"/>
      <c r="J19" s="30">
        <f t="shared" ref="J19:J31" si="5">IF(H$12=0,0,H19/H$12)</f>
        <v>0</v>
      </c>
      <c r="K19" s="4"/>
      <c r="L19" s="21">
        <f t="shared" ref="L19:L31" si="6">+D19-H19</f>
        <v>-98784.91540137431</v>
      </c>
      <c r="M19" s="4"/>
      <c r="N19" s="30">
        <f t="shared" ref="N19:N31" si="7">IF(H19=0,0,L19/H19)</f>
        <v>-0.28464932104911822</v>
      </c>
      <c r="O19" s="10"/>
      <c r="P19" s="21">
        <f>SUM(OSRRefP22x_0)</f>
        <v>1952544.9799999997</v>
      </c>
      <c r="Q19" s="21"/>
      <c r="R19" s="30">
        <f t="shared" ref="R19:R31" si="8">IF(P$12=0,0,P19/P$12)</f>
        <v>0</v>
      </c>
      <c r="S19" s="21"/>
      <c r="T19" s="21">
        <f>SUM(OSRRefT22x_0)</f>
        <v>2435423.0478200489</v>
      </c>
      <c r="U19" s="21"/>
      <c r="V19" s="30">
        <f t="shared" ref="V19:V31" si="9">IF(T$12=0,0,T19/T$12)</f>
        <v>12177.115239100245</v>
      </c>
      <c r="W19" s="4"/>
      <c r="X19" s="21">
        <f t="shared" ref="X19:X31" si="10">+P19-T19</f>
        <v>-482878.06782004912</v>
      </c>
      <c r="Y19" s="4"/>
      <c r="Z19" s="30">
        <f t="shared" ref="Z19:Z31" si="11">IF(T19=0,0,X19/T19)</f>
        <v>-0.198272767539206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81291.73</v>
      </c>
      <c r="E20" s="1"/>
      <c r="F20" s="5">
        <f t="shared" si="4"/>
        <v>0</v>
      </c>
      <c r="G20" s="1"/>
      <c r="H20" s="1">
        <f>SUM(OSRRefH22_0x_0)</f>
        <v>98035.555244451389</v>
      </c>
      <c r="I20" s="1"/>
      <c r="J20" s="5">
        <f t="shared" si="5"/>
        <v>0</v>
      </c>
      <c r="K20" s="1"/>
      <c r="L20" s="1">
        <f t="shared" si="6"/>
        <v>-16743.825244451393</v>
      </c>
      <c r="M20" s="1"/>
      <c r="N20" s="5">
        <f t="shared" si="7"/>
        <v>-0.17079339432209784</v>
      </c>
      <c r="O20" s="13"/>
      <c r="P20" s="1">
        <f>SUM(OSRRefP22_0x_0)</f>
        <v>555415.54999999993</v>
      </c>
      <c r="Q20" s="1"/>
      <c r="R20" s="5">
        <f t="shared" si="8"/>
        <v>0</v>
      </c>
      <c r="S20" s="1"/>
      <c r="T20" s="1">
        <f>SUM(OSRRefT22_0x_0)</f>
        <v>608264.96130004944</v>
      </c>
      <c r="U20" s="1"/>
      <c r="V20" s="5">
        <f t="shared" si="9"/>
        <v>3041.3248065002472</v>
      </c>
      <c r="W20" s="1"/>
      <c r="X20" s="1">
        <f t="shared" si="10"/>
        <v>-52849.411300049513</v>
      </c>
      <c r="Y20" s="1"/>
      <c r="Z20" s="5">
        <f t="shared" si="11"/>
        <v>-8.6885509872365582E-2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7386.85</v>
      </c>
      <c r="E21" s="2"/>
      <c r="F21" s="7">
        <f t="shared" si="4"/>
        <v>0</v>
      </c>
      <c r="G21" s="2"/>
      <c r="H21" s="6">
        <v>9635.3835262052253</v>
      </c>
      <c r="I21" s="2"/>
      <c r="J21" s="7">
        <f t="shared" si="5"/>
        <v>0</v>
      </c>
      <c r="K21" s="2"/>
      <c r="L21" s="6">
        <f t="shared" si="6"/>
        <v>-2248.5335262052249</v>
      </c>
      <c r="M21" s="2"/>
      <c r="N21" s="7">
        <f t="shared" si="7"/>
        <v>-0.23336211994986167</v>
      </c>
      <c r="O21" s="11"/>
      <c r="P21" s="6">
        <v>59304.5</v>
      </c>
      <c r="Q21" s="2"/>
      <c r="R21" s="7">
        <f t="shared" si="8"/>
        <v>0</v>
      </c>
      <c r="S21" s="2"/>
      <c r="T21" s="6">
        <v>62384.335446833997</v>
      </c>
      <c r="U21" s="2"/>
      <c r="V21" s="7">
        <f t="shared" si="9"/>
        <v>311.92167723416998</v>
      </c>
      <c r="W21" s="2"/>
      <c r="X21" s="6">
        <f t="shared" si="10"/>
        <v>-3079.8354468339967</v>
      </c>
      <c r="Y21" s="2"/>
      <c r="Z21" s="7">
        <f t="shared" si="11"/>
        <v>-4.9368730543883646E-2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974.53</v>
      </c>
      <c r="E22" s="2"/>
      <c r="F22" s="7">
        <f t="shared" si="4"/>
        <v>0</v>
      </c>
      <c r="G22" s="2"/>
      <c r="H22" s="6">
        <v>743.7473023876928</v>
      </c>
      <c r="I22" s="2"/>
      <c r="J22" s="7">
        <f t="shared" si="5"/>
        <v>0</v>
      </c>
      <c r="K22" s="2"/>
      <c r="L22" s="6">
        <f t="shared" si="6"/>
        <v>230.78269761230717</v>
      </c>
      <c r="M22" s="2"/>
      <c r="N22" s="7">
        <f t="shared" si="7"/>
        <v>0.31029718947741097</v>
      </c>
      <c r="O22" s="11"/>
      <c r="P22" s="6">
        <v>3939.32</v>
      </c>
      <c r="Q22" s="2"/>
      <c r="R22" s="7">
        <f t="shared" si="8"/>
        <v>0</v>
      </c>
      <c r="S22" s="2"/>
      <c r="T22" s="6">
        <v>4828.3906355200033</v>
      </c>
      <c r="U22" s="2"/>
      <c r="V22" s="7">
        <f t="shared" si="9"/>
        <v>24.141953177600016</v>
      </c>
      <c r="W22" s="2"/>
      <c r="X22" s="6">
        <f t="shared" si="10"/>
        <v>-889.07063552000318</v>
      </c>
      <c r="Y22" s="2"/>
      <c r="Z22" s="7">
        <f t="shared" si="11"/>
        <v>-0.18413394910087943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22318.01</v>
      </c>
      <c r="E23" s="2"/>
      <c r="F23" s="7">
        <f t="shared" si="4"/>
        <v>0</v>
      </c>
      <c r="G23" s="2"/>
      <c r="H23" s="6">
        <v>26690.038461538461</v>
      </c>
      <c r="I23" s="2"/>
      <c r="J23" s="7">
        <f t="shared" si="5"/>
        <v>0</v>
      </c>
      <c r="K23" s="2"/>
      <c r="L23" s="6">
        <f t="shared" si="6"/>
        <v>-4372.0284615384626</v>
      </c>
      <c r="M23" s="2"/>
      <c r="N23" s="7">
        <f t="shared" si="7"/>
        <v>-0.16380749948482656</v>
      </c>
      <c r="O23" s="11"/>
      <c r="P23" s="6">
        <v>135314.57999999999</v>
      </c>
      <c r="Q23" s="2"/>
      <c r="R23" s="7">
        <f t="shared" si="8"/>
        <v>0</v>
      </c>
      <c r="S23" s="2"/>
      <c r="T23" s="6">
        <v>163864.61538461538</v>
      </c>
      <c r="U23" s="2"/>
      <c r="V23" s="7">
        <f t="shared" si="9"/>
        <v>819.32307692307688</v>
      </c>
      <c r="W23" s="2"/>
      <c r="X23" s="6">
        <f t="shared" si="10"/>
        <v>-28550.035384615388</v>
      </c>
      <c r="Y23" s="2"/>
      <c r="Z23" s="7">
        <f t="shared" si="11"/>
        <v>-0.17422941077061743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435.27</v>
      </c>
      <c r="E24" s="2"/>
      <c r="F24" s="7">
        <f t="shared" si="4"/>
        <v>0</v>
      </c>
      <c r="G24" s="2"/>
      <c r="H24" s="6">
        <v>362.24591512000001</v>
      </c>
      <c r="I24" s="2"/>
      <c r="J24" s="7">
        <f t="shared" si="5"/>
        <v>0</v>
      </c>
      <c r="K24" s="2"/>
      <c r="L24" s="6">
        <f t="shared" si="6"/>
        <v>73.024084879999975</v>
      </c>
      <c r="M24" s="2"/>
      <c r="N24" s="7">
        <f t="shared" si="7"/>
        <v>0.2015870485545973</v>
      </c>
      <c r="O24" s="11"/>
      <c r="P24" s="6">
        <v>2519.06</v>
      </c>
      <c r="Q24" s="2"/>
      <c r="R24" s="7">
        <f t="shared" si="8"/>
        <v>0</v>
      </c>
      <c r="S24" s="2"/>
      <c r="T24" s="6">
        <v>2350.0355782799998</v>
      </c>
      <c r="U24" s="2"/>
      <c r="V24" s="7">
        <f t="shared" si="9"/>
        <v>11.750177891399998</v>
      </c>
      <c r="W24" s="2"/>
      <c r="X24" s="6">
        <f t="shared" si="10"/>
        <v>169.02442172000019</v>
      </c>
      <c r="Y24" s="2"/>
      <c r="Z24" s="7">
        <f t="shared" si="11"/>
        <v>7.1924196927992817E-2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6783.07</v>
      </c>
      <c r="E25" s="2"/>
      <c r="F25" s="7">
        <f t="shared" si="4"/>
        <v>0</v>
      </c>
      <c r="G25" s="2"/>
      <c r="H25" s="6">
        <v>8097.1122453538474</v>
      </c>
      <c r="I25" s="2"/>
      <c r="J25" s="7">
        <f t="shared" si="5"/>
        <v>0</v>
      </c>
      <c r="K25" s="2"/>
      <c r="L25" s="6">
        <f t="shared" si="6"/>
        <v>-1314.0422453538476</v>
      </c>
      <c r="M25" s="2"/>
      <c r="N25" s="7">
        <f t="shared" si="7"/>
        <v>-0.16228529450210474</v>
      </c>
      <c r="O25" s="11"/>
      <c r="P25" s="6">
        <v>53508.009999999995</v>
      </c>
      <c r="Q25" s="2"/>
      <c r="R25" s="7">
        <f t="shared" si="8"/>
        <v>0</v>
      </c>
      <c r="S25" s="2"/>
      <c r="T25" s="6">
        <v>52631.229594800017</v>
      </c>
      <c r="U25" s="2"/>
      <c r="V25" s="7">
        <f t="shared" si="9"/>
        <v>263.15614797400008</v>
      </c>
      <c r="W25" s="2"/>
      <c r="X25" s="6">
        <f t="shared" si="10"/>
        <v>876.78040519997739</v>
      </c>
      <c r="Y25" s="2"/>
      <c r="Z25" s="7">
        <f t="shared" si="11"/>
        <v>1.6658938275814168E-2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>
        <v>134</v>
      </c>
      <c r="E26" s="2"/>
      <c r="F26" s="7">
        <f t="shared" si="4"/>
        <v>0</v>
      </c>
      <c r="G26" s="2"/>
      <c r="H26" s="6">
        <v>500</v>
      </c>
      <c r="I26" s="2"/>
      <c r="J26" s="7">
        <f t="shared" si="5"/>
        <v>0</v>
      </c>
      <c r="K26" s="2"/>
      <c r="L26" s="6">
        <f t="shared" si="6"/>
        <v>-366</v>
      </c>
      <c r="M26" s="2"/>
      <c r="N26" s="7">
        <f t="shared" si="7"/>
        <v>-0.73199999999999998</v>
      </c>
      <c r="O26" s="11"/>
      <c r="P26" s="6">
        <v>2105.94</v>
      </c>
      <c r="Q26" s="2"/>
      <c r="R26" s="7">
        <f t="shared" si="8"/>
        <v>0</v>
      </c>
      <c r="S26" s="2"/>
      <c r="T26" s="6">
        <v>3000</v>
      </c>
      <c r="U26" s="2"/>
      <c r="V26" s="7">
        <f t="shared" si="9"/>
        <v>15</v>
      </c>
      <c r="W26" s="2"/>
      <c r="X26" s="6">
        <f t="shared" si="10"/>
        <v>-894.06</v>
      </c>
      <c r="Y26" s="2"/>
      <c r="Z26" s="7">
        <f t="shared" si="11"/>
        <v>-0.29802000000000001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6">
        <v>821.81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821.81</v>
      </c>
      <c r="M27" s="2"/>
      <c r="N27" s="7">
        <f t="shared" si="7"/>
        <v>0</v>
      </c>
      <c r="O27" s="11"/>
      <c r="P27" s="6">
        <v>5159.45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5159.45</v>
      </c>
      <c r="Y27" s="2"/>
      <c r="Z27" s="7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6671.6</v>
      </c>
      <c r="E28" s="2"/>
      <c r="F28" s="7">
        <f t="shared" si="4"/>
        <v>0</v>
      </c>
      <c r="G28" s="2"/>
      <c r="H28" s="6">
        <v>6830.8805984615401</v>
      </c>
      <c r="I28" s="2"/>
      <c r="J28" s="7">
        <f t="shared" si="5"/>
        <v>0</v>
      </c>
      <c r="K28" s="2"/>
      <c r="L28" s="6">
        <f t="shared" si="6"/>
        <v>-159.28059846153974</v>
      </c>
      <c r="M28" s="2"/>
      <c r="N28" s="7">
        <f t="shared" si="7"/>
        <v>-2.3317725462426196E-2</v>
      </c>
      <c r="O28" s="11"/>
      <c r="P28" s="6">
        <v>55014.2</v>
      </c>
      <c r="Q28" s="2"/>
      <c r="R28" s="7">
        <f t="shared" si="8"/>
        <v>0</v>
      </c>
      <c r="S28" s="2"/>
      <c r="T28" s="6">
        <v>44463.811390000017</v>
      </c>
      <c r="U28" s="2"/>
      <c r="V28" s="7">
        <f t="shared" si="9"/>
        <v>222.31905695000009</v>
      </c>
      <c r="W28" s="2"/>
      <c r="X28" s="6">
        <f t="shared" si="10"/>
        <v>10550.38860999998</v>
      </c>
      <c r="Y28" s="2"/>
      <c r="Z28" s="7">
        <f t="shared" si="11"/>
        <v>0.23728034732471853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4225.0600000000004</v>
      </c>
      <c r="E29" s="2"/>
      <c r="F29" s="7">
        <f t="shared" si="4"/>
        <v>0</v>
      </c>
      <c r="G29" s="2"/>
      <c r="H29" s="6">
        <v>4826.1471953846158</v>
      </c>
      <c r="I29" s="2"/>
      <c r="J29" s="7">
        <f t="shared" si="5"/>
        <v>0</v>
      </c>
      <c r="K29" s="2"/>
      <c r="L29" s="6">
        <f t="shared" si="6"/>
        <v>-601.08719538461537</v>
      </c>
      <c r="M29" s="2"/>
      <c r="N29" s="7">
        <f t="shared" si="7"/>
        <v>-0.12454804444411734</v>
      </c>
      <c r="O29" s="11"/>
      <c r="P29" s="6">
        <v>48431.92</v>
      </c>
      <c r="Q29" s="2"/>
      <c r="R29" s="7">
        <f t="shared" si="8"/>
        <v>0</v>
      </c>
      <c r="S29" s="2"/>
      <c r="T29" s="6">
        <v>31342.54327000002</v>
      </c>
      <c r="U29" s="2"/>
      <c r="V29" s="7">
        <f t="shared" si="9"/>
        <v>156.71271635000011</v>
      </c>
      <c r="W29" s="2"/>
      <c r="X29" s="6">
        <f t="shared" si="10"/>
        <v>17089.376729999978</v>
      </c>
      <c r="Y29" s="2"/>
      <c r="Z29" s="7">
        <f t="shared" si="11"/>
        <v>0.54524537408415508</v>
      </c>
    </row>
    <row r="30" spans="1:26" s="24" customFormat="1" hidden="1" outlineLevel="2" x14ac:dyDescent="0.25">
      <c r="A30" s="26"/>
      <c r="B30" s="11" t="str">
        <f>CONCATENATE("          ", "6120", " - ", "RETIREES HEALTH INSURANCE")</f>
        <v xml:space="preserve">          6120 - RETIREES HEALTH INSURANCE</v>
      </c>
      <c r="C30" s="11"/>
      <c r="D30" s="6">
        <v>29195.759999999998</v>
      </c>
      <c r="E30" s="2"/>
      <c r="F30" s="7">
        <f t="shared" si="4"/>
        <v>0</v>
      </c>
      <c r="G30" s="2"/>
      <c r="H30" s="6">
        <v>39000</v>
      </c>
      <c r="I30" s="2"/>
      <c r="J30" s="7">
        <f t="shared" si="5"/>
        <v>0</v>
      </c>
      <c r="K30" s="2"/>
      <c r="L30" s="6">
        <f t="shared" si="6"/>
        <v>-9804.2400000000016</v>
      </c>
      <c r="M30" s="2"/>
      <c r="N30" s="7">
        <f t="shared" si="7"/>
        <v>-0.25139076923076925</v>
      </c>
      <c r="O30" s="11"/>
      <c r="P30" s="6">
        <v>175624.88</v>
      </c>
      <c r="Q30" s="2"/>
      <c r="R30" s="7">
        <f t="shared" si="8"/>
        <v>0</v>
      </c>
      <c r="S30" s="2"/>
      <c r="T30" s="6">
        <v>235300</v>
      </c>
      <c r="U30" s="2"/>
      <c r="V30" s="7">
        <f t="shared" si="9"/>
        <v>1176.5</v>
      </c>
      <c r="W30" s="2"/>
      <c r="X30" s="6">
        <f t="shared" si="10"/>
        <v>-59675.119999999995</v>
      </c>
      <c r="Y30" s="2"/>
      <c r="Z30" s="7">
        <f t="shared" si="11"/>
        <v>-0.25361291967700805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2345.77</v>
      </c>
      <c r="E31" s="2"/>
      <c r="F31" s="7">
        <f t="shared" si="4"/>
        <v>0</v>
      </c>
      <c r="G31" s="2"/>
      <c r="H31" s="6">
        <v>1350</v>
      </c>
      <c r="I31" s="2"/>
      <c r="J31" s="7">
        <f t="shared" si="5"/>
        <v>0</v>
      </c>
      <c r="K31" s="2"/>
      <c r="L31" s="6">
        <f t="shared" si="6"/>
        <v>995.77</v>
      </c>
      <c r="M31" s="2"/>
      <c r="N31" s="7">
        <f t="shared" si="7"/>
        <v>0.73760740740740738</v>
      </c>
      <c r="O31" s="11"/>
      <c r="P31" s="6">
        <v>14493.69</v>
      </c>
      <c r="Q31" s="2"/>
      <c r="R31" s="7">
        <f t="shared" si="8"/>
        <v>0</v>
      </c>
      <c r="S31" s="2"/>
      <c r="T31" s="6">
        <v>8100</v>
      </c>
      <c r="U31" s="2"/>
      <c r="V31" s="7">
        <f t="shared" si="9"/>
        <v>40.5</v>
      </c>
      <c r="W31" s="2"/>
      <c r="X31" s="6">
        <f t="shared" si="10"/>
        <v>6393.6900000000005</v>
      </c>
      <c r="Y31" s="2"/>
      <c r="Z31" s="7">
        <f t="shared" si="11"/>
        <v>0.78934444444444452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107533.82000000002</v>
      </c>
      <c r="E32" s="1"/>
      <c r="F32" s="5">
        <f t="shared" ref="F32:F42" si="12">IF(D$12=0,0,D32/D$12)</f>
        <v>0</v>
      </c>
      <c r="G32" s="1"/>
      <c r="H32" s="1">
        <f>SUM(OSRRefH22_1x_0)</f>
        <v>129315.20015692296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-21781.38015692294</v>
      </c>
      <c r="M32" s="1"/>
      <c r="N32" s="5">
        <f t="shared" ref="N32:N42" si="15">IF(H32=0,0,L32/H32)</f>
        <v>-0.16843634878569116</v>
      </c>
      <c r="O32" s="13"/>
      <c r="P32" s="1">
        <f>SUM(OSRRefP22_1x_0)</f>
        <v>650371</v>
      </c>
      <c r="Q32" s="1"/>
      <c r="R32" s="5">
        <f t="shared" ref="R32:R42" si="16">IF(P$12=0,0,P32/P$12)</f>
        <v>0</v>
      </c>
      <c r="S32" s="1"/>
      <c r="T32" s="1">
        <f>SUM(OSRRefT22_1x_0)</f>
        <v>838341.08651999943</v>
      </c>
      <c r="U32" s="1"/>
      <c r="V32" s="5">
        <f t="shared" ref="V32:V42" si="17">IF(T$12=0,0,T32/T$12)</f>
        <v>4191.705432599997</v>
      </c>
      <c r="W32" s="1"/>
      <c r="X32" s="1">
        <f t="shared" ref="X32:X42" si="18">+P32-T32</f>
        <v>-187970.08651999943</v>
      </c>
      <c r="Y32" s="1"/>
      <c r="Z32" s="5">
        <f t="shared" ref="Z32:Z42" si="19">IF(T32=0,0,X32/T32)</f>
        <v>-0.22421671744644384</v>
      </c>
    </row>
    <row r="33" spans="1:26" s="24" customFormat="1" hidden="1" outlineLevel="2" x14ac:dyDescent="0.25">
      <c r="A33" s="26"/>
      <c r="B33" s="11" t="str">
        <f>CONCATENATE("          ", "6001", " - ", "ADMINISTRATIVE SALARIES")</f>
        <v xml:space="preserve">          6001 - ADMINISTRATIVE SALARIES</v>
      </c>
      <c r="C33" s="11"/>
      <c r="D33" s="6">
        <v>22685.68</v>
      </c>
      <c r="E33" s="2"/>
      <c r="F33" s="7">
        <f t="shared" si="12"/>
        <v>0</v>
      </c>
      <c r="G33" s="2"/>
      <c r="H33" s="6">
        <v>42696.154864615339</v>
      </c>
      <c r="I33" s="2"/>
      <c r="J33" s="7">
        <f t="shared" si="13"/>
        <v>0</v>
      </c>
      <c r="K33" s="2"/>
      <c r="L33" s="6">
        <f t="shared" si="14"/>
        <v>-20010.474864615338</v>
      </c>
      <c r="M33" s="2"/>
      <c r="N33" s="7">
        <f t="shared" si="15"/>
        <v>-0.46867159181116619</v>
      </c>
      <c r="O33" s="11"/>
      <c r="P33" s="6">
        <v>148129.06</v>
      </c>
      <c r="Q33" s="2"/>
      <c r="R33" s="7">
        <f t="shared" si="16"/>
        <v>0</v>
      </c>
      <c r="S33" s="2"/>
      <c r="T33" s="6">
        <v>277525.00661999977</v>
      </c>
      <c r="U33" s="2"/>
      <c r="V33" s="7">
        <f t="shared" si="17"/>
        <v>1387.6250330999987</v>
      </c>
      <c r="W33" s="2"/>
      <c r="X33" s="6">
        <f t="shared" si="18"/>
        <v>-129395.94661999977</v>
      </c>
      <c r="Y33" s="2"/>
      <c r="Z33" s="7">
        <f t="shared" si="19"/>
        <v>-0.46624968393271587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>
        <v>43612.060000000005</v>
      </c>
      <c r="E34" s="2"/>
      <c r="F34" s="7">
        <f t="shared" si="12"/>
        <v>0</v>
      </c>
      <c r="G34" s="2"/>
      <c r="H34" s="6">
        <v>44196.157492307611</v>
      </c>
      <c r="I34" s="2"/>
      <c r="J34" s="7">
        <f t="shared" si="13"/>
        <v>0</v>
      </c>
      <c r="K34" s="2"/>
      <c r="L34" s="6">
        <f t="shared" si="14"/>
        <v>-584.09749230760644</v>
      </c>
      <c r="M34" s="2"/>
      <c r="N34" s="7">
        <f t="shared" si="15"/>
        <v>-1.3216024320876069E-2</v>
      </c>
      <c r="O34" s="11"/>
      <c r="P34" s="6">
        <v>277662.83999999997</v>
      </c>
      <c r="Q34" s="2"/>
      <c r="R34" s="7">
        <f t="shared" si="16"/>
        <v>0</v>
      </c>
      <c r="S34" s="2"/>
      <c r="T34" s="6">
        <v>287275.02369999961</v>
      </c>
      <c r="U34" s="2"/>
      <c r="V34" s="7">
        <f t="shared" si="17"/>
        <v>1436.3751184999981</v>
      </c>
      <c r="W34" s="2"/>
      <c r="X34" s="6">
        <f t="shared" si="18"/>
        <v>-9612.1836999996449</v>
      </c>
      <c r="Y34" s="2"/>
      <c r="Z34" s="7">
        <f t="shared" si="19"/>
        <v>-3.3459865658344239E-2</v>
      </c>
    </row>
    <row r="35" spans="1:26" s="24" customFormat="1" hidden="1" outlineLevel="2" x14ac:dyDescent="0.25">
      <c r="A35" s="26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20633.990000000002</v>
      </c>
      <c r="E36" s="2"/>
      <c r="F36" s="7">
        <f t="shared" si="12"/>
        <v>0</v>
      </c>
      <c r="G36" s="2"/>
      <c r="H36" s="6">
        <v>22426.787800000002</v>
      </c>
      <c r="I36" s="2"/>
      <c r="J36" s="7">
        <f t="shared" si="13"/>
        <v>0</v>
      </c>
      <c r="K36" s="2"/>
      <c r="L36" s="6">
        <f t="shared" si="14"/>
        <v>-1792.7978000000003</v>
      </c>
      <c r="M36" s="2"/>
      <c r="N36" s="7">
        <f t="shared" si="15"/>
        <v>-7.994001708974123E-2</v>
      </c>
      <c r="O36" s="11"/>
      <c r="P36" s="6">
        <v>136990.57</v>
      </c>
      <c r="Q36" s="2"/>
      <c r="R36" s="7">
        <f t="shared" si="16"/>
        <v>0</v>
      </c>
      <c r="S36" s="2"/>
      <c r="T36" s="6">
        <v>147031.08119999999</v>
      </c>
      <c r="U36" s="2"/>
      <c r="V36" s="7">
        <f t="shared" si="17"/>
        <v>735.15540599999997</v>
      </c>
      <c r="W36" s="2"/>
      <c r="X36" s="6">
        <f t="shared" si="18"/>
        <v>-10040.511199999979</v>
      </c>
      <c r="Y36" s="2"/>
      <c r="Z36" s="7">
        <f t="shared" si="19"/>
        <v>-6.8288358611349034E-2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8428.3799999999992</v>
      </c>
      <c r="E37" s="2"/>
      <c r="F37" s="7">
        <f t="shared" si="12"/>
        <v>0</v>
      </c>
      <c r="G37" s="2"/>
      <c r="H37" s="6">
        <v>7192</v>
      </c>
      <c r="I37" s="2"/>
      <c r="J37" s="7">
        <f t="shared" si="13"/>
        <v>0</v>
      </c>
      <c r="K37" s="2"/>
      <c r="L37" s="6">
        <f t="shared" si="14"/>
        <v>1236.3799999999992</v>
      </c>
      <c r="M37" s="2"/>
      <c r="N37" s="7">
        <f t="shared" si="15"/>
        <v>0.17191045606229133</v>
      </c>
      <c r="O37" s="11"/>
      <c r="P37" s="6">
        <v>59191.61</v>
      </c>
      <c r="Q37" s="2"/>
      <c r="R37" s="7">
        <f t="shared" si="16"/>
        <v>0</v>
      </c>
      <c r="S37" s="2"/>
      <c r="T37" s="6">
        <v>46748</v>
      </c>
      <c r="U37" s="2"/>
      <c r="V37" s="7">
        <f t="shared" si="17"/>
        <v>233.74</v>
      </c>
      <c r="W37" s="2"/>
      <c r="X37" s="6">
        <f t="shared" si="18"/>
        <v>12443.61</v>
      </c>
      <c r="Y37" s="2"/>
      <c r="Z37" s="7">
        <f t="shared" si="19"/>
        <v>0.26618486352357323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2361.4299999999998</v>
      </c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2361.4299999999998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10975.77</v>
      </c>
      <c r="E39" s="2"/>
      <c r="F39" s="7">
        <f t="shared" si="12"/>
        <v>0</v>
      </c>
      <c r="G39" s="2"/>
      <c r="H39" s="6">
        <v>6530</v>
      </c>
      <c r="I39" s="2"/>
      <c r="J39" s="7">
        <f t="shared" si="13"/>
        <v>0</v>
      </c>
      <c r="K39" s="2"/>
      <c r="L39" s="6">
        <f t="shared" si="14"/>
        <v>4445.7700000000004</v>
      </c>
      <c r="M39" s="2"/>
      <c r="N39" s="7">
        <f t="shared" si="15"/>
        <v>0.68082235834609506</v>
      </c>
      <c r="O39" s="11"/>
      <c r="P39" s="6">
        <v>15952.849999999999</v>
      </c>
      <c r="Q39" s="2"/>
      <c r="R39" s="7">
        <f t="shared" si="16"/>
        <v>0</v>
      </c>
      <c r="S39" s="2"/>
      <c r="T39" s="6">
        <v>37602.5</v>
      </c>
      <c r="U39" s="2"/>
      <c r="V39" s="7">
        <f t="shared" si="17"/>
        <v>188.01249999999999</v>
      </c>
      <c r="W39" s="2"/>
      <c r="X39" s="6">
        <f t="shared" si="18"/>
        <v>-21649.65</v>
      </c>
      <c r="Y39" s="2"/>
      <c r="Z39" s="7">
        <f t="shared" si="19"/>
        <v>-0.57575028256100003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1197.94</v>
      </c>
      <c r="E40" s="2"/>
      <c r="F40" s="7">
        <f t="shared" si="12"/>
        <v>0</v>
      </c>
      <c r="G40" s="2"/>
      <c r="H40" s="6">
        <v>6274.1</v>
      </c>
      <c r="I40" s="2"/>
      <c r="J40" s="7">
        <f t="shared" si="13"/>
        <v>0</v>
      </c>
      <c r="K40" s="2"/>
      <c r="L40" s="6">
        <f t="shared" si="14"/>
        <v>-5076.16</v>
      </c>
      <c r="M40" s="2"/>
      <c r="N40" s="7">
        <f t="shared" si="15"/>
        <v>-0.80906584211281296</v>
      </c>
      <c r="O40" s="11"/>
      <c r="P40" s="6">
        <v>10082.64</v>
      </c>
      <c r="Q40" s="2"/>
      <c r="R40" s="7">
        <f t="shared" si="16"/>
        <v>0</v>
      </c>
      <c r="S40" s="2"/>
      <c r="T40" s="6">
        <v>42159.474999999999</v>
      </c>
      <c r="U40" s="2"/>
      <c r="V40" s="7">
        <f t="shared" si="17"/>
        <v>210.79737499999999</v>
      </c>
      <c r="W40" s="2"/>
      <c r="X40" s="6">
        <f t="shared" si="18"/>
        <v>-32076.834999999999</v>
      </c>
      <c r="Y40" s="2"/>
      <c r="Z40" s="7">
        <f t="shared" si="19"/>
        <v>-0.76084521925379767</v>
      </c>
    </row>
    <row r="41" spans="1:26" s="24" customFormat="1" hidden="1" outlineLevel="2" x14ac:dyDescent="0.25">
      <c r="A41" s="26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6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-4899.93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-5159.93</v>
      </c>
      <c r="M43" s="1"/>
      <c r="N43" s="5">
        <f t="shared" ref="N43:N51" si="23">IF(H43=0,0,L43/H43)</f>
        <v>-19.845884615384616</v>
      </c>
      <c r="O43" s="13"/>
      <c r="P43" s="1">
        <f>SUM(OSRRefP22_2x_0)</f>
        <v>-22766.74</v>
      </c>
      <c r="Q43" s="1"/>
      <c r="R43" s="5">
        <f t="shared" ref="R43:R51" si="24">IF(P$12=0,0,P43/P$12)</f>
        <v>0</v>
      </c>
      <c r="S43" s="1"/>
      <c r="T43" s="1">
        <f>SUM(OSRRefT22_2x_0)</f>
        <v>1585</v>
      </c>
      <c r="U43" s="1"/>
      <c r="V43" s="5">
        <f t="shared" ref="V43:V51" si="25">IF(T$12=0,0,T43/T$12)</f>
        <v>7.9249999999999998</v>
      </c>
      <c r="W43" s="1"/>
      <c r="X43" s="1">
        <f t="shared" ref="X43:X51" si="26">+P43-T43</f>
        <v>-24351.74</v>
      </c>
      <c r="Y43" s="1"/>
      <c r="Z43" s="5">
        <f t="shared" ref="Z43:Z51" si="27">IF(T43=0,0,X43/T43)</f>
        <v>-15.363873817034701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>
        <v>-4899.93</v>
      </c>
      <c r="E44" s="2"/>
      <c r="F44" s="7">
        <f t="shared" si="20"/>
        <v>0</v>
      </c>
      <c r="G44" s="2"/>
      <c r="H44" s="6">
        <v>260</v>
      </c>
      <c r="I44" s="2"/>
      <c r="J44" s="7">
        <f t="shared" si="21"/>
        <v>0</v>
      </c>
      <c r="K44" s="2"/>
      <c r="L44" s="6">
        <f t="shared" si="22"/>
        <v>-5159.93</v>
      </c>
      <c r="M44" s="2"/>
      <c r="N44" s="7">
        <f t="shared" si="23"/>
        <v>-19.845884615384616</v>
      </c>
      <c r="O44" s="11"/>
      <c r="P44" s="6">
        <v>-22766.74</v>
      </c>
      <c r="Q44" s="2"/>
      <c r="R44" s="7">
        <f t="shared" si="24"/>
        <v>0</v>
      </c>
      <c r="S44" s="2"/>
      <c r="T44" s="6">
        <v>1585</v>
      </c>
      <c r="U44" s="2"/>
      <c r="V44" s="7">
        <f t="shared" si="25"/>
        <v>7.9249999999999998</v>
      </c>
      <c r="W44" s="2"/>
      <c r="X44" s="6">
        <f t="shared" si="26"/>
        <v>-24351.74</v>
      </c>
      <c r="Y44" s="2"/>
      <c r="Z44" s="7">
        <f t="shared" si="27"/>
        <v>-15.363873817034701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1670.48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-329.52</v>
      </c>
      <c r="M45" s="1"/>
      <c r="N45" s="5">
        <f t="shared" si="23"/>
        <v>-0.16475999999999999</v>
      </c>
      <c r="O45" s="13"/>
      <c r="P45" s="1">
        <f>SUM(OSRRefP22_3x_0)</f>
        <v>24427.200000000001</v>
      </c>
      <c r="Q45" s="1"/>
      <c r="R45" s="5">
        <f t="shared" si="24"/>
        <v>0</v>
      </c>
      <c r="S45" s="1"/>
      <c r="T45" s="1">
        <f>SUM(OSRRefT22_3x_0)</f>
        <v>36000</v>
      </c>
      <c r="U45" s="1"/>
      <c r="V45" s="5">
        <f t="shared" si="25"/>
        <v>180</v>
      </c>
      <c r="W45" s="1"/>
      <c r="X45" s="1">
        <f t="shared" si="26"/>
        <v>-11572.8</v>
      </c>
      <c r="Y45" s="1"/>
      <c r="Z45" s="5">
        <f t="shared" si="27"/>
        <v>-0.32146666666666662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1670.48</v>
      </c>
      <c r="E46" s="2"/>
      <c r="F46" s="7">
        <f t="shared" si="20"/>
        <v>0</v>
      </c>
      <c r="G46" s="2"/>
      <c r="H46" s="6">
        <v>2000</v>
      </c>
      <c r="I46" s="2"/>
      <c r="J46" s="7">
        <f t="shared" si="21"/>
        <v>0</v>
      </c>
      <c r="K46" s="2"/>
      <c r="L46" s="6">
        <f t="shared" si="22"/>
        <v>-329.52</v>
      </c>
      <c r="M46" s="2"/>
      <c r="N46" s="7">
        <f t="shared" si="23"/>
        <v>-0.16475999999999999</v>
      </c>
      <c r="O46" s="11"/>
      <c r="P46" s="6">
        <v>24427.200000000001</v>
      </c>
      <c r="Q46" s="2"/>
      <c r="R46" s="7">
        <f t="shared" si="24"/>
        <v>0</v>
      </c>
      <c r="S46" s="2"/>
      <c r="T46" s="6">
        <v>36000</v>
      </c>
      <c r="U46" s="2"/>
      <c r="V46" s="7">
        <f t="shared" si="25"/>
        <v>180</v>
      </c>
      <c r="W46" s="2"/>
      <c r="X46" s="6">
        <f t="shared" si="26"/>
        <v>-11572.8</v>
      </c>
      <c r="Y46" s="2"/>
      <c r="Z46" s="7">
        <f t="shared" si="27"/>
        <v>-0.32146666666666662</v>
      </c>
    </row>
    <row r="47" spans="1:26" s="25" customFormat="1" outlineLevel="1" collapsed="1" x14ac:dyDescent="0.25">
      <c r="A47" s="27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2632.84</v>
      </c>
      <c r="E47" s="1"/>
      <c r="F47" s="5">
        <f t="shared" si="20"/>
        <v>0</v>
      </c>
      <c r="G47" s="1"/>
      <c r="H47" s="1">
        <f>SUM(OSRRefH22_4x_0)</f>
        <v>5500</v>
      </c>
      <c r="I47" s="1"/>
      <c r="J47" s="5">
        <f t="shared" si="21"/>
        <v>0</v>
      </c>
      <c r="K47" s="1"/>
      <c r="L47" s="1">
        <f t="shared" si="22"/>
        <v>-2867.16</v>
      </c>
      <c r="M47" s="1"/>
      <c r="N47" s="5">
        <f t="shared" si="23"/>
        <v>-0.5213018181818182</v>
      </c>
      <c r="O47" s="13"/>
      <c r="P47" s="1">
        <f>SUM(OSRRefP22_4x_0)</f>
        <v>16797.95</v>
      </c>
      <c r="Q47" s="1"/>
      <c r="R47" s="5">
        <f t="shared" si="24"/>
        <v>0</v>
      </c>
      <c r="S47" s="1"/>
      <c r="T47" s="1">
        <f>SUM(OSRRefT22_4x_0)</f>
        <v>20200</v>
      </c>
      <c r="U47" s="1"/>
      <c r="V47" s="5">
        <f t="shared" si="25"/>
        <v>101</v>
      </c>
      <c r="W47" s="1"/>
      <c r="X47" s="1">
        <f t="shared" si="26"/>
        <v>-3402.0499999999993</v>
      </c>
      <c r="Y47" s="1"/>
      <c r="Z47" s="5">
        <f t="shared" si="27"/>
        <v>-0.16841831683168312</v>
      </c>
    </row>
    <row r="48" spans="1:26" s="24" customFormat="1" hidden="1" outlineLevel="2" x14ac:dyDescent="0.25">
      <c r="A48" s="26"/>
      <c r="B48" s="11" t="str">
        <f>CONCATENATE("          ", "6397", " - ", "BOARD EXPENSES")</f>
        <v xml:space="preserve">          6397 - BOARD EXPENSES</v>
      </c>
      <c r="C48" s="11"/>
      <c r="D48" s="6">
        <v>2632.84</v>
      </c>
      <c r="E48" s="2"/>
      <c r="F48" s="7">
        <f t="shared" si="20"/>
        <v>0</v>
      </c>
      <c r="G48" s="2"/>
      <c r="H48" s="6">
        <v>5500</v>
      </c>
      <c r="I48" s="2"/>
      <c r="J48" s="7">
        <f t="shared" si="21"/>
        <v>0</v>
      </c>
      <c r="K48" s="2"/>
      <c r="L48" s="6">
        <f t="shared" si="22"/>
        <v>-2867.16</v>
      </c>
      <c r="M48" s="2"/>
      <c r="N48" s="7">
        <f t="shared" si="23"/>
        <v>-0.5213018181818182</v>
      </c>
      <c r="O48" s="11"/>
      <c r="P48" s="6">
        <v>16797.95</v>
      </c>
      <c r="Q48" s="2"/>
      <c r="R48" s="7">
        <f t="shared" si="24"/>
        <v>0</v>
      </c>
      <c r="S48" s="2"/>
      <c r="T48" s="6">
        <v>20200</v>
      </c>
      <c r="U48" s="2"/>
      <c r="V48" s="7">
        <f t="shared" si="25"/>
        <v>101</v>
      </c>
      <c r="W48" s="2"/>
      <c r="X48" s="6">
        <f t="shared" si="26"/>
        <v>-3402.0499999999993</v>
      </c>
      <c r="Y48" s="2"/>
      <c r="Z48" s="7">
        <f t="shared" si="27"/>
        <v>-0.16841831683168312</v>
      </c>
    </row>
    <row r="49" spans="1:26" s="25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8599.93</v>
      </c>
      <c r="E49" s="1"/>
      <c r="F49" s="5">
        <f t="shared" si="20"/>
        <v>0</v>
      </c>
      <c r="G49" s="1"/>
      <c r="H49" s="1">
        <f>SUM(OSRRefH22_5x_0)</f>
        <v>8776</v>
      </c>
      <c r="I49" s="1"/>
      <c r="J49" s="5">
        <f t="shared" si="21"/>
        <v>0</v>
      </c>
      <c r="K49" s="1"/>
      <c r="L49" s="1">
        <f t="shared" si="22"/>
        <v>-176.06999999999971</v>
      </c>
      <c r="M49" s="1"/>
      <c r="N49" s="5">
        <f t="shared" si="23"/>
        <v>-2.0062670920692766E-2</v>
      </c>
      <c r="O49" s="13"/>
      <c r="P49" s="1">
        <f>SUM(OSRRefP22_5x_0)</f>
        <v>51599.58</v>
      </c>
      <c r="Q49" s="1"/>
      <c r="R49" s="5">
        <f t="shared" si="24"/>
        <v>0</v>
      </c>
      <c r="S49" s="1"/>
      <c r="T49" s="1">
        <f>SUM(OSRRefT22_5x_0)</f>
        <v>51741</v>
      </c>
      <c r="U49" s="1"/>
      <c r="V49" s="5">
        <f t="shared" si="25"/>
        <v>258.70499999999998</v>
      </c>
      <c r="W49" s="1"/>
      <c r="X49" s="1">
        <f t="shared" si="26"/>
        <v>-141.41999999999825</v>
      </c>
      <c r="Y49" s="1"/>
      <c r="Z49" s="5">
        <f t="shared" si="27"/>
        <v>-2.7332289673566079E-3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8599.93</v>
      </c>
      <c r="E50" s="2"/>
      <c r="F50" s="7">
        <f t="shared" si="20"/>
        <v>0</v>
      </c>
      <c r="G50" s="2"/>
      <c r="H50" s="6">
        <v>8593</v>
      </c>
      <c r="I50" s="2"/>
      <c r="J50" s="7">
        <f t="shared" si="21"/>
        <v>0</v>
      </c>
      <c r="K50" s="2"/>
      <c r="L50" s="6">
        <f t="shared" si="22"/>
        <v>6.930000000000291</v>
      </c>
      <c r="M50" s="2"/>
      <c r="N50" s="7">
        <f t="shared" si="23"/>
        <v>8.0647038286981159E-4</v>
      </c>
      <c r="O50" s="11"/>
      <c r="P50" s="6">
        <v>51599.58</v>
      </c>
      <c r="Q50" s="2"/>
      <c r="R50" s="7">
        <f t="shared" si="24"/>
        <v>0</v>
      </c>
      <c r="S50" s="2"/>
      <c r="T50" s="6">
        <v>51558</v>
      </c>
      <c r="U50" s="2"/>
      <c r="V50" s="7">
        <f t="shared" si="25"/>
        <v>257.79000000000002</v>
      </c>
      <c r="W50" s="2"/>
      <c r="X50" s="6">
        <f t="shared" si="26"/>
        <v>41.580000000001746</v>
      </c>
      <c r="Y50" s="2"/>
      <c r="Z50" s="7">
        <f t="shared" si="27"/>
        <v>8.0647038286981159E-4</v>
      </c>
    </row>
    <row r="51" spans="1:26" s="24" customFormat="1" hidden="1" outlineLevel="2" x14ac:dyDescent="0.25">
      <c r="A51" s="26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>
        <v>183</v>
      </c>
      <c r="I51" s="2"/>
      <c r="J51" s="7">
        <f t="shared" si="21"/>
        <v>0</v>
      </c>
      <c r="K51" s="2"/>
      <c r="L51" s="6">
        <f t="shared" si="22"/>
        <v>-183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183</v>
      </c>
      <c r="U51" s="2"/>
      <c r="V51" s="7">
        <f t="shared" si="25"/>
        <v>0.91500000000000004</v>
      </c>
      <c r="W51" s="2"/>
      <c r="X51" s="6">
        <f t="shared" si="26"/>
        <v>-183</v>
      </c>
      <c r="Y51" s="2"/>
      <c r="Z51" s="7">
        <f t="shared" si="27"/>
        <v>-1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2.21</v>
      </c>
      <c r="E52" s="1"/>
      <c r="F52" s="5">
        <f t="shared" ref="F52:F54" si="28">IF(D$12=0,0,D52/D$12)</f>
        <v>0</v>
      </c>
      <c r="G52" s="1"/>
      <c r="H52" s="1">
        <f>SUM(OSRRefH22_6x_0)</f>
        <v>10000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-9997.7900000000009</v>
      </c>
      <c r="M52" s="1"/>
      <c r="N52" s="5">
        <f t="shared" ref="N52:N54" si="31">IF(H52=0,0,L52/H52)</f>
        <v>-0.99977900000000008</v>
      </c>
      <c r="O52" s="13"/>
      <c r="P52" s="1">
        <f>SUM(OSRRefP22_6x_0)</f>
        <v>243145</v>
      </c>
      <c r="Q52" s="1"/>
      <c r="R52" s="5">
        <f t="shared" ref="R52:R54" si="32">IF(P$12=0,0,P52/P$12)</f>
        <v>0</v>
      </c>
      <c r="S52" s="1"/>
      <c r="T52" s="1">
        <f>SUM(OSRRefT22_6x_0)</f>
        <v>451800</v>
      </c>
      <c r="U52" s="1"/>
      <c r="V52" s="5">
        <f t="shared" ref="V52:V54" si="33">IF(T$12=0,0,T52/T$12)</f>
        <v>2259</v>
      </c>
      <c r="W52" s="1"/>
      <c r="X52" s="1">
        <f t="shared" ref="X52:X54" si="34">+P52-T52</f>
        <v>-208655</v>
      </c>
      <c r="Y52" s="1"/>
      <c r="Z52" s="5">
        <f t="shared" ref="Z52:Z54" si="35">IF(T52=0,0,X52/T52)</f>
        <v>-0.46183045595396194</v>
      </c>
    </row>
    <row r="53" spans="1:26" s="24" customFormat="1" hidden="1" outlineLevel="2" x14ac:dyDescent="0.25">
      <c r="A53" s="26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800</v>
      </c>
      <c r="U53" s="2"/>
      <c r="V53" s="7">
        <f t="shared" si="33"/>
        <v>4</v>
      </c>
      <c r="W53" s="2"/>
      <c r="X53" s="6">
        <f t="shared" si="34"/>
        <v>-800</v>
      </c>
      <c r="Y53" s="2"/>
      <c r="Z53" s="7">
        <f t="shared" si="35"/>
        <v>-1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6">
        <v>2.21</v>
      </c>
      <c r="E54" s="2"/>
      <c r="F54" s="7">
        <f t="shared" si="28"/>
        <v>0</v>
      </c>
      <c r="G54" s="2"/>
      <c r="H54" s="6">
        <v>10000</v>
      </c>
      <c r="I54" s="2"/>
      <c r="J54" s="7">
        <f t="shared" si="29"/>
        <v>0</v>
      </c>
      <c r="K54" s="2"/>
      <c r="L54" s="6">
        <f t="shared" si="30"/>
        <v>-9997.7900000000009</v>
      </c>
      <c r="M54" s="2"/>
      <c r="N54" s="7">
        <f t="shared" si="31"/>
        <v>-0.99977900000000008</v>
      </c>
      <c r="O54" s="11"/>
      <c r="P54" s="6">
        <v>243145</v>
      </c>
      <c r="Q54" s="2"/>
      <c r="R54" s="7">
        <f t="shared" si="32"/>
        <v>0</v>
      </c>
      <c r="S54" s="2"/>
      <c r="T54" s="6">
        <v>451000</v>
      </c>
      <c r="U54" s="2"/>
      <c r="V54" s="7">
        <f t="shared" si="33"/>
        <v>2255</v>
      </c>
      <c r="W54" s="2"/>
      <c r="X54" s="6">
        <f t="shared" si="34"/>
        <v>-207855</v>
      </c>
      <c r="Y54" s="2"/>
      <c r="Z54" s="7">
        <f t="shared" si="35"/>
        <v>-0.46087583148558758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12678.74</v>
      </c>
      <c r="E55" s="1"/>
      <c r="F55" s="5">
        <f t="shared" ref="F55:F68" si="36">IF(D$12=0,0,D55/D$12)</f>
        <v>0</v>
      </c>
      <c r="G55" s="1"/>
      <c r="H55" s="1">
        <f>SUM(OSRRefH22_7x_0)</f>
        <v>16908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-4229.26</v>
      </c>
      <c r="M55" s="1"/>
      <c r="N55" s="5">
        <f t="shared" ref="N55:N68" si="39">IF(H55=0,0,L55/H55)</f>
        <v>-0.25013366453749708</v>
      </c>
      <c r="O55" s="13"/>
      <c r="P55" s="1">
        <f>SUM(OSRRefP22_7x_0)</f>
        <v>24837.86</v>
      </c>
      <c r="Q55" s="1"/>
      <c r="R55" s="5">
        <f t="shared" ref="R55:R68" si="40">IF(P$12=0,0,P55/P$12)</f>
        <v>0</v>
      </c>
      <c r="S55" s="1"/>
      <c r="T55" s="1">
        <f>SUM(OSRRefT22_7x_0)</f>
        <v>31948</v>
      </c>
      <c r="U55" s="1"/>
      <c r="V55" s="5">
        <f t="shared" ref="V55:V68" si="41">IF(T$12=0,0,T55/T$12)</f>
        <v>159.74</v>
      </c>
      <c r="W55" s="1"/>
      <c r="X55" s="1">
        <f t="shared" ref="X55:X68" si="42">+P55-T55</f>
        <v>-7110.1399999999994</v>
      </c>
      <c r="Y55" s="1"/>
      <c r="Z55" s="5">
        <f t="shared" ref="Z55:Z68" si="43">IF(T55=0,0,X55/T55)</f>
        <v>-0.22255352447727555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>
        <v>12678.74</v>
      </c>
      <c r="E56" s="2"/>
      <c r="F56" s="7">
        <f t="shared" si="36"/>
        <v>0</v>
      </c>
      <c r="G56" s="2"/>
      <c r="H56" s="6">
        <v>16908</v>
      </c>
      <c r="I56" s="2"/>
      <c r="J56" s="7">
        <f t="shared" si="37"/>
        <v>0</v>
      </c>
      <c r="K56" s="2"/>
      <c r="L56" s="6">
        <f t="shared" si="38"/>
        <v>-4229.26</v>
      </c>
      <c r="M56" s="2"/>
      <c r="N56" s="7">
        <f t="shared" si="39"/>
        <v>-0.25013366453749708</v>
      </c>
      <c r="O56" s="11"/>
      <c r="P56" s="6">
        <v>24837.86</v>
      </c>
      <c r="Q56" s="2"/>
      <c r="R56" s="7">
        <f t="shared" si="40"/>
        <v>0</v>
      </c>
      <c r="S56" s="2"/>
      <c r="T56" s="6">
        <v>31948</v>
      </c>
      <c r="U56" s="2"/>
      <c r="V56" s="7">
        <f t="shared" si="41"/>
        <v>159.74</v>
      </c>
      <c r="W56" s="2"/>
      <c r="X56" s="6">
        <f t="shared" si="42"/>
        <v>-7110.1399999999994</v>
      </c>
      <c r="Y56" s="2"/>
      <c r="Z56" s="7">
        <f t="shared" si="43"/>
        <v>-0.22255352447727555</v>
      </c>
    </row>
    <row r="57" spans="1:26" s="25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0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-299</v>
      </c>
      <c r="M57" s="1"/>
      <c r="N57" s="5">
        <f t="shared" si="39"/>
        <v>-1</v>
      </c>
      <c r="O57" s="13"/>
      <c r="P57" s="1">
        <f>SUM(OSRRefP22_8x_0)</f>
        <v>1527.66</v>
      </c>
      <c r="Q57" s="1"/>
      <c r="R57" s="5">
        <f t="shared" si="40"/>
        <v>0</v>
      </c>
      <c r="S57" s="1"/>
      <c r="T57" s="1">
        <f>SUM(OSRRefT22_8x_0)</f>
        <v>1704</v>
      </c>
      <c r="U57" s="1"/>
      <c r="V57" s="5">
        <f t="shared" si="41"/>
        <v>8.52</v>
      </c>
      <c r="W57" s="1"/>
      <c r="X57" s="1">
        <f t="shared" si="42"/>
        <v>-176.33999999999992</v>
      </c>
      <c r="Y57" s="1"/>
      <c r="Z57" s="5">
        <f t="shared" si="43"/>
        <v>-0.1034859154929577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6"/>
        <v>0</v>
      </c>
      <c r="G58" s="2"/>
      <c r="H58" s="6">
        <v>299</v>
      </c>
      <c r="I58" s="2"/>
      <c r="J58" s="7">
        <f t="shared" si="37"/>
        <v>0</v>
      </c>
      <c r="K58" s="2"/>
      <c r="L58" s="6">
        <f t="shared" si="38"/>
        <v>-299</v>
      </c>
      <c r="M58" s="2"/>
      <c r="N58" s="7">
        <f t="shared" si="39"/>
        <v>-1</v>
      </c>
      <c r="O58" s="11"/>
      <c r="P58" s="6">
        <v>1527.66</v>
      </c>
      <c r="Q58" s="2"/>
      <c r="R58" s="7">
        <f t="shared" si="40"/>
        <v>0</v>
      </c>
      <c r="S58" s="2"/>
      <c r="T58" s="6">
        <v>1704</v>
      </c>
      <c r="U58" s="2"/>
      <c r="V58" s="7">
        <f t="shared" si="41"/>
        <v>8.52</v>
      </c>
      <c r="W58" s="2"/>
      <c r="X58" s="6">
        <f t="shared" si="42"/>
        <v>-176.33999999999992</v>
      </c>
      <c r="Y58" s="2"/>
      <c r="Z58" s="7">
        <f t="shared" si="43"/>
        <v>-0.1034859154929577</v>
      </c>
    </row>
    <row r="59" spans="1:26" s="25" customFormat="1" outlineLevel="1" collapsed="1" x14ac:dyDescent="0.25">
      <c r="A59" s="27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206.9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-38.099999999999994</v>
      </c>
      <c r="M59" s="1"/>
      <c r="N59" s="5">
        <f t="shared" si="39"/>
        <v>-0.15551020408163263</v>
      </c>
      <c r="O59" s="13"/>
      <c r="P59" s="1">
        <f>SUM(OSRRefP22_9x_0)</f>
        <v>1164.9000000000001</v>
      </c>
      <c r="Q59" s="1"/>
      <c r="R59" s="5">
        <f t="shared" si="40"/>
        <v>0</v>
      </c>
      <c r="S59" s="1"/>
      <c r="T59" s="1">
        <f>SUM(OSRRefT22_9x_0)</f>
        <v>1375</v>
      </c>
      <c r="U59" s="1"/>
      <c r="V59" s="5">
        <f t="shared" si="41"/>
        <v>6.875</v>
      </c>
      <c r="W59" s="1"/>
      <c r="X59" s="1">
        <f t="shared" si="42"/>
        <v>-210.09999999999991</v>
      </c>
      <c r="Y59" s="1"/>
      <c r="Z59" s="5">
        <f t="shared" si="43"/>
        <v>-0.15279999999999994</v>
      </c>
    </row>
    <row r="60" spans="1:26" s="24" customFormat="1" hidden="1" outlineLevel="2" x14ac:dyDescent="0.25">
      <c r="A60" s="26"/>
      <c r="B60" s="11" t="str">
        <f>CONCATENATE("          ", "6307", " - ", "POSTAGE")</f>
        <v xml:space="preserve">          6307 - POSTAGE</v>
      </c>
      <c r="C60" s="11"/>
      <c r="D60" s="6">
        <v>206.9</v>
      </c>
      <c r="E60" s="2"/>
      <c r="F60" s="7">
        <f t="shared" si="36"/>
        <v>0</v>
      </c>
      <c r="G60" s="2"/>
      <c r="H60" s="6">
        <v>245</v>
      </c>
      <c r="I60" s="2"/>
      <c r="J60" s="7">
        <f t="shared" si="37"/>
        <v>0</v>
      </c>
      <c r="K60" s="2"/>
      <c r="L60" s="6">
        <f t="shared" si="38"/>
        <v>-38.099999999999994</v>
      </c>
      <c r="M60" s="2"/>
      <c r="N60" s="7">
        <f t="shared" si="39"/>
        <v>-0.15551020408163263</v>
      </c>
      <c r="O60" s="11"/>
      <c r="P60" s="6">
        <v>1164.9000000000001</v>
      </c>
      <c r="Q60" s="2"/>
      <c r="R60" s="7">
        <f t="shared" si="40"/>
        <v>0</v>
      </c>
      <c r="S60" s="2"/>
      <c r="T60" s="6">
        <v>1375</v>
      </c>
      <c r="U60" s="2"/>
      <c r="V60" s="7">
        <f t="shared" si="41"/>
        <v>6.875</v>
      </c>
      <c r="W60" s="2"/>
      <c r="X60" s="6">
        <f t="shared" si="42"/>
        <v>-210.09999999999991</v>
      </c>
      <c r="Y60" s="2"/>
      <c r="Z60" s="7">
        <f t="shared" si="43"/>
        <v>-0.15279999999999994</v>
      </c>
    </row>
    <row r="61" spans="1:26" s="25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64.08</v>
      </c>
      <c r="E61" s="1"/>
      <c r="F61" s="5">
        <f t="shared" si="36"/>
        <v>0</v>
      </c>
      <c r="G61" s="1"/>
      <c r="H61" s="1">
        <f>SUM(OSRRefH22_10x_0)</f>
        <v>2415</v>
      </c>
      <c r="I61" s="1"/>
      <c r="J61" s="5">
        <f t="shared" si="37"/>
        <v>0</v>
      </c>
      <c r="K61" s="1"/>
      <c r="L61" s="1">
        <f t="shared" si="38"/>
        <v>-2350.92</v>
      </c>
      <c r="M61" s="1"/>
      <c r="N61" s="5">
        <f t="shared" si="39"/>
        <v>-0.97346583850931678</v>
      </c>
      <c r="O61" s="13"/>
      <c r="P61" s="1">
        <f>SUM(OSRRefP22_10x_0)</f>
        <v>12635.43</v>
      </c>
      <c r="Q61" s="1"/>
      <c r="R61" s="5">
        <f t="shared" si="40"/>
        <v>0</v>
      </c>
      <c r="S61" s="1"/>
      <c r="T61" s="1">
        <f>SUM(OSRRefT22_10x_0)</f>
        <v>4100</v>
      </c>
      <c r="U61" s="1"/>
      <c r="V61" s="5">
        <f t="shared" si="41"/>
        <v>20.5</v>
      </c>
      <c r="W61" s="1"/>
      <c r="X61" s="1">
        <f t="shared" si="42"/>
        <v>8535.43</v>
      </c>
      <c r="Y61" s="1"/>
      <c r="Z61" s="5">
        <f t="shared" si="43"/>
        <v>2.0818121951219513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6">
        <v>64.08</v>
      </c>
      <c r="E62" s="2"/>
      <c r="F62" s="7">
        <f t="shared" si="36"/>
        <v>0</v>
      </c>
      <c r="G62" s="2"/>
      <c r="H62" s="6">
        <v>2415</v>
      </c>
      <c r="I62" s="2"/>
      <c r="J62" s="7">
        <f t="shared" si="37"/>
        <v>0</v>
      </c>
      <c r="K62" s="2"/>
      <c r="L62" s="6">
        <f t="shared" si="38"/>
        <v>-2350.92</v>
      </c>
      <c r="M62" s="2"/>
      <c r="N62" s="7">
        <f t="shared" si="39"/>
        <v>-0.97346583850931678</v>
      </c>
      <c r="O62" s="11"/>
      <c r="P62" s="6">
        <v>12635.43</v>
      </c>
      <c r="Q62" s="2"/>
      <c r="R62" s="7">
        <f t="shared" si="40"/>
        <v>0</v>
      </c>
      <c r="S62" s="2"/>
      <c r="T62" s="6">
        <v>4100</v>
      </c>
      <c r="U62" s="2"/>
      <c r="V62" s="7">
        <f t="shared" si="41"/>
        <v>20.5</v>
      </c>
      <c r="W62" s="2"/>
      <c r="X62" s="6">
        <f t="shared" si="42"/>
        <v>8535.43</v>
      </c>
      <c r="Y62" s="2"/>
      <c r="Z62" s="7">
        <f t="shared" si="43"/>
        <v>2.0818121951219513</v>
      </c>
    </row>
    <row r="63" spans="1:26" s="25" customFormat="1" outlineLevel="1" collapsed="1" x14ac:dyDescent="0.25">
      <c r="A63" s="27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3"/>
      <c r="P63" s="1">
        <f>SUM(OSRRefP22_11x_0)</f>
        <v>2362.02</v>
      </c>
      <c r="Q63" s="1"/>
      <c r="R63" s="5">
        <f t="shared" si="40"/>
        <v>0</v>
      </c>
      <c r="S63" s="1"/>
      <c r="T63" s="1">
        <f>SUM(OSRRefT22_11x_0)</f>
        <v>2280</v>
      </c>
      <c r="U63" s="1"/>
      <c r="V63" s="5">
        <f t="shared" si="41"/>
        <v>11.4</v>
      </c>
      <c r="W63" s="1"/>
      <c r="X63" s="1">
        <f t="shared" si="42"/>
        <v>82.019999999999982</v>
      </c>
      <c r="Y63" s="1"/>
      <c r="Z63" s="5">
        <f t="shared" si="43"/>
        <v>3.597368421052631E-2</v>
      </c>
    </row>
    <row r="64" spans="1:26" s="24" customFormat="1" hidden="1" outlineLevel="2" x14ac:dyDescent="0.25">
      <c r="A64" s="26"/>
      <c r="B64" s="11" t="str">
        <f>CONCATENATE("          ", "6314", " - ", "LIABILITY INSURANCE")</f>
        <v xml:space="preserve">          6314 - LIABILITY INSURANCE</v>
      </c>
      <c r="C64" s="11"/>
      <c r="D64" s="6">
        <v>393.67</v>
      </c>
      <c r="E64" s="2"/>
      <c r="F64" s="7">
        <f t="shared" si="36"/>
        <v>0</v>
      </c>
      <c r="G64" s="2"/>
      <c r="H64" s="6">
        <v>380</v>
      </c>
      <c r="I64" s="2"/>
      <c r="J64" s="7">
        <f t="shared" si="37"/>
        <v>0</v>
      </c>
      <c r="K64" s="2"/>
      <c r="L64" s="6">
        <f t="shared" si="38"/>
        <v>13.670000000000016</v>
      </c>
      <c r="M64" s="2"/>
      <c r="N64" s="7">
        <f t="shared" si="39"/>
        <v>3.5973684210526359E-2</v>
      </c>
      <c r="O64" s="11"/>
      <c r="P64" s="6">
        <v>2362.02</v>
      </c>
      <c r="Q64" s="2"/>
      <c r="R64" s="7">
        <f t="shared" si="40"/>
        <v>0</v>
      </c>
      <c r="S64" s="2"/>
      <c r="T64" s="6">
        <v>2280</v>
      </c>
      <c r="U64" s="2"/>
      <c r="V64" s="7">
        <f t="shared" si="41"/>
        <v>11.4</v>
      </c>
      <c r="W64" s="2"/>
      <c r="X64" s="6">
        <f t="shared" si="42"/>
        <v>82.019999999999982</v>
      </c>
      <c r="Y64" s="2"/>
      <c r="Z64" s="7">
        <f t="shared" si="43"/>
        <v>3.597368421052631E-2</v>
      </c>
    </row>
    <row r="65" spans="1:26" s="25" customFormat="1" outlineLevel="1" collapsed="1" x14ac:dyDescent="0.25">
      <c r="A65" s="27"/>
      <c r="B65" s="13" t="str">
        <f>CONCATENATE("     ","Interest                                          ")</f>
        <v xml:space="preserve">     Interest                                          </v>
      </c>
      <c r="C65" s="13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3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6"/>
      <c r="B66" s="11" t="str">
        <f>CONCATENATE("          ", "6401", " - ", "INTEREST EXPENSE")</f>
        <v xml:space="preserve">          6401 - INTEREST EXPENSE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6"/>
      <c r="B67" s="11" t="str">
        <f>CONCATENATE("          ", "6402", " - ", "INTEREST EXPENSE BOND ISSUANCE")</f>
        <v xml:space="preserve">          6402 - INTEREST EXPENSE BOND ISSUANCE</v>
      </c>
      <c r="C67" s="11"/>
      <c r="D67" s="6"/>
      <c r="E67" s="2"/>
      <c r="F67" s="7">
        <f t="shared" si="36"/>
        <v>0</v>
      </c>
      <c r="G67" s="2"/>
      <c r="H67" s="6">
        <v>0</v>
      </c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0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"6403", " - ", "INTEREST EXPENSE LEASE EQUIP")</f>
        <v xml:space="preserve">          6403 - INTEREST EXPENSE LEASE EQUIP</v>
      </c>
      <c r="C68" s="11"/>
      <c r="D68" s="6"/>
      <c r="E68" s="2"/>
      <c r="F68" s="7">
        <f t="shared" si="36"/>
        <v>0</v>
      </c>
      <c r="G68" s="2"/>
      <c r="H68" s="6">
        <v>0</v>
      </c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0</v>
      </c>
      <c r="U68" s="2"/>
      <c r="V68" s="7">
        <f t="shared" si="41"/>
        <v>0</v>
      </c>
      <c r="W68" s="2"/>
      <c r="X68" s="6">
        <f t="shared" si="42"/>
        <v>0</v>
      </c>
      <c r="Y68" s="2"/>
      <c r="Z68" s="7">
        <f t="shared" si="43"/>
        <v>0</v>
      </c>
    </row>
    <row r="69" spans="1:26" s="25" customFormat="1" outlineLevel="1" collapsed="1" x14ac:dyDescent="0.25">
      <c r="A69" s="27"/>
      <c r="B69" s="13" t="str">
        <f>CONCATENATE("     ","Professional Services                             ")</f>
        <v xml:space="preserve">     Professional Services                             </v>
      </c>
      <c r="C69" s="13"/>
      <c r="D69" s="1">
        <f>SUM(OSRRefD22_13x_0)</f>
        <v>245.95</v>
      </c>
      <c r="E69" s="1"/>
      <c r="F69" s="5">
        <f t="shared" ref="F69:F73" si="44">IF(D$12=0,0,D69/D$12)</f>
        <v>0</v>
      </c>
      <c r="G69" s="1"/>
      <c r="H69" s="1">
        <f>SUM(OSRRefH22_13x_0)</f>
        <v>25633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-25387.05</v>
      </c>
      <c r="M69" s="1"/>
      <c r="N69" s="5">
        <f t="shared" ref="N69:N73" si="47">IF(H69=0,0,L69/H69)</f>
        <v>-0.99040494674833224</v>
      </c>
      <c r="O69" s="13"/>
      <c r="P69" s="1">
        <f>SUM(OSRRefP22_13x_0)</f>
        <v>144037.78</v>
      </c>
      <c r="Q69" s="1"/>
      <c r="R69" s="5">
        <f t="shared" ref="R69:R73" si="48">IF(P$12=0,0,P69/P$12)</f>
        <v>0</v>
      </c>
      <c r="S69" s="1"/>
      <c r="T69" s="1">
        <f>SUM(OSRRefT22_13x_0)</f>
        <v>135798</v>
      </c>
      <c r="U69" s="1"/>
      <c r="V69" s="5">
        <f t="shared" ref="V69:V73" si="49">IF(T$12=0,0,T69/T$12)</f>
        <v>678.99</v>
      </c>
      <c r="W69" s="1"/>
      <c r="X69" s="1">
        <f t="shared" ref="X69:X73" si="50">+P69-T69</f>
        <v>8239.7799999999988</v>
      </c>
      <c r="Y69" s="1"/>
      <c r="Z69" s="5">
        <f t="shared" ref="Z69:Z73" si="51">IF(T69=0,0,X69/T69)</f>
        <v>6.0676740452731255E-2</v>
      </c>
    </row>
    <row r="70" spans="1:26" s="24" customFormat="1" hidden="1" outlineLevel="2" x14ac:dyDescent="0.25">
      <c r="A70" s="26"/>
      <c r="B70" s="11" t="str">
        <f>CONCATENATE("          ", "6331", " - ", "INDIRECT COSTS-AUXILIARY ORGAN")</f>
        <v xml:space="preserve">          6331 - INDIRECT COSTS-AUXILIARY ORGAN</v>
      </c>
      <c r="C70" s="11"/>
      <c r="D70" s="6"/>
      <c r="E70" s="2"/>
      <c r="F70" s="7">
        <f t="shared" si="44"/>
        <v>0</v>
      </c>
      <c r="G70" s="2"/>
      <c r="H70" s="6">
        <v>20000</v>
      </c>
      <c r="I70" s="2"/>
      <c r="J70" s="7">
        <f t="shared" si="45"/>
        <v>0</v>
      </c>
      <c r="K70" s="2"/>
      <c r="L70" s="6">
        <f t="shared" si="46"/>
        <v>-20000</v>
      </c>
      <c r="M70" s="2"/>
      <c r="N70" s="7">
        <f t="shared" si="47"/>
        <v>-1</v>
      </c>
      <c r="O70" s="11"/>
      <c r="P70" s="6">
        <v>68749</v>
      </c>
      <c r="Q70" s="2"/>
      <c r="R70" s="7">
        <f t="shared" si="48"/>
        <v>0</v>
      </c>
      <c r="S70" s="2"/>
      <c r="T70" s="6">
        <v>65000</v>
      </c>
      <c r="U70" s="2"/>
      <c r="V70" s="7">
        <f t="shared" si="49"/>
        <v>325</v>
      </c>
      <c r="W70" s="2"/>
      <c r="X70" s="6">
        <f t="shared" si="50"/>
        <v>3749</v>
      </c>
      <c r="Y70" s="2"/>
      <c r="Z70" s="7">
        <f t="shared" si="51"/>
        <v>5.7676923076923077E-2</v>
      </c>
    </row>
    <row r="71" spans="1:26" s="24" customFormat="1" hidden="1" outlineLevel="2" x14ac:dyDescent="0.25">
      <c r="A71" s="26"/>
      <c r="B71" s="11" t="str">
        <f>CONCATENATE("          ", "6332", " - ", "CONSULTANT FEES")</f>
        <v xml:space="preserve">          6332 - CONSULTANT FEES</v>
      </c>
      <c r="C71" s="11"/>
      <c r="D71" s="6"/>
      <c r="E71" s="2"/>
      <c r="F71" s="7">
        <f t="shared" si="44"/>
        <v>0</v>
      </c>
      <c r="G71" s="2"/>
      <c r="H71" s="6">
        <v>3600</v>
      </c>
      <c r="I71" s="2"/>
      <c r="J71" s="7">
        <f t="shared" si="45"/>
        <v>0</v>
      </c>
      <c r="K71" s="2"/>
      <c r="L71" s="6">
        <f t="shared" si="46"/>
        <v>-3600</v>
      </c>
      <c r="M71" s="2"/>
      <c r="N71" s="7">
        <f t="shared" si="47"/>
        <v>-1</v>
      </c>
      <c r="O71" s="11"/>
      <c r="P71" s="6">
        <v>15144.74</v>
      </c>
      <c r="Q71" s="2"/>
      <c r="R71" s="7">
        <f t="shared" si="48"/>
        <v>0</v>
      </c>
      <c r="S71" s="2"/>
      <c r="T71" s="6">
        <v>21600</v>
      </c>
      <c r="U71" s="2"/>
      <c r="V71" s="7">
        <f t="shared" si="49"/>
        <v>108</v>
      </c>
      <c r="W71" s="2"/>
      <c r="X71" s="6">
        <f t="shared" si="50"/>
        <v>-6455.26</v>
      </c>
      <c r="Y71" s="2"/>
      <c r="Z71" s="7">
        <f t="shared" si="51"/>
        <v>-0.29885462962962966</v>
      </c>
    </row>
    <row r="72" spans="1:26" s="24" customFormat="1" hidden="1" outlineLevel="2" x14ac:dyDescent="0.25">
      <c r="A72" s="26"/>
      <c r="B72" s="11" t="str">
        <f>CONCATENATE("          ", "6334", " - ", "LEGAL COUNCIL EXPENSE")</f>
        <v xml:space="preserve">          6334 - LEGAL COUNCIL EXPENSE</v>
      </c>
      <c r="C72" s="11"/>
      <c r="D72" s="6">
        <v>100</v>
      </c>
      <c r="E72" s="2"/>
      <c r="F72" s="7">
        <f t="shared" si="44"/>
        <v>0</v>
      </c>
      <c r="G72" s="2"/>
      <c r="H72" s="6">
        <v>2033</v>
      </c>
      <c r="I72" s="2"/>
      <c r="J72" s="7">
        <f t="shared" si="45"/>
        <v>0</v>
      </c>
      <c r="K72" s="2"/>
      <c r="L72" s="6">
        <f t="shared" si="46"/>
        <v>-1933</v>
      </c>
      <c r="M72" s="2"/>
      <c r="N72" s="7">
        <f t="shared" si="47"/>
        <v>-0.95081160846040336</v>
      </c>
      <c r="O72" s="11"/>
      <c r="P72" s="6">
        <v>38300</v>
      </c>
      <c r="Q72" s="2"/>
      <c r="R72" s="7">
        <f t="shared" si="48"/>
        <v>0</v>
      </c>
      <c r="S72" s="2"/>
      <c r="T72" s="6">
        <v>7698</v>
      </c>
      <c r="U72" s="2"/>
      <c r="V72" s="7">
        <f t="shared" si="49"/>
        <v>38.49</v>
      </c>
      <c r="W72" s="2"/>
      <c r="X72" s="6">
        <f t="shared" si="50"/>
        <v>30602</v>
      </c>
      <c r="Y72" s="2"/>
      <c r="Z72" s="7">
        <f t="shared" si="51"/>
        <v>3.9753182644842817</v>
      </c>
    </row>
    <row r="73" spans="1:26" s="24" customFormat="1" hidden="1" outlineLevel="2" x14ac:dyDescent="0.25">
      <c r="A73" s="26"/>
      <c r="B73" s="11" t="str">
        <f>CONCATENATE("          ", "6336", " - ", "PROFESSIONAL SERVICES")</f>
        <v xml:space="preserve">          6336 - PROFESSIONAL SERVICES</v>
      </c>
      <c r="C73" s="11"/>
      <c r="D73" s="6">
        <v>145.94999999999999</v>
      </c>
      <c r="E73" s="2"/>
      <c r="F73" s="7">
        <f t="shared" si="44"/>
        <v>0</v>
      </c>
      <c r="G73" s="2"/>
      <c r="H73" s="6">
        <v>0</v>
      </c>
      <c r="I73" s="2"/>
      <c r="J73" s="7">
        <f t="shared" si="45"/>
        <v>0</v>
      </c>
      <c r="K73" s="2"/>
      <c r="L73" s="6">
        <f t="shared" si="46"/>
        <v>145.94999999999999</v>
      </c>
      <c r="M73" s="2"/>
      <c r="N73" s="7">
        <f t="shared" si="47"/>
        <v>0</v>
      </c>
      <c r="O73" s="11"/>
      <c r="P73" s="6">
        <v>21844.04</v>
      </c>
      <c r="Q73" s="2"/>
      <c r="R73" s="7">
        <f t="shared" si="48"/>
        <v>0</v>
      </c>
      <c r="S73" s="2"/>
      <c r="T73" s="6">
        <v>41500</v>
      </c>
      <c r="U73" s="2"/>
      <c r="V73" s="7">
        <f t="shared" si="49"/>
        <v>207.5</v>
      </c>
      <c r="W73" s="2"/>
      <c r="X73" s="6">
        <f t="shared" si="50"/>
        <v>-19655.96</v>
      </c>
      <c r="Y73" s="2"/>
      <c r="Z73" s="7">
        <f t="shared" si="51"/>
        <v>-0.47363759036144576</v>
      </c>
    </row>
    <row r="74" spans="1:26" s="25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28869.850000000002</v>
      </c>
      <c r="E74" s="1"/>
      <c r="F74" s="5">
        <f t="shared" ref="F74:F78" si="52">IF(D$12=0,0,D74/D$12)</f>
        <v>0</v>
      </c>
      <c r="G74" s="1"/>
      <c r="H74" s="1">
        <f>SUM(OSRRefH22_14x_0)</f>
        <v>35895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-7025.1499999999978</v>
      </c>
      <c r="M74" s="1"/>
      <c r="N74" s="5">
        <f t="shared" ref="N74:N78" si="55">IF(H74=0,0,L74/H74)</f>
        <v>-0.19571388772809578</v>
      </c>
      <c r="O74" s="13"/>
      <c r="P74" s="1">
        <f>SUM(OSRRefP22_14x_0)</f>
        <v>158908.66</v>
      </c>
      <c r="Q74" s="1"/>
      <c r="R74" s="5">
        <f t="shared" ref="R74:R78" si="56">IF(P$12=0,0,P74/P$12)</f>
        <v>0</v>
      </c>
      <c r="S74" s="1"/>
      <c r="T74" s="1">
        <f>SUM(OSRRefT22_14x_0)</f>
        <v>165450</v>
      </c>
      <c r="U74" s="1"/>
      <c r="V74" s="5">
        <f t="shared" ref="V74:V78" si="57">IF(T$12=0,0,T74/T$12)</f>
        <v>827.25</v>
      </c>
      <c r="W74" s="1"/>
      <c r="X74" s="1">
        <f t="shared" ref="X74:X78" si="58">+P74-T74</f>
        <v>-6541.3399999999965</v>
      </c>
      <c r="Y74" s="1"/>
      <c r="Z74" s="5">
        <f t="shared" ref="Z74:Z78" si="59">IF(T74=0,0,X74/T74)</f>
        <v>-3.9536657600483506E-2</v>
      </c>
    </row>
    <row r="75" spans="1:26" s="24" customFormat="1" hidden="1" outlineLevel="2" x14ac:dyDescent="0.25">
      <c r="A75" s="26"/>
      <c r="B75" s="11" t="str">
        <f>CONCATENATE("          ", "6371", " - ", "COMPUTER SOFTWARE MAINTENANCE")</f>
        <v xml:space="preserve">          6371 - COMPUTER SOFTWARE MAINTENANCE</v>
      </c>
      <c r="C75" s="11"/>
      <c r="D75" s="6">
        <v>15170.02</v>
      </c>
      <c r="E75" s="2"/>
      <c r="F75" s="7">
        <f t="shared" si="52"/>
        <v>0</v>
      </c>
      <c r="G75" s="2"/>
      <c r="H75" s="6">
        <v>14320</v>
      </c>
      <c r="I75" s="2"/>
      <c r="J75" s="7">
        <f t="shared" si="53"/>
        <v>0</v>
      </c>
      <c r="K75" s="2"/>
      <c r="L75" s="6">
        <f t="shared" si="54"/>
        <v>850.02000000000044</v>
      </c>
      <c r="M75" s="2"/>
      <c r="N75" s="7">
        <f t="shared" si="55"/>
        <v>5.9358938547486063E-2</v>
      </c>
      <c r="O75" s="11"/>
      <c r="P75" s="6">
        <v>73438.89</v>
      </c>
      <c r="Q75" s="2"/>
      <c r="R75" s="7">
        <f t="shared" si="56"/>
        <v>0</v>
      </c>
      <c r="S75" s="2"/>
      <c r="T75" s="6">
        <v>71000</v>
      </c>
      <c r="U75" s="2"/>
      <c r="V75" s="7">
        <f t="shared" si="57"/>
        <v>355</v>
      </c>
      <c r="W75" s="2"/>
      <c r="X75" s="6">
        <f t="shared" si="58"/>
        <v>2438.8899999999994</v>
      </c>
      <c r="Y75" s="2"/>
      <c r="Z75" s="7">
        <f t="shared" si="59"/>
        <v>3.4350563380281682E-2</v>
      </c>
    </row>
    <row r="76" spans="1:26" s="24" customFormat="1" hidden="1" outlineLevel="2" x14ac:dyDescent="0.25">
      <c r="A76" s="26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52"/>
        <v>0</v>
      </c>
      <c r="G76" s="2"/>
      <c r="H76" s="6">
        <v>1000</v>
      </c>
      <c r="I76" s="2"/>
      <c r="J76" s="7">
        <f t="shared" si="53"/>
        <v>0</v>
      </c>
      <c r="K76" s="2"/>
      <c r="L76" s="6">
        <f t="shared" si="54"/>
        <v>-1000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5000</v>
      </c>
      <c r="U76" s="2"/>
      <c r="V76" s="7">
        <f t="shared" si="57"/>
        <v>25</v>
      </c>
      <c r="W76" s="2"/>
      <c r="X76" s="6">
        <f t="shared" si="58"/>
        <v>-5000</v>
      </c>
      <c r="Y76" s="2"/>
      <c r="Z76" s="7">
        <f t="shared" si="59"/>
        <v>-1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6">
        <v>13604.79</v>
      </c>
      <c r="E77" s="2"/>
      <c r="F77" s="7">
        <f t="shared" si="52"/>
        <v>0</v>
      </c>
      <c r="G77" s="2"/>
      <c r="H77" s="6">
        <v>20575</v>
      </c>
      <c r="I77" s="2"/>
      <c r="J77" s="7">
        <f t="shared" si="53"/>
        <v>0</v>
      </c>
      <c r="K77" s="2"/>
      <c r="L77" s="6">
        <f t="shared" si="54"/>
        <v>-6970.2099999999991</v>
      </c>
      <c r="M77" s="2"/>
      <c r="N77" s="7">
        <f t="shared" si="55"/>
        <v>-0.33877083839611172</v>
      </c>
      <c r="O77" s="11"/>
      <c r="P77" s="6">
        <v>83826.69</v>
      </c>
      <c r="Q77" s="2"/>
      <c r="R77" s="7">
        <f t="shared" si="56"/>
        <v>0</v>
      </c>
      <c r="S77" s="2"/>
      <c r="T77" s="6">
        <v>89450</v>
      </c>
      <c r="U77" s="2"/>
      <c r="V77" s="7">
        <f t="shared" si="57"/>
        <v>447.25</v>
      </c>
      <c r="W77" s="2"/>
      <c r="X77" s="6">
        <f t="shared" si="58"/>
        <v>-5623.3099999999977</v>
      </c>
      <c r="Y77" s="2"/>
      <c r="Z77" s="7">
        <f t="shared" si="59"/>
        <v>-6.2865399664617072E-2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95.04</v>
      </c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95.04</v>
      </c>
      <c r="M78" s="2"/>
      <c r="N78" s="7">
        <f t="shared" si="55"/>
        <v>0</v>
      </c>
      <c r="O78" s="11"/>
      <c r="P78" s="6">
        <v>1643.08</v>
      </c>
      <c r="Q78" s="2"/>
      <c r="R78" s="7">
        <f t="shared" si="56"/>
        <v>0</v>
      </c>
      <c r="S78" s="2"/>
      <c r="T78" s="6"/>
      <c r="U78" s="2"/>
      <c r="V78" s="7">
        <f t="shared" si="57"/>
        <v>0</v>
      </c>
      <c r="W78" s="2"/>
      <c r="X78" s="6">
        <f t="shared" si="58"/>
        <v>1643.08</v>
      </c>
      <c r="Y78" s="2"/>
      <c r="Z78" s="7">
        <f t="shared" si="59"/>
        <v>0</v>
      </c>
    </row>
    <row r="79" spans="1:26" s="25" customFormat="1" outlineLevel="1" collapsed="1" x14ac:dyDescent="0.25">
      <c r="A79" s="27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SUM(OSRRefD22_15x_0)</f>
        <v>513.21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-96.789999999999964</v>
      </c>
      <c r="M79" s="1"/>
      <c r="N79" s="5">
        <f t="shared" ref="N79:N81" si="63">IF(H79=0,0,L79/H79)</f>
        <v>-0.15867213114754092</v>
      </c>
      <c r="O79" s="13"/>
      <c r="P79" s="1">
        <f>SUM(OSRRefP22_15x_0)</f>
        <v>8148.0199999999995</v>
      </c>
      <c r="Q79" s="1"/>
      <c r="R79" s="5">
        <f t="shared" ref="R79:R81" si="64">IF(P$12=0,0,P79/P$12)</f>
        <v>0</v>
      </c>
      <c r="S79" s="1"/>
      <c r="T79" s="1">
        <f>SUM(OSRRefT22_15x_0)</f>
        <v>3660</v>
      </c>
      <c r="U79" s="1"/>
      <c r="V79" s="5">
        <f t="shared" ref="V79:V81" si="65">IF(T$12=0,0,T79/T$12)</f>
        <v>18.3</v>
      </c>
      <c r="W79" s="1"/>
      <c r="X79" s="1">
        <f t="shared" ref="X79:X81" si="66">+P79-T79</f>
        <v>4488.0199999999995</v>
      </c>
      <c r="Y79" s="1"/>
      <c r="Z79" s="5">
        <f t="shared" ref="Z79:Z81" si="67">IF(T79=0,0,X79/T79)</f>
        <v>1.2262349726775954</v>
      </c>
    </row>
    <row r="80" spans="1:26" s="24" customFormat="1" hidden="1" outlineLevel="2" x14ac:dyDescent="0.25">
      <c r="A80" s="26"/>
      <c r="B80" s="11" t="str">
        <f>CONCATENATE("          ", "6281", " - ", "STORAGE FEE")</f>
        <v xml:space="preserve">          6281 - STORAGE FEE</v>
      </c>
      <c r="C80" s="11"/>
      <c r="D80" s="6">
        <v>504.37</v>
      </c>
      <c r="E80" s="2"/>
      <c r="F80" s="7">
        <f t="shared" si="60"/>
        <v>0</v>
      </c>
      <c r="G80" s="2"/>
      <c r="H80" s="6">
        <v>600</v>
      </c>
      <c r="I80" s="2"/>
      <c r="J80" s="7">
        <f t="shared" si="61"/>
        <v>0</v>
      </c>
      <c r="K80" s="2"/>
      <c r="L80" s="6">
        <f t="shared" si="62"/>
        <v>-95.63</v>
      </c>
      <c r="M80" s="2"/>
      <c r="N80" s="7">
        <f t="shared" si="63"/>
        <v>-0.15938333333333332</v>
      </c>
      <c r="O80" s="11"/>
      <c r="P80" s="6">
        <v>8099.4</v>
      </c>
      <c r="Q80" s="2"/>
      <c r="R80" s="7">
        <f t="shared" si="64"/>
        <v>0</v>
      </c>
      <c r="S80" s="2"/>
      <c r="T80" s="6">
        <v>3600</v>
      </c>
      <c r="U80" s="2"/>
      <c r="V80" s="7">
        <f t="shared" si="65"/>
        <v>18</v>
      </c>
      <c r="W80" s="2"/>
      <c r="X80" s="6">
        <f t="shared" si="66"/>
        <v>4499.3999999999996</v>
      </c>
      <c r="Y80" s="2"/>
      <c r="Z80" s="7">
        <f t="shared" si="67"/>
        <v>1.2498333333333331</v>
      </c>
    </row>
    <row r="81" spans="1:26" s="24" customFormat="1" hidden="1" outlineLevel="2" x14ac:dyDescent="0.25">
      <c r="A81" s="26"/>
      <c r="B81" s="11" t="str">
        <f>CONCATENATE("          ", "6286", " - ", "LAUNDRY EXPENSE")</f>
        <v xml:space="preserve">          6286 - LAUNDRY EXPENSE</v>
      </c>
      <c r="C81" s="11"/>
      <c r="D81" s="6">
        <v>8.84</v>
      </c>
      <c r="E81" s="2"/>
      <c r="F81" s="7">
        <f t="shared" si="60"/>
        <v>0</v>
      </c>
      <c r="G81" s="2"/>
      <c r="H81" s="6">
        <v>10</v>
      </c>
      <c r="I81" s="2"/>
      <c r="J81" s="7">
        <f t="shared" si="61"/>
        <v>0</v>
      </c>
      <c r="K81" s="2"/>
      <c r="L81" s="6">
        <f t="shared" si="62"/>
        <v>-1.1600000000000001</v>
      </c>
      <c r="M81" s="2"/>
      <c r="N81" s="7">
        <f t="shared" si="63"/>
        <v>-0.11600000000000002</v>
      </c>
      <c r="O81" s="11"/>
      <c r="P81" s="6">
        <v>48.62</v>
      </c>
      <c r="Q81" s="2"/>
      <c r="R81" s="7">
        <f t="shared" si="64"/>
        <v>0</v>
      </c>
      <c r="S81" s="2"/>
      <c r="T81" s="6">
        <v>60</v>
      </c>
      <c r="U81" s="2"/>
      <c r="V81" s="7">
        <f t="shared" si="65"/>
        <v>0.3</v>
      </c>
      <c r="W81" s="2"/>
      <c r="X81" s="6">
        <f t="shared" si="66"/>
        <v>-11.380000000000003</v>
      </c>
      <c r="Y81" s="2"/>
      <c r="Z81" s="7">
        <f t="shared" si="67"/>
        <v>-0.18966666666666671</v>
      </c>
    </row>
    <row r="82" spans="1:26" s="25" customFormat="1" outlineLevel="1" collapsed="1" x14ac:dyDescent="0.25">
      <c r="A82" s="27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SUM(OSRRefD22_16x_0)</f>
        <v>795</v>
      </c>
      <c r="E82" s="1"/>
      <c r="F82" s="5">
        <f t="shared" ref="F82:F84" si="68">IF(D$12=0,0,D82/D$12)</f>
        <v>0</v>
      </c>
      <c r="G82" s="1"/>
      <c r="H82" s="1">
        <f>SUM(OSRRefH22_16x_0)</f>
        <v>200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595</v>
      </c>
      <c r="M82" s="1"/>
      <c r="N82" s="5">
        <f t="shared" ref="N82:N84" si="71">IF(H82=0,0,L82/H82)</f>
        <v>2.9750000000000001</v>
      </c>
      <c r="O82" s="13"/>
      <c r="P82" s="1">
        <f>SUM(OSRRefP22_16x_0)</f>
        <v>2421</v>
      </c>
      <c r="Q82" s="1"/>
      <c r="R82" s="5">
        <f t="shared" ref="R82:R84" si="72">IF(P$12=0,0,P82/P$12)</f>
        <v>0</v>
      </c>
      <c r="S82" s="1"/>
      <c r="T82" s="1">
        <f>SUM(OSRRefT22_16x_0)</f>
        <v>2557</v>
      </c>
      <c r="U82" s="1"/>
      <c r="V82" s="5">
        <f t="shared" ref="V82:V84" si="73">IF(T$12=0,0,T82/T$12)</f>
        <v>12.785</v>
      </c>
      <c r="W82" s="1"/>
      <c r="X82" s="1">
        <f t="shared" ref="X82:X84" si="74">+P82-T82</f>
        <v>-136</v>
      </c>
      <c r="Y82" s="1"/>
      <c r="Z82" s="5">
        <f t="shared" ref="Z82:Z84" si="75">IF(T82=0,0,X82/T82)</f>
        <v>-5.3187328901055923E-2</v>
      </c>
    </row>
    <row r="83" spans="1:26" s="24" customFormat="1" hidden="1" outlineLevel="2" x14ac:dyDescent="0.25">
      <c r="A83" s="26"/>
      <c r="B83" s="11" t="str">
        <f>CONCATENATE("          ", "6258", " - ", "MEMBERSHIP DUES")</f>
        <v xml:space="preserve">          6258 - MEMBERSHIP DUES</v>
      </c>
      <c r="C83" s="11"/>
      <c r="D83" s="6">
        <v>795</v>
      </c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795</v>
      </c>
      <c r="M83" s="2"/>
      <c r="N83" s="7">
        <f t="shared" si="71"/>
        <v>0</v>
      </c>
      <c r="O83" s="11"/>
      <c r="P83" s="6">
        <v>2421</v>
      </c>
      <c r="Q83" s="2"/>
      <c r="R83" s="7">
        <f t="shared" si="72"/>
        <v>0</v>
      </c>
      <c r="S83" s="2"/>
      <c r="T83" s="6">
        <v>1857</v>
      </c>
      <c r="U83" s="2"/>
      <c r="V83" s="7">
        <f t="shared" si="73"/>
        <v>9.2850000000000001</v>
      </c>
      <c r="W83" s="2"/>
      <c r="X83" s="6">
        <f t="shared" si="74"/>
        <v>564</v>
      </c>
      <c r="Y83" s="2"/>
      <c r="Z83" s="7">
        <f t="shared" si="75"/>
        <v>0.30371567043618741</v>
      </c>
    </row>
    <row r="84" spans="1:26" s="24" customFormat="1" hidden="1" outlineLevel="2" x14ac:dyDescent="0.25">
      <c r="A84" s="26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8"/>
        <v>0</v>
      </c>
      <c r="G84" s="2"/>
      <c r="H84" s="6">
        <v>200</v>
      </c>
      <c r="I84" s="2"/>
      <c r="J84" s="7">
        <f t="shared" si="69"/>
        <v>0</v>
      </c>
      <c r="K84" s="2"/>
      <c r="L84" s="6">
        <f t="shared" si="70"/>
        <v>-200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700</v>
      </c>
      <c r="U84" s="2"/>
      <c r="V84" s="7">
        <f t="shared" si="73"/>
        <v>3.5</v>
      </c>
      <c r="W84" s="2"/>
      <c r="X84" s="6">
        <f t="shared" si="74"/>
        <v>-700</v>
      </c>
      <c r="Y84" s="2"/>
      <c r="Z84" s="7">
        <f t="shared" si="75"/>
        <v>-1</v>
      </c>
    </row>
    <row r="85" spans="1:26" s="25" customFormat="1" outlineLevel="1" collapsed="1" x14ac:dyDescent="0.25">
      <c r="A85" s="27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SUM(OSRRefD22_17x_0)</f>
        <v>3984.77</v>
      </c>
      <c r="E85" s="1"/>
      <c r="F85" s="5">
        <f t="shared" ref="F85:F89" si="76">IF(D$12=0,0,D85/D$12)</f>
        <v>0</v>
      </c>
      <c r="G85" s="1"/>
      <c r="H85" s="1">
        <f>SUM(OSRRefH22_17x_0)</f>
        <v>3252</v>
      </c>
      <c r="I85" s="1"/>
      <c r="J85" s="5">
        <f t="shared" ref="J85:J89" si="77">IF(H$12=0,0,H85/H$12)</f>
        <v>0</v>
      </c>
      <c r="K85" s="1"/>
      <c r="L85" s="1">
        <f t="shared" ref="L85:L89" si="78">+D85-H85</f>
        <v>732.77</v>
      </c>
      <c r="M85" s="1"/>
      <c r="N85" s="5">
        <f t="shared" ref="N85:N89" si="79">IF(H85=0,0,L85/H85)</f>
        <v>0.2253290282902829</v>
      </c>
      <c r="O85" s="13"/>
      <c r="P85" s="1">
        <f>SUM(OSRRefP22_17x_0)</f>
        <v>42357.210000000006</v>
      </c>
      <c r="Q85" s="1"/>
      <c r="R85" s="5">
        <f t="shared" ref="R85:R89" si="80">IF(P$12=0,0,P85/P$12)</f>
        <v>0</v>
      </c>
      <c r="S85" s="1"/>
      <c r="T85" s="1">
        <f>SUM(OSRRefT22_17x_0)</f>
        <v>26912</v>
      </c>
      <c r="U85" s="1"/>
      <c r="V85" s="5">
        <f t="shared" ref="V85:V89" si="81">IF(T$12=0,0,T85/T$12)</f>
        <v>134.56</v>
      </c>
      <c r="W85" s="1"/>
      <c r="X85" s="1">
        <f t="shared" ref="X85:X89" si="82">+P85-T85</f>
        <v>15445.210000000006</v>
      </c>
      <c r="Y85" s="1"/>
      <c r="Z85" s="5">
        <f t="shared" ref="Z85:Z89" si="83">IF(T85=0,0,X85/T85)</f>
        <v>0.57391535374554126</v>
      </c>
    </row>
    <row r="86" spans="1:26" s="24" customFormat="1" hidden="1" outlineLevel="2" x14ac:dyDescent="0.25">
      <c r="A86" s="26"/>
      <c r="B86" s="11" t="str">
        <f>CONCATENATE("          ", "6234", " - ", "EXPENDABLE SUPPLIES &amp; EQUIPMEN")</f>
        <v xml:space="preserve">          6234 - EXPENDABLE SUPPLIES &amp; EQUIPMEN</v>
      </c>
      <c r="C86" s="11"/>
      <c r="D86" s="6">
        <v>313.08999999999997</v>
      </c>
      <c r="E86" s="2"/>
      <c r="F86" s="7">
        <f t="shared" si="76"/>
        <v>0</v>
      </c>
      <c r="G86" s="2"/>
      <c r="H86" s="6">
        <v>1000</v>
      </c>
      <c r="I86" s="2"/>
      <c r="J86" s="7">
        <f t="shared" si="77"/>
        <v>0</v>
      </c>
      <c r="K86" s="2"/>
      <c r="L86" s="6">
        <f t="shared" si="78"/>
        <v>-686.91000000000008</v>
      </c>
      <c r="M86" s="2"/>
      <c r="N86" s="7">
        <f t="shared" si="79"/>
        <v>-0.68691000000000013</v>
      </c>
      <c r="O86" s="11"/>
      <c r="P86" s="6">
        <v>1223.6099999999999</v>
      </c>
      <c r="Q86" s="2"/>
      <c r="R86" s="7">
        <f t="shared" si="80"/>
        <v>0</v>
      </c>
      <c r="S86" s="2"/>
      <c r="T86" s="6">
        <v>4400</v>
      </c>
      <c r="U86" s="2"/>
      <c r="V86" s="7">
        <f t="shared" si="81"/>
        <v>22</v>
      </c>
      <c r="W86" s="2"/>
      <c r="X86" s="6">
        <f t="shared" si="82"/>
        <v>-3176.3900000000003</v>
      </c>
      <c r="Y86" s="2"/>
      <c r="Z86" s="7">
        <f t="shared" si="83"/>
        <v>-0.72190681818181823</v>
      </c>
    </row>
    <row r="87" spans="1:26" s="24" customFormat="1" hidden="1" outlineLevel="2" x14ac:dyDescent="0.25">
      <c r="A87" s="26"/>
      <c r="B87" s="11" t="str">
        <f>CONCATENATE("          ", "6241", " - ", "OFFICE EXPENSE")</f>
        <v xml:space="preserve">          6241 - OFFICE EXPENSE</v>
      </c>
      <c r="C87" s="11"/>
      <c r="D87" s="6">
        <v>3557.96</v>
      </c>
      <c r="E87" s="2"/>
      <c r="F87" s="7">
        <f t="shared" si="76"/>
        <v>0</v>
      </c>
      <c r="G87" s="2"/>
      <c r="H87" s="6">
        <v>1835</v>
      </c>
      <c r="I87" s="2"/>
      <c r="J87" s="7">
        <f t="shared" si="77"/>
        <v>0</v>
      </c>
      <c r="K87" s="2"/>
      <c r="L87" s="6">
        <f t="shared" si="78"/>
        <v>1722.96</v>
      </c>
      <c r="M87" s="2"/>
      <c r="N87" s="7">
        <f t="shared" si="79"/>
        <v>0.93894277929155312</v>
      </c>
      <c r="O87" s="11"/>
      <c r="P87" s="6">
        <v>36536.990000000005</v>
      </c>
      <c r="Q87" s="2"/>
      <c r="R87" s="7">
        <f t="shared" si="80"/>
        <v>0</v>
      </c>
      <c r="S87" s="2"/>
      <c r="T87" s="6">
        <v>20010</v>
      </c>
      <c r="U87" s="2"/>
      <c r="V87" s="7">
        <f t="shared" si="81"/>
        <v>100.05</v>
      </c>
      <c r="W87" s="2"/>
      <c r="X87" s="6">
        <f t="shared" si="82"/>
        <v>16526.990000000005</v>
      </c>
      <c r="Y87" s="2"/>
      <c r="Z87" s="7">
        <f t="shared" si="83"/>
        <v>0.82593653173413317</v>
      </c>
    </row>
    <row r="88" spans="1:26" s="24" customFormat="1" hidden="1" outlineLevel="2" x14ac:dyDescent="0.25">
      <c r="A88" s="26"/>
      <c r="B88" s="11" t="str">
        <f>CONCATENATE("          ", "6244", " - ", "SAFETY SUPPLY EXPENSE")</f>
        <v xml:space="preserve">          6244 - SAFETY SUPPLY EXPENSE</v>
      </c>
      <c r="C88" s="11"/>
      <c r="D88" s="6">
        <v>50</v>
      </c>
      <c r="E88" s="2"/>
      <c r="F88" s="7">
        <f t="shared" si="76"/>
        <v>0</v>
      </c>
      <c r="G88" s="2"/>
      <c r="H88" s="6">
        <v>417</v>
      </c>
      <c r="I88" s="2"/>
      <c r="J88" s="7">
        <f t="shared" si="77"/>
        <v>0</v>
      </c>
      <c r="K88" s="2"/>
      <c r="L88" s="6">
        <f t="shared" si="78"/>
        <v>-367</v>
      </c>
      <c r="M88" s="2"/>
      <c r="N88" s="7">
        <f t="shared" si="79"/>
        <v>-0.88009592326139086</v>
      </c>
      <c r="O88" s="11"/>
      <c r="P88" s="6">
        <v>1557.33</v>
      </c>
      <c r="Q88" s="2"/>
      <c r="R88" s="7">
        <f t="shared" si="80"/>
        <v>0</v>
      </c>
      <c r="S88" s="2"/>
      <c r="T88" s="6">
        <v>2502</v>
      </c>
      <c r="U88" s="2"/>
      <c r="V88" s="7">
        <f t="shared" si="81"/>
        <v>12.51</v>
      </c>
      <c r="W88" s="2"/>
      <c r="X88" s="6">
        <f t="shared" si="82"/>
        <v>-944.67000000000007</v>
      </c>
      <c r="Y88" s="2"/>
      <c r="Z88" s="7">
        <f t="shared" si="83"/>
        <v>-0.37756594724220627</v>
      </c>
    </row>
    <row r="89" spans="1:26" s="24" customFormat="1" hidden="1" outlineLevel="2" x14ac:dyDescent="0.25">
      <c r="A89" s="26"/>
      <c r="B89" s="11" t="str">
        <f>CONCATENATE("          ", "6245", " - ", "PRINTING")</f>
        <v xml:space="preserve">          6245 - PRINTING</v>
      </c>
      <c r="C89" s="11"/>
      <c r="D89" s="6">
        <v>63.72</v>
      </c>
      <c r="E89" s="2"/>
      <c r="F89" s="7">
        <f t="shared" si="76"/>
        <v>0</v>
      </c>
      <c r="G89" s="2"/>
      <c r="H89" s="6"/>
      <c r="I89" s="2"/>
      <c r="J89" s="7">
        <f t="shared" si="77"/>
        <v>0</v>
      </c>
      <c r="K89" s="2"/>
      <c r="L89" s="6">
        <f t="shared" si="78"/>
        <v>63.72</v>
      </c>
      <c r="M89" s="2"/>
      <c r="N89" s="7">
        <f t="shared" si="79"/>
        <v>0</v>
      </c>
      <c r="O89" s="11"/>
      <c r="P89" s="6">
        <v>3039.28</v>
      </c>
      <c r="Q89" s="2"/>
      <c r="R89" s="7">
        <f t="shared" si="80"/>
        <v>0</v>
      </c>
      <c r="S89" s="2"/>
      <c r="T89" s="6"/>
      <c r="U89" s="2"/>
      <c r="V89" s="7">
        <f t="shared" si="81"/>
        <v>0</v>
      </c>
      <c r="W89" s="2"/>
      <c r="X89" s="6">
        <f t="shared" si="82"/>
        <v>3039.28</v>
      </c>
      <c r="Y89" s="2"/>
      <c r="Z89" s="7">
        <f t="shared" si="83"/>
        <v>0</v>
      </c>
    </row>
    <row r="90" spans="1:26" s="25" customFormat="1" outlineLevel="1" collapsed="1" x14ac:dyDescent="0.25">
      <c r="A90" s="27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SUM(OSRRefD22_18x_0)</f>
        <v>3088.42</v>
      </c>
      <c r="E90" s="1"/>
      <c r="F90" s="5">
        <f t="shared" ref="F90:F92" si="84">IF(D$12=0,0,D90/D$12)</f>
        <v>0</v>
      </c>
      <c r="G90" s="1"/>
      <c r="H90" s="1">
        <f>SUM(OSRRefH22_18x_0)</f>
        <v>1630</v>
      </c>
      <c r="I90" s="1"/>
      <c r="J90" s="5">
        <f t="shared" ref="J90:J92" si="85">IF(H$12=0,0,H90/H$12)</f>
        <v>0</v>
      </c>
      <c r="K90" s="1"/>
      <c r="L90" s="1">
        <f t="shared" ref="L90:L92" si="86">+D90-H90</f>
        <v>1458.42</v>
      </c>
      <c r="M90" s="1"/>
      <c r="N90" s="5">
        <f t="shared" ref="N90:N92" si="87">IF(H90=0,0,L90/H90)</f>
        <v>0.89473619631901846</v>
      </c>
      <c r="O90" s="13"/>
      <c r="P90" s="1">
        <f>SUM(OSRRefP22_18x_0)</f>
        <v>16619.490000000002</v>
      </c>
      <c r="Q90" s="1"/>
      <c r="R90" s="5">
        <f t="shared" ref="R90:R92" si="88">IF(P$12=0,0,P90/P$12)</f>
        <v>0</v>
      </c>
      <c r="S90" s="1"/>
      <c r="T90" s="1">
        <f>SUM(OSRRefT22_18x_0)</f>
        <v>10180</v>
      </c>
      <c r="U90" s="1"/>
      <c r="V90" s="5">
        <f t="shared" ref="V90:V92" si="89">IF(T$12=0,0,T90/T$12)</f>
        <v>50.9</v>
      </c>
      <c r="W90" s="1"/>
      <c r="X90" s="1">
        <f t="shared" ref="X90:X92" si="90">+P90-T90</f>
        <v>6439.4900000000016</v>
      </c>
      <c r="Y90" s="1"/>
      <c r="Z90" s="5">
        <f t="shared" ref="Z90:Z92" si="91">IF(T90=0,0,X90/T90)</f>
        <v>0.63256286836935183</v>
      </c>
    </row>
    <row r="91" spans="1:26" s="24" customFormat="1" hidden="1" outlineLevel="2" x14ac:dyDescent="0.25">
      <c r="A91" s="26"/>
      <c r="B91" s="11" t="str">
        <f>CONCATENATE("          ", "6303", " - ", "DATA PHONE LINES")</f>
        <v xml:space="preserve">          6303 - DATA PHONE LINES</v>
      </c>
      <c r="C91" s="11"/>
      <c r="D91" s="6">
        <v>143.97999999999999</v>
      </c>
      <c r="E91" s="2"/>
      <c r="F91" s="7">
        <f t="shared" si="84"/>
        <v>0</v>
      </c>
      <c r="G91" s="2"/>
      <c r="H91" s="6">
        <v>200</v>
      </c>
      <c r="I91" s="2"/>
      <c r="J91" s="7">
        <f t="shared" si="85"/>
        <v>0</v>
      </c>
      <c r="K91" s="2"/>
      <c r="L91" s="6">
        <f t="shared" si="86"/>
        <v>-56.02000000000001</v>
      </c>
      <c r="M91" s="2"/>
      <c r="N91" s="7">
        <f t="shared" si="87"/>
        <v>-0.28010000000000007</v>
      </c>
      <c r="O91" s="11"/>
      <c r="P91" s="6">
        <v>1026.07</v>
      </c>
      <c r="Q91" s="2"/>
      <c r="R91" s="7">
        <f t="shared" si="88"/>
        <v>0</v>
      </c>
      <c r="S91" s="2"/>
      <c r="T91" s="6">
        <v>1300</v>
      </c>
      <c r="U91" s="2"/>
      <c r="V91" s="7">
        <f t="shared" si="89"/>
        <v>6.5</v>
      </c>
      <c r="W91" s="2"/>
      <c r="X91" s="6">
        <f t="shared" si="90"/>
        <v>-273.93000000000006</v>
      </c>
      <c r="Y91" s="2"/>
      <c r="Z91" s="7">
        <f t="shared" si="91"/>
        <v>-0.21071538461538467</v>
      </c>
    </row>
    <row r="92" spans="1:26" s="24" customFormat="1" hidden="1" outlineLevel="2" x14ac:dyDescent="0.25">
      <c r="A92" s="26"/>
      <c r="B92" s="11" t="str">
        <f>CONCATENATE("          ", "6309", " - ", "TELEPHONE")</f>
        <v xml:space="preserve">          6309 - TELEPHONE</v>
      </c>
      <c r="C92" s="11"/>
      <c r="D92" s="6">
        <v>2944.44</v>
      </c>
      <c r="E92" s="2"/>
      <c r="F92" s="7">
        <f t="shared" si="84"/>
        <v>0</v>
      </c>
      <c r="G92" s="2"/>
      <c r="H92" s="6">
        <v>1430</v>
      </c>
      <c r="I92" s="2"/>
      <c r="J92" s="7">
        <f t="shared" si="85"/>
        <v>0</v>
      </c>
      <c r="K92" s="2"/>
      <c r="L92" s="6">
        <f t="shared" si="86"/>
        <v>1514.44</v>
      </c>
      <c r="M92" s="2"/>
      <c r="N92" s="7">
        <f t="shared" si="87"/>
        <v>1.0590489510489511</v>
      </c>
      <c r="O92" s="11"/>
      <c r="P92" s="6">
        <v>15593.42</v>
      </c>
      <c r="Q92" s="2"/>
      <c r="R92" s="7">
        <f t="shared" si="88"/>
        <v>0</v>
      </c>
      <c r="S92" s="2"/>
      <c r="T92" s="6">
        <v>8880</v>
      </c>
      <c r="U92" s="2"/>
      <c r="V92" s="7">
        <f t="shared" si="89"/>
        <v>44.4</v>
      </c>
      <c r="W92" s="2"/>
      <c r="X92" s="6">
        <f t="shared" si="90"/>
        <v>6713.42</v>
      </c>
      <c r="Y92" s="2"/>
      <c r="Z92" s="7">
        <f t="shared" si="91"/>
        <v>0.75601576576576579</v>
      </c>
    </row>
    <row r="93" spans="1:26" s="25" customFormat="1" outlineLevel="1" collapsed="1" x14ac:dyDescent="0.25">
      <c r="A93" s="27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SUM(OSRRefD22_19x_0)</f>
        <v>524.22</v>
      </c>
      <c r="E93" s="1"/>
      <c r="F93" s="5">
        <f t="shared" ref="F93:F97" si="92">IF(D$12=0,0,D93/D$12)</f>
        <v>0</v>
      </c>
      <c r="G93" s="1"/>
      <c r="H93" s="1">
        <f>SUM(OSRRefH22_19x_0)</f>
        <v>1783</v>
      </c>
      <c r="I93" s="1"/>
      <c r="J93" s="5">
        <f t="shared" ref="J93:J97" si="93">IF(H$12=0,0,H93/H$12)</f>
        <v>0</v>
      </c>
      <c r="K93" s="1"/>
      <c r="L93" s="1">
        <f t="shared" ref="L93:L97" si="94">+D93-H93</f>
        <v>-1258.78</v>
      </c>
      <c r="M93" s="1"/>
      <c r="N93" s="5">
        <f t="shared" ref="N93:N97" si="95">IF(H93=0,0,L93/H93)</f>
        <v>-0.70598990465507572</v>
      </c>
      <c r="O93" s="13"/>
      <c r="P93" s="1">
        <f>SUM(OSRRefP22_19x_0)</f>
        <v>9614.7099999999991</v>
      </c>
      <c r="Q93" s="1"/>
      <c r="R93" s="5">
        <f t="shared" ref="R93:R97" si="96">IF(P$12=0,0,P93/P$12)</f>
        <v>0</v>
      </c>
      <c r="S93" s="1"/>
      <c r="T93" s="1">
        <f>SUM(OSRRefT22_19x_0)</f>
        <v>18898</v>
      </c>
      <c r="U93" s="1"/>
      <c r="V93" s="5">
        <f t="shared" ref="V93:V97" si="97">IF(T$12=0,0,T93/T$12)</f>
        <v>94.49</v>
      </c>
      <c r="W93" s="1"/>
      <c r="X93" s="1">
        <f t="shared" ref="X93:X97" si="98">+P93-T93</f>
        <v>-9283.2900000000009</v>
      </c>
      <c r="Y93" s="1"/>
      <c r="Z93" s="5">
        <f t="shared" ref="Z93:Z97" si="99">IF(T93=0,0,X93/T93)</f>
        <v>-0.49123134723251144</v>
      </c>
    </row>
    <row r="94" spans="1:26" s="24" customFormat="1" hidden="1" outlineLevel="2" x14ac:dyDescent="0.25">
      <c r="A94" s="26"/>
      <c r="B94" s="11" t="str">
        <f>CONCATENATE("          ", "6376", " - ", "TRAINING")</f>
        <v xml:space="preserve">          6376 - TRAINING</v>
      </c>
      <c r="C94" s="11"/>
      <c r="D94" s="6">
        <v>524.22</v>
      </c>
      <c r="E94" s="2"/>
      <c r="F94" s="7">
        <f t="shared" si="92"/>
        <v>0</v>
      </c>
      <c r="G94" s="2"/>
      <c r="H94" s="6">
        <v>1783</v>
      </c>
      <c r="I94" s="2"/>
      <c r="J94" s="7">
        <f t="shared" si="93"/>
        <v>0</v>
      </c>
      <c r="K94" s="2"/>
      <c r="L94" s="6">
        <f t="shared" si="94"/>
        <v>-1258.78</v>
      </c>
      <c r="M94" s="2"/>
      <c r="N94" s="7">
        <f t="shared" si="95"/>
        <v>-0.70598990465507572</v>
      </c>
      <c r="O94" s="11"/>
      <c r="P94" s="6">
        <v>9614.7099999999991</v>
      </c>
      <c r="Q94" s="2"/>
      <c r="R94" s="7">
        <f t="shared" si="96"/>
        <v>0</v>
      </c>
      <c r="S94" s="2"/>
      <c r="T94" s="6">
        <v>18898</v>
      </c>
      <c r="U94" s="2"/>
      <c r="V94" s="7">
        <f t="shared" si="97"/>
        <v>94.49</v>
      </c>
      <c r="W94" s="2"/>
      <c r="X94" s="6">
        <f t="shared" si="98"/>
        <v>-9283.2900000000009</v>
      </c>
      <c r="Y94" s="2"/>
      <c r="Z94" s="7">
        <f t="shared" si="99"/>
        <v>-0.49123134723251144</v>
      </c>
    </row>
    <row r="95" spans="1:26" s="25" customFormat="1" outlineLevel="1" collapsed="1" x14ac:dyDescent="0.25">
      <c r="A95" s="27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SUM(OSRRefD22_20x_0)</f>
        <v>59.95</v>
      </c>
      <c r="E95" s="1"/>
      <c r="F95" s="5">
        <f t="shared" si="92"/>
        <v>0</v>
      </c>
      <c r="G95" s="1"/>
      <c r="H95" s="1">
        <f>SUM(OSRRefH22_20x_0)</f>
        <v>3904</v>
      </c>
      <c r="I95" s="1"/>
      <c r="J95" s="5">
        <f t="shared" si="93"/>
        <v>0</v>
      </c>
      <c r="K95" s="1"/>
      <c r="L95" s="1">
        <f t="shared" si="94"/>
        <v>-3844.05</v>
      </c>
      <c r="M95" s="1"/>
      <c r="N95" s="5">
        <f t="shared" si="95"/>
        <v>-0.9846439549180328</v>
      </c>
      <c r="O95" s="13"/>
      <c r="P95" s="1">
        <f>SUM(OSRRefP22_20x_0)</f>
        <v>8920.6999999999989</v>
      </c>
      <c r="Q95" s="1"/>
      <c r="R95" s="5">
        <f t="shared" si="96"/>
        <v>0</v>
      </c>
      <c r="S95" s="1"/>
      <c r="T95" s="1">
        <f>SUM(OSRRefT22_20x_0)</f>
        <v>22629</v>
      </c>
      <c r="U95" s="1"/>
      <c r="V95" s="5">
        <f t="shared" si="97"/>
        <v>113.145</v>
      </c>
      <c r="W95" s="1"/>
      <c r="X95" s="1">
        <f t="shared" si="98"/>
        <v>-13708.300000000001</v>
      </c>
      <c r="Y95" s="1"/>
      <c r="Z95" s="5">
        <f t="shared" si="99"/>
        <v>-0.60578461266516426</v>
      </c>
    </row>
    <row r="96" spans="1:26" s="24" customFormat="1" hidden="1" outlineLevel="2" x14ac:dyDescent="0.25">
      <c r="A96" s="26"/>
      <c r="B96" s="11" t="str">
        <f>CONCATENATE("          ", "6292", " - ", "TRAVEL/CONFERENCE")</f>
        <v xml:space="preserve">          6292 - TRAVEL/CONFERENCE</v>
      </c>
      <c r="C96" s="11"/>
      <c r="D96" s="6">
        <v>59.95</v>
      </c>
      <c r="E96" s="2"/>
      <c r="F96" s="7">
        <f t="shared" si="92"/>
        <v>0</v>
      </c>
      <c r="G96" s="2"/>
      <c r="H96" s="6">
        <v>3904</v>
      </c>
      <c r="I96" s="2"/>
      <c r="J96" s="7">
        <f t="shared" si="93"/>
        <v>0</v>
      </c>
      <c r="K96" s="2"/>
      <c r="L96" s="6">
        <f t="shared" si="94"/>
        <v>-3844.05</v>
      </c>
      <c r="M96" s="2"/>
      <c r="N96" s="7">
        <f t="shared" si="95"/>
        <v>-0.9846439549180328</v>
      </c>
      <c r="O96" s="11"/>
      <c r="P96" s="6">
        <v>8896.7999999999993</v>
      </c>
      <c r="Q96" s="2"/>
      <c r="R96" s="7">
        <f t="shared" si="96"/>
        <v>0</v>
      </c>
      <c r="S96" s="2"/>
      <c r="T96" s="6">
        <v>21379</v>
      </c>
      <c r="U96" s="2"/>
      <c r="V96" s="7">
        <f t="shared" si="97"/>
        <v>106.895</v>
      </c>
      <c r="W96" s="2"/>
      <c r="X96" s="6">
        <f t="shared" si="98"/>
        <v>-12482.2</v>
      </c>
      <c r="Y96" s="2"/>
      <c r="Z96" s="7">
        <f t="shared" si="99"/>
        <v>-0.5838533139997194</v>
      </c>
    </row>
    <row r="97" spans="1:26" s="24" customFormat="1" hidden="1" outlineLevel="2" x14ac:dyDescent="0.25">
      <c r="A97" s="26"/>
      <c r="B97" s="11" t="str">
        <f>CONCATENATE("          ", "6294", " - ", "TRAVEL OPERATIONAL")</f>
        <v xml:space="preserve">          6294 - TRAVEL OPERATIONAL</v>
      </c>
      <c r="C97" s="11"/>
      <c r="D97" s="6"/>
      <c r="E97" s="2"/>
      <c r="F97" s="7">
        <f t="shared" si="92"/>
        <v>0</v>
      </c>
      <c r="G97" s="2"/>
      <c r="H97" s="6"/>
      <c r="I97" s="2"/>
      <c r="J97" s="7">
        <f t="shared" si="93"/>
        <v>0</v>
      </c>
      <c r="K97" s="2"/>
      <c r="L97" s="6">
        <f t="shared" si="94"/>
        <v>0</v>
      </c>
      <c r="M97" s="2"/>
      <c r="N97" s="7">
        <f t="shared" si="95"/>
        <v>0</v>
      </c>
      <c r="O97" s="11"/>
      <c r="P97" s="6">
        <v>23.9</v>
      </c>
      <c r="Q97" s="2"/>
      <c r="R97" s="7">
        <f t="shared" si="96"/>
        <v>0</v>
      </c>
      <c r="S97" s="2"/>
      <c r="T97" s="6">
        <v>1250</v>
      </c>
      <c r="U97" s="2"/>
      <c r="V97" s="7">
        <f t="shared" si="97"/>
        <v>6.25</v>
      </c>
      <c r="W97" s="2"/>
      <c r="X97" s="6">
        <f t="shared" si="98"/>
        <v>-1226.0999999999999</v>
      </c>
      <c r="Y97" s="2"/>
      <c r="Z97" s="7">
        <f t="shared" si="99"/>
        <v>-0.98087999999999997</v>
      </c>
    </row>
    <row r="98" spans="1:26" s="53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8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2">
        <f>+D17-D19+D99</f>
        <v>-248255.84</v>
      </c>
      <c r="E101" s="14"/>
      <c r="F101" s="20">
        <f>IF(D$12=0,0,D101/D$12)</f>
        <v>0</v>
      </c>
      <c r="G101" s="14"/>
      <c r="H101" s="22">
        <f>+H17-H19+H99</f>
        <v>-347040.75540137431</v>
      </c>
      <c r="I101" s="14"/>
      <c r="J101" s="20">
        <f>IF(H$12=0,0,H101/H$12)</f>
        <v>0</v>
      </c>
      <c r="K101" s="16"/>
      <c r="L101" s="22">
        <f>+D101-H101</f>
        <v>98784.91540137431</v>
      </c>
      <c r="M101" s="16"/>
      <c r="N101" s="20">
        <f>IF(H101=0,0,L101/H101)</f>
        <v>-0.28464932104911822</v>
      </c>
      <c r="O101" s="28"/>
      <c r="P101" s="22">
        <f>+P17-P19+P99</f>
        <v>-1952544.9799999997</v>
      </c>
      <c r="Q101" s="14"/>
      <c r="R101" s="20">
        <f>IF(P$12=0,0,P101/P$12)</f>
        <v>0</v>
      </c>
      <c r="S101" s="14"/>
      <c r="T101" s="22">
        <f>+T17-T19+T99</f>
        <v>-2435223.0478200489</v>
      </c>
      <c r="U101" s="14"/>
      <c r="V101" s="20">
        <f>IF(T$12=0,0,T101/T$12)</f>
        <v>-12176.115239100245</v>
      </c>
      <c r="W101" s="16"/>
      <c r="X101" s="22">
        <f>+P101-T101</f>
        <v>482678.06782004912</v>
      </c>
      <c r="Y101" s="16"/>
      <c r="Z101" s="20">
        <f>IF(T101=0,0,X101/T101)</f>
        <v>-0.19820692328455519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-248255.84</v>
      </c>
      <c r="E105" s="14"/>
      <c r="F105" s="32">
        <f>IF(D$12=0,0,D105/D$12)</f>
        <v>0</v>
      </c>
      <c r="G105" s="14"/>
      <c r="H105" s="31">
        <f>+H101-H103</f>
        <v>-347040.75540137431</v>
      </c>
      <c r="I105" s="14"/>
      <c r="J105" s="32">
        <f>IF(H$12=0,0,H105/H$12)</f>
        <v>0</v>
      </c>
      <c r="K105" s="16"/>
      <c r="L105" s="31">
        <f>D105-H105</f>
        <v>98784.91540137431</v>
      </c>
      <c r="M105" s="16"/>
      <c r="N105" s="32">
        <f>IF(H105=0,0,L105/H105)</f>
        <v>-0.28464932104911822</v>
      </c>
      <c r="O105" s="28"/>
      <c r="P105" s="31">
        <f>+P101-P103</f>
        <v>-1952544.9799999997</v>
      </c>
      <c r="Q105" s="14"/>
      <c r="R105" s="32">
        <f>IF(P$12=0,0,P105/P$12)</f>
        <v>0</v>
      </c>
      <c r="S105" s="14"/>
      <c r="T105" s="31">
        <f>+T101-T103</f>
        <v>-2435223.0478200489</v>
      </c>
      <c r="U105" s="14"/>
      <c r="V105" s="32">
        <f>IF(T$12=0,0,T105/T$12)</f>
        <v>-12176.115239100245</v>
      </c>
      <c r="W105" s="16"/>
      <c r="X105" s="31">
        <f>P105-T105</f>
        <v>482678.06782004912</v>
      </c>
      <c r="Y105" s="16"/>
      <c r="Z105" s="32">
        <f>IF(T105=0,0,X105/T105)</f>
        <v>-0.19820692328455519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5">
        <f>SUM(D105:D107)</f>
        <v>-248255.84</v>
      </c>
      <c r="E108" s="14"/>
      <c r="F108" s="34">
        <f>IF(D$12=0,0,D108/D$12)</f>
        <v>0</v>
      </c>
      <c r="G108" s="14"/>
      <c r="H108" s="35">
        <f>SUM(H105:H107)</f>
        <v>-347040.75540137431</v>
      </c>
      <c r="I108" s="14"/>
      <c r="J108" s="34">
        <f>IF(H$12=0,0,H108/H$12)</f>
        <v>0</v>
      </c>
      <c r="K108" s="16"/>
      <c r="L108" s="35">
        <f>+D108-H108</f>
        <v>98784.91540137431</v>
      </c>
      <c r="M108" s="16"/>
      <c r="N108" s="34">
        <f>IF(H108=0,0,L108/H108)</f>
        <v>-0.28464932104911822</v>
      </c>
      <c r="O108" s="28"/>
      <c r="P108" s="35">
        <f>SUM(P105:P107)</f>
        <v>-1952544.9799999997</v>
      </c>
      <c r="Q108" s="14"/>
      <c r="R108" s="34">
        <f>IF(P$12=0,0,P108/P$12)</f>
        <v>0</v>
      </c>
      <c r="S108" s="14"/>
      <c r="T108" s="35">
        <f>SUM(T105:T107)</f>
        <v>-2435223.0478200489</v>
      </c>
      <c r="U108" s="14"/>
      <c r="V108" s="34">
        <f>IF(T$12=0,0,T108/T$12)</f>
        <v>-12176.115239100245</v>
      </c>
      <c r="W108" s="16"/>
      <c r="X108" s="35">
        <f>+P108-T108</f>
        <v>482678.06782004912</v>
      </c>
      <c r="Y108" s="16"/>
      <c r="Z108" s="34">
        <f>IF(T108=0,0,X108/T108)</f>
        <v>-0.19820692328455519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3">
        <v>43847.445341863429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5" t="s">
        <v>314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6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33499.08</v>
      </c>
      <c r="E18" s="21"/>
      <c r="F18" s="30">
        <f t="shared" ref="F18:F29" si="0">IF(D$12=0,0,D18/D$12)</f>
        <v>0</v>
      </c>
      <c r="G18" s="21"/>
      <c r="H18" s="21">
        <f>SUM(OSRRefH22x_0)</f>
        <v>49500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-16000.919999999998</v>
      </c>
      <c r="M18" s="4"/>
      <c r="N18" s="30">
        <f t="shared" ref="N18:N29" si="3">IF(H18=0,0,L18/H18)</f>
        <v>-0.32325090909090903</v>
      </c>
      <c r="O18" s="10"/>
      <c r="P18" s="21">
        <f>SUM(OSRRefP22x_0)</f>
        <v>352611.27</v>
      </c>
      <c r="Q18" s="21"/>
      <c r="R18" s="30">
        <f t="shared" ref="R18:R29" si="4">IF(P$12=0,0,P18/P$12)</f>
        <v>0</v>
      </c>
      <c r="S18" s="21"/>
      <c r="T18" s="21">
        <f>SUM(OSRRefT22x_0)</f>
        <v>432000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-79388.729999999981</v>
      </c>
      <c r="Y18" s="4"/>
      <c r="Z18" s="30">
        <f t="shared" ref="Z18:Z29" si="7">IF(T18=0,0,X18/T18)</f>
        <v>-0.1837702083333333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29195.759999999998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-9804.2400000000016</v>
      </c>
      <c r="M19" s="1"/>
      <c r="N19" s="5">
        <f t="shared" si="3"/>
        <v>-0.25139076923076925</v>
      </c>
      <c r="O19" s="13"/>
      <c r="P19" s="1">
        <f>SUM(OSRRefP22_0x_0)</f>
        <v>175624.88</v>
      </c>
      <c r="Q19" s="1"/>
      <c r="R19" s="5">
        <f t="shared" si="4"/>
        <v>0</v>
      </c>
      <c r="S19" s="1"/>
      <c r="T19" s="1">
        <f>SUM(OSRRefT22_0x_0)</f>
        <v>235300</v>
      </c>
      <c r="U19" s="1"/>
      <c r="V19" s="5">
        <f t="shared" si="5"/>
        <v>0</v>
      </c>
      <c r="W19" s="1"/>
      <c r="X19" s="1">
        <f t="shared" si="6"/>
        <v>-59675.119999999995</v>
      </c>
      <c r="Y19" s="1"/>
      <c r="Z19" s="5">
        <f t="shared" si="7"/>
        <v>-0.25361291967700805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29195.759999999998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-9804.2400000000016</v>
      </c>
      <c r="M20" s="2"/>
      <c r="N20" s="7">
        <f t="shared" si="3"/>
        <v>-0.25139076923076925</v>
      </c>
      <c r="O20" s="11"/>
      <c r="P20" s="6">
        <v>175624.88</v>
      </c>
      <c r="Q20" s="2"/>
      <c r="R20" s="7">
        <f t="shared" si="4"/>
        <v>0</v>
      </c>
      <c r="S20" s="2"/>
      <c r="T20" s="6">
        <v>235300</v>
      </c>
      <c r="U20" s="2"/>
      <c r="V20" s="7">
        <f t="shared" si="5"/>
        <v>0</v>
      </c>
      <c r="W20" s="2"/>
      <c r="X20" s="6">
        <f t="shared" si="6"/>
        <v>-59675.119999999995</v>
      </c>
      <c r="Y20" s="2"/>
      <c r="Z20" s="7">
        <f t="shared" si="7"/>
        <v>-0.25361291967700805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1670.48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-329.52</v>
      </c>
      <c r="M21" s="1"/>
      <c r="N21" s="5">
        <f t="shared" si="3"/>
        <v>-0.16475999999999999</v>
      </c>
      <c r="O21" s="13"/>
      <c r="P21" s="1">
        <f>SUM(OSRRefP22_1x_0)</f>
        <v>24427.200000000001</v>
      </c>
      <c r="Q21" s="1"/>
      <c r="R21" s="5">
        <f t="shared" si="4"/>
        <v>0</v>
      </c>
      <c r="S21" s="1"/>
      <c r="T21" s="1">
        <f>SUM(OSRRefT22_1x_0)</f>
        <v>36000</v>
      </c>
      <c r="U21" s="1"/>
      <c r="V21" s="5">
        <f t="shared" si="5"/>
        <v>0</v>
      </c>
      <c r="W21" s="1"/>
      <c r="X21" s="1">
        <f t="shared" si="6"/>
        <v>-11572.8</v>
      </c>
      <c r="Y21" s="1"/>
      <c r="Z21" s="5">
        <f t="shared" si="7"/>
        <v>-0.32146666666666662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1670.48</v>
      </c>
      <c r="E22" s="2"/>
      <c r="F22" s="7">
        <f t="shared" si="0"/>
        <v>0</v>
      </c>
      <c r="G22" s="2"/>
      <c r="H22" s="6">
        <v>2000</v>
      </c>
      <c r="I22" s="2"/>
      <c r="J22" s="7">
        <f t="shared" si="1"/>
        <v>0</v>
      </c>
      <c r="K22" s="2"/>
      <c r="L22" s="6">
        <f t="shared" si="2"/>
        <v>-329.52</v>
      </c>
      <c r="M22" s="2"/>
      <c r="N22" s="7">
        <f t="shared" si="3"/>
        <v>-0.16475999999999999</v>
      </c>
      <c r="O22" s="11"/>
      <c r="P22" s="6">
        <v>24427.200000000001</v>
      </c>
      <c r="Q22" s="2"/>
      <c r="R22" s="7">
        <f t="shared" si="4"/>
        <v>0</v>
      </c>
      <c r="S22" s="2"/>
      <c r="T22" s="6">
        <v>36000</v>
      </c>
      <c r="U22" s="2"/>
      <c r="V22" s="7">
        <f t="shared" si="5"/>
        <v>0</v>
      </c>
      <c r="W22" s="2"/>
      <c r="X22" s="6">
        <f t="shared" si="6"/>
        <v>-11572.8</v>
      </c>
      <c r="Y22" s="2"/>
      <c r="Z22" s="7">
        <f t="shared" si="7"/>
        <v>-0.32146666666666662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2632.84</v>
      </c>
      <c r="E23" s="1"/>
      <c r="F23" s="5">
        <f t="shared" si="0"/>
        <v>0</v>
      </c>
      <c r="G23" s="1"/>
      <c r="H23" s="1">
        <f>SUM(OSRRefH22_2x_0)</f>
        <v>5500</v>
      </c>
      <c r="I23" s="1"/>
      <c r="J23" s="5">
        <f t="shared" si="1"/>
        <v>0</v>
      </c>
      <c r="K23" s="1"/>
      <c r="L23" s="1">
        <f t="shared" si="2"/>
        <v>-2867.16</v>
      </c>
      <c r="M23" s="1"/>
      <c r="N23" s="5">
        <f t="shared" si="3"/>
        <v>-0.5213018181818182</v>
      </c>
      <c r="O23" s="13"/>
      <c r="P23" s="1">
        <f>SUM(OSRRefP22_2x_0)</f>
        <v>16797.95</v>
      </c>
      <c r="Q23" s="1"/>
      <c r="R23" s="5">
        <f t="shared" si="4"/>
        <v>0</v>
      </c>
      <c r="S23" s="1"/>
      <c r="T23" s="1">
        <f>SUM(OSRRefT22_2x_0)</f>
        <v>20200</v>
      </c>
      <c r="U23" s="1"/>
      <c r="V23" s="5">
        <f t="shared" si="5"/>
        <v>0</v>
      </c>
      <c r="W23" s="1"/>
      <c r="X23" s="1">
        <f t="shared" si="6"/>
        <v>-3402.0499999999993</v>
      </c>
      <c r="Y23" s="1"/>
      <c r="Z23" s="5">
        <f t="shared" si="7"/>
        <v>-0.16841831683168312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2632.84</v>
      </c>
      <c r="E24" s="2"/>
      <c r="F24" s="7">
        <f t="shared" si="0"/>
        <v>0</v>
      </c>
      <c r="G24" s="2"/>
      <c r="H24" s="6">
        <v>5500</v>
      </c>
      <c r="I24" s="2"/>
      <c r="J24" s="7">
        <f t="shared" si="1"/>
        <v>0</v>
      </c>
      <c r="K24" s="2"/>
      <c r="L24" s="6">
        <f t="shared" si="2"/>
        <v>-2867.16</v>
      </c>
      <c r="M24" s="2"/>
      <c r="N24" s="7">
        <f t="shared" si="3"/>
        <v>-0.5213018181818182</v>
      </c>
      <c r="O24" s="11"/>
      <c r="P24" s="6">
        <v>16797.95</v>
      </c>
      <c r="Q24" s="2"/>
      <c r="R24" s="7">
        <f t="shared" si="4"/>
        <v>0</v>
      </c>
      <c r="S24" s="2"/>
      <c r="T24" s="6">
        <v>20200</v>
      </c>
      <c r="U24" s="2"/>
      <c r="V24" s="7">
        <f t="shared" si="5"/>
        <v>0</v>
      </c>
      <c r="W24" s="2"/>
      <c r="X24" s="6">
        <f t="shared" si="6"/>
        <v>-3402.0499999999993</v>
      </c>
      <c r="Y24" s="2"/>
      <c r="Z24" s="7">
        <f t="shared" si="7"/>
        <v>-0.16841831683168312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97500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3000</v>
      </c>
      <c r="I27" s="1"/>
      <c r="J27" s="5">
        <f t="shared" si="1"/>
        <v>0</v>
      </c>
      <c r="K27" s="1"/>
      <c r="L27" s="1">
        <f t="shared" si="2"/>
        <v>-3000</v>
      </c>
      <c r="M27" s="1"/>
      <c r="N27" s="5">
        <f t="shared" si="3"/>
        <v>-1</v>
      </c>
      <c r="O27" s="13"/>
      <c r="P27" s="1">
        <f>SUM(OSRRefP22_4x_0)</f>
        <v>38261.24</v>
      </c>
      <c r="Q27" s="1"/>
      <c r="R27" s="5">
        <f t="shared" si="4"/>
        <v>0</v>
      </c>
      <c r="S27" s="1"/>
      <c r="T27" s="1">
        <f>SUM(OSRRefT22_4x_0)</f>
        <v>43000</v>
      </c>
      <c r="U27" s="1"/>
      <c r="V27" s="5">
        <f t="shared" si="5"/>
        <v>0</v>
      </c>
      <c r="W27" s="1"/>
      <c r="X27" s="1">
        <f t="shared" si="6"/>
        <v>-4738.760000000002</v>
      </c>
      <c r="Y27" s="1"/>
      <c r="Z27" s="5">
        <f t="shared" si="7"/>
        <v>-0.1102037209302326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23199</v>
      </c>
      <c r="Q28" s="2"/>
      <c r="R28" s="7">
        <f t="shared" si="4"/>
        <v>0</v>
      </c>
      <c r="S28" s="2"/>
      <c r="T28" s="6">
        <v>25000</v>
      </c>
      <c r="U28" s="2"/>
      <c r="V28" s="7">
        <f t="shared" si="5"/>
        <v>0</v>
      </c>
      <c r="W28" s="2"/>
      <c r="X28" s="6">
        <f t="shared" si="6"/>
        <v>-1801</v>
      </c>
      <c r="Y28" s="2"/>
      <c r="Z28" s="7">
        <f t="shared" si="7"/>
        <v>-7.2040000000000007E-2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3000</v>
      </c>
      <c r="I29" s="2"/>
      <c r="J29" s="7">
        <f t="shared" si="1"/>
        <v>0</v>
      </c>
      <c r="K29" s="2"/>
      <c r="L29" s="6">
        <f t="shared" si="2"/>
        <v>-3000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18000</v>
      </c>
      <c r="U29" s="2"/>
      <c r="V29" s="7">
        <f t="shared" si="5"/>
        <v>0</v>
      </c>
      <c r="W29" s="2"/>
      <c r="X29" s="6">
        <f t="shared" si="6"/>
        <v>-2937.76</v>
      </c>
      <c r="Y29" s="2"/>
      <c r="Z29" s="7">
        <f t="shared" si="7"/>
        <v>-0.1632088888888889</v>
      </c>
    </row>
    <row r="30" spans="1:26" s="53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2">
        <f>+D16-D18+D31</f>
        <v>-33499.08</v>
      </c>
      <c r="E33" s="14"/>
      <c r="F33" s="20">
        <f>IF(D$12=0,0,D33/D$12)</f>
        <v>0</v>
      </c>
      <c r="G33" s="14"/>
      <c r="H33" s="22">
        <f>+H16-H18+H31</f>
        <v>-49500</v>
      </c>
      <c r="I33" s="14"/>
      <c r="J33" s="20">
        <f>IF(H$12=0,0,H33/H$12)</f>
        <v>0</v>
      </c>
      <c r="K33" s="16"/>
      <c r="L33" s="22">
        <f>+D33-H33</f>
        <v>16000.919999999998</v>
      </c>
      <c r="M33" s="16"/>
      <c r="N33" s="20">
        <f>IF(H33=0,0,L33/H33)</f>
        <v>-0.32325090909090903</v>
      </c>
      <c r="O33" s="28"/>
      <c r="P33" s="22">
        <f>+P16-P18+P31</f>
        <v>-352611.27</v>
      </c>
      <c r="Q33" s="14"/>
      <c r="R33" s="20">
        <f>IF(P$12=0,0,P33/P$12)</f>
        <v>0</v>
      </c>
      <c r="S33" s="14"/>
      <c r="T33" s="22">
        <f>+T16-T18+T31</f>
        <v>-432000</v>
      </c>
      <c r="U33" s="14"/>
      <c r="V33" s="20">
        <f>IF(T$12=0,0,T33/T$12)</f>
        <v>0</v>
      </c>
      <c r="W33" s="16"/>
      <c r="X33" s="22">
        <f>+P33-T33</f>
        <v>79388.729999999981</v>
      </c>
      <c r="Y33" s="16"/>
      <c r="Z33" s="20">
        <f>IF(T33=0,0,X33/T33)</f>
        <v>-0.1837702083333333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1">
        <f>+D33-D35</f>
        <v>-33499.08</v>
      </c>
      <c r="E37" s="14"/>
      <c r="F37" s="32">
        <f>IF(D$12=0,0,D37/D$12)</f>
        <v>0</v>
      </c>
      <c r="G37" s="14"/>
      <c r="H37" s="31">
        <f>+H33-H35</f>
        <v>-49500</v>
      </c>
      <c r="I37" s="14"/>
      <c r="J37" s="32">
        <f>IF(H$12=0,0,H37/H$12)</f>
        <v>0</v>
      </c>
      <c r="K37" s="16"/>
      <c r="L37" s="31">
        <f>D37-H37</f>
        <v>16000.919999999998</v>
      </c>
      <c r="M37" s="16"/>
      <c r="N37" s="32">
        <f>IF(H37=0,0,L37/H37)</f>
        <v>-0.32325090909090903</v>
      </c>
      <c r="O37" s="28"/>
      <c r="P37" s="31">
        <f>+P33-P35</f>
        <v>-352611.27</v>
      </c>
      <c r="Q37" s="14"/>
      <c r="R37" s="32">
        <f>IF(P$12=0,0,P37/P$12)</f>
        <v>0</v>
      </c>
      <c r="S37" s="14"/>
      <c r="T37" s="31">
        <f>+T33-T35</f>
        <v>-432000</v>
      </c>
      <c r="U37" s="14"/>
      <c r="V37" s="32">
        <f>IF(T$12=0,0,T37/T$12)</f>
        <v>0</v>
      </c>
      <c r="W37" s="16"/>
      <c r="X37" s="31">
        <f>P37-T37</f>
        <v>79388.729999999981</v>
      </c>
      <c r="Y37" s="16"/>
      <c r="Z37" s="32">
        <f>IF(T37=0,0,X37/T37)</f>
        <v>-0.1837702083333333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5">
        <f>SUM(D37:D39)</f>
        <v>-33499.08</v>
      </c>
      <c r="E40" s="14"/>
      <c r="F40" s="34">
        <f>IF(D$12=0,0,D40/D$12)</f>
        <v>0</v>
      </c>
      <c r="G40" s="14"/>
      <c r="H40" s="35">
        <f>SUM(H37:H39)</f>
        <v>-49500</v>
      </c>
      <c r="I40" s="14"/>
      <c r="J40" s="34">
        <f>IF(H$12=0,0,H40/H$12)</f>
        <v>0</v>
      </c>
      <c r="K40" s="16"/>
      <c r="L40" s="35">
        <f>+D40-H40</f>
        <v>16000.919999999998</v>
      </c>
      <c r="M40" s="16"/>
      <c r="N40" s="34">
        <f>IF(H40=0,0,L40/H40)</f>
        <v>-0.32325090909090903</v>
      </c>
      <c r="O40" s="28"/>
      <c r="P40" s="35">
        <f>SUM(P37:P39)</f>
        <v>-352611.27</v>
      </c>
      <c r="Q40" s="14"/>
      <c r="R40" s="34">
        <f>IF(P$12=0,0,P40/P$12)</f>
        <v>0</v>
      </c>
      <c r="S40" s="14"/>
      <c r="T40" s="35">
        <f>SUM(T37:T39)</f>
        <v>-432000</v>
      </c>
      <c r="U40" s="14"/>
      <c r="V40" s="34">
        <f>IF(T$12=0,0,T40/T$12)</f>
        <v>0</v>
      </c>
      <c r="W40" s="16"/>
      <c r="X40" s="35">
        <f>+P40-T40</f>
        <v>79388.729999999981</v>
      </c>
      <c r="Y40" s="16"/>
      <c r="Z40" s="34">
        <f>IF(T40=0,0,X40/T40)</f>
        <v>-0.1837702083333333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63">
        <v>43847.445667245367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5" t="s">
        <v>314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6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36311.929999999993</v>
      </c>
      <c r="E18" s="21"/>
      <c r="F18" s="30">
        <f t="shared" ref="F18:F28" si="0">IF(D$12=0,0,D18/D$12)</f>
        <v>0</v>
      </c>
      <c r="G18" s="21"/>
      <c r="H18" s="21">
        <f>SUM(OSRRefH22x_0)</f>
        <v>94546.394416923053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-58234.46441692306</v>
      </c>
      <c r="M18" s="4"/>
      <c r="N18" s="30">
        <f t="shared" ref="N18:N28" si="3">IF(H18=0,0,L18/H18)</f>
        <v>-0.6159353275824081</v>
      </c>
      <c r="O18" s="10"/>
      <c r="P18" s="21">
        <f>SUM(OSRRefP22x_0)</f>
        <v>436974.30000000005</v>
      </c>
      <c r="Q18" s="21"/>
      <c r="R18" s="30">
        <f t="shared" ref="R18:R28" si="4">IF(P$12=0,0,P18/P$12)</f>
        <v>0</v>
      </c>
      <c r="S18" s="21"/>
      <c r="T18" s="21">
        <f>SUM(OSRRefT22x_0)</f>
        <v>771488.0637099999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-334513.76370999985</v>
      </c>
      <c r="Y18" s="4"/>
      <c r="Z18" s="30">
        <f t="shared" ref="Z18:Z28" si="7">IF(T18=0,0,X18/T18)</f>
        <v>-0.43359551423434933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9763.4299999999985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-3353.9951861538575</v>
      </c>
      <c r="M19" s="1"/>
      <c r="N19" s="5">
        <f t="shared" si="3"/>
        <v>-0.25569005643685155</v>
      </c>
      <c r="O19" s="13"/>
      <c r="P19" s="1">
        <f>SUM(OSRRefP22_0x_0)</f>
        <v>98108.61</v>
      </c>
      <c r="Q19" s="1"/>
      <c r="R19" s="5">
        <f t="shared" si="4"/>
        <v>0</v>
      </c>
      <c r="S19" s="1"/>
      <c r="T19" s="1">
        <f>SUM(OSRRefT22_0x_0)</f>
        <v>82893.763710000043</v>
      </c>
      <c r="U19" s="1"/>
      <c r="V19" s="5">
        <f t="shared" si="5"/>
        <v>0</v>
      </c>
      <c r="W19" s="1"/>
      <c r="X19" s="1">
        <f t="shared" si="6"/>
        <v>15214.846289999958</v>
      </c>
      <c r="Y19" s="1"/>
      <c r="Z19" s="5">
        <f t="shared" si="7"/>
        <v>0.18354633218523395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1109.56</v>
      </c>
      <c r="E20" s="2"/>
      <c r="F20" s="7">
        <f t="shared" si="0"/>
        <v>0</v>
      </c>
      <c r="G20" s="2"/>
      <c r="H20" s="6">
        <v>2387.8184169230799</v>
      </c>
      <c r="I20" s="2"/>
      <c r="J20" s="7">
        <f t="shared" si="1"/>
        <v>0</v>
      </c>
      <c r="K20" s="2"/>
      <c r="L20" s="6">
        <f t="shared" si="2"/>
        <v>-1278.2584169230799</v>
      </c>
      <c r="M20" s="2"/>
      <c r="N20" s="7">
        <f t="shared" si="3"/>
        <v>-0.53532480018737416</v>
      </c>
      <c r="O20" s="11"/>
      <c r="P20" s="6">
        <v>12915.61</v>
      </c>
      <c r="Q20" s="2"/>
      <c r="R20" s="7">
        <f t="shared" si="4"/>
        <v>0</v>
      </c>
      <c r="S20" s="2"/>
      <c r="T20" s="6">
        <v>15520.819710000022</v>
      </c>
      <c r="U20" s="2"/>
      <c r="V20" s="7">
        <f t="shared" si="5"/>
        <v>0</v>
      </c>
      <c r="W20" s="2"/>
      <c r="X20" s="6">
        <f t="shared" si="6"/>
        <v>-2605.209710000021</v>
      </c>
      <c r="Y20" s="2"/>
      <c r="Z20" s="7">
        <f t="shared" si="7"/>
        <v>-0.1678525850230379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104</v>
      </c>
      <c r="E21" s="2"/>
      <c r="F21" s="7">
        <f t="shared" si="0"/>
        <v>0</v>
      </c>
      <c r="G21" s="2"/>
      <c r="H21" s="6">
        <v>106.08366153846201</v>
      </c>
      <c r="I21" s="2"/>
      <c r="J21" s="7">
        <f t="shared" si="1"/>
        <v>0</v>
      </c>
      <c r="K21" s="2"/>
      <c r="L21" s="6">
        <f t="shared" si="2"/>
        <v>-2.0836615384620103</v>
      </c>
      <c r="M21" s="2"/>
      <c r="N21" s="7">
        <f t="shared" si="3"/>
        <v>-1.964168193522008E-2</v>
      </c>
      <c r="O21" s="11"/>
      <c r="P21" s="6">
        <v>845.57</v>
      </c>
      <c r="Q21" s="2"/>
      <c r="R21" s="7">
        <f t="shared" si="4"/>
        <v>0</v>
      </c>
      <c r="S21" s="2"/>
      <c r="T21" s="6">
        <v>689.54380000000208</v>
      </c>
      <c r="U21" s="2"/>
      <c r="V21" s="7">
        <f t="shared" si="5"/>
        <v>0</v>
      </c>
      <c r="W21" s="2"/>
      <c r="X21" s="6">
        <f t="shared" si="6"/>
        <v>156.02619999999797</v>
      </c>
      <c r="Y21" s="2"/>
      <c r="Z21" s="7">
        <f t="shared" si="7"/>
        <v>0.22627453107401951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-889.15999999999985</v>
      </c>
      <c r="M22" s="2"/>
      <c r="N22" s="7">
        <f t="shared" si="3"/>
        <v>-0.18762608145178306</v>
      </c>
      <c r="O22" s="11"/>
      <c r="P22" s="6">
        <v>25139.86</v>
      </c>
      <c r="Q22" s="2"/>
      <c r="R22" s="7">
        <f t="shared" si="4"/>
        <v>0</v>
      </c>
      <c r="S22" s="2"/>
      <c r="T22" s="6">
        <v>28434</v>
      </c>
      <c r="U22" s="2"/>
      <c r="V22" s="7">
        <f t="shared" si="5"/>
        <v>0</v>
      </c>
      <c r="W22" s="2"/>
      <c r="X22" s="6">
        <f t="shared" si="6"/>
        <v>-3294.1399999999994</v>
      </c>
      <c r="Y22" s="2"/>
      <c r="Z22" s="7">
        <f t="shared" si="7"/>
        <v>-0.11585214883590066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79.53</v>
      </c>
      <c r="E23" s="2"/>
      <c r="F23" s="7">
        <f t="shared" si="0"/>
        <v>0</v>
      </c>
      <c r="G23" s="2"/>
      <c r="H23" s="6">
        <v>81.122799999999998</v>
      </c>
      <c r="I23" s="2"/>
      <c r="J23" s="7">
        <f t="shared" si="1"/>
        <v>0</v>
      </c>
      <c r="K23" s="2"/>
      <c r="L23" s="6">
        <f t="shared" si="2"/>
        <v>-1.5927999999999969</v>
      </c>
      <c r="M23" s="2"/>
      <c r="N23" s="7">
        <f t="shared" si="3"/>
        <v>-1.9634430764224078E-2</v>
      </c>
      <c r="O23" s="11"/>
      <c r="P23" s="6">
        <v>803.3</v>
      </c>
      <c r="Q23" s="2"/>
      <c r="R23" s="7">
        <f t="shared" si="4"/>
        <v>0</v>
      </c>
      <c r="S23" s="2"/>
      <c r="T23" s="6">
        <v>527.29819999999995</v>
      </c>
      <c r="U23" s="2"/>
      <c r="V23" s="7">
        <f t="shared" si="5"/>
        <v>0</v>
      </c>
      <c r="W23" s="2"/>
      <c r="X23" s="6">
        <f t="shared" si="6"/>
        <v>276.0018</v>
      </c>
      <c r="Y23" s="2"/>
      <c r="Z23" s="7">
        <f t="shared" si="7"/>
        <v>0.52342640274516394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-784.72261538462021</v>
      </c>
      <c r="M24" s="2"/>
      <c r="N24" s="7">
        <f t="shared" si="3"/>
        <v>-0.29244764841725579</v>
      </c>
      <c r="O24" s="11"/>
      <c r="P24" s="6">
        <v>19708.57</v>
      </c>
      <c r="Q24" s="2"/>
      <c r="R24" s="7">
        <f t="shared" si="4"/>
        <v>0</v>
      </c>
      <c r="S24" s="2"/>
      <c r="T24" s="6">
        <v>17441.40200000002</v>
      </c>
      <c r="U24" s="2"/>
      <c r="V24" s="7">
        <f t="shared" si="5"/>
        <v>0</v>
      </c>
      <c r="W24" s="2"/>
      <c r="X24" s="6">
        <f t="shared" si="6"/>
        <v>2267.1679999999797</v>
      </c>
      <c r="Y24" s="2"/>
      <c r="Z24" s="7">
        <f t="shared" si="7"/>
        <v>0.12998771543709486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-825.48153846153969</v>
      </c>
      <c r="M26" s="2"/>
      <c r="N26" s="7">
        <f t="shared" si="3"/>
        <v>-0.33732756035505485</v>
      </c>
      <c r="O26" s="11"/>
      <c r="P26" s="6">
        <v>16509.18</v>
      </c>
      <c r="Q26" s="2"/>
      <c r="R26" s="7">
        <f t="shared" si="4"/>
        <v>0</v>
      </c>
      <c r="S26" s="2"/>
      <c r="T26" s="6">
        <v>15906.289999999999</v>
      </c>
      <c r="U26" s="2"/>
      <c r="V26" s="7">
        <f t="shared" si="5"/>
        <v>0</v>
      </c>
      <c r="W26" s="2"/>
      <c r="X26" s="6">
        <f t="shared" si="6"/>
        <v>602.89000000000124</v>
      </c>
      <c r="Y26" s="2"/>
      <c r="Z26" s="7">
        <f t="shared" si="7"/>
        <v>3.7902615883402178E-2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183.81384615384593</v>
      </c>
      <c r="M27" s="2"/>
      <c r="N27" s="7">
        <f t="shared" si="3"/>
        <v>0.27313169090231554</v>
      </c>
      <c r="O27" s="11"/>
      <c r="P27" s="6">
        <v>20399.599999999999</v>
      </c>
      <c r="Q27" s="2"/>
      <c r="R27" s="7">
        <f t="shared" si="4"/>
        <v>0</v>
      </c>
      <c r="S27" s="2"/>
      <c r="T27" s="6">
        <v>4374.41</v>
      </c>
      <c r="U27" s="2"/>
      <c r="V27" s="7">
        <f t="shared" si="5"/>
        <v>0</v>
      </c>
      <c r="W27" s="2"/>
      <c r="X27" s="6">
        <f t="shared" si="6"/>
        <v>16025.189999999999</v>
      </c>
      <c r="Y27" s="2"/>
      <c r="Z27" s="7">
        <f t="shared" si="7"/>
        <v>3.6633946063583429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243.49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243.49</v>
      </c>
      <c r="M28" s="2"/>
      <c r="N28" s="7">
        <f t="shared" si="3"/>
        <v>0</v>
      </c>
      <c r="O28" s="11"/>
      <c r="P28" s="6">
        <v>1786.92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1786.92</v>
      </c>
      <c r="Y28" s="2"/>
      <c r="Z28" s="7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20416.13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-7664.8392307691902</v>
      </c>
      <c r="M29" s="1"/>
      <c r="N29" s="5">
        <f t="shared" ref="N29:N39" si="11">IF(H29=0,0,L29/H29)</f>
        <v>-0.27295493854858072</v>
      </c>
      <c r="O29" s="13"/>
      <c r="P29" s="1">
        <f>SUM(OSRRefP22_1x_0)</f>
        <v>80110.100000000006</v>
      </c>
      <c r="Q29" s="1"/>
      <c r="R29" s="5">
        <f t="shared" ref="R29:R39" si="12">IF(P$12=0,0,P29/P$12)</f>
        <v>0</v>
      </c>
      <c r="S29" s="1"/>
      <c r="T29" s="1">
        <f>SUM(OSRRefT22_1x_0)</f>
        <v>182526.29999999981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-102416.19999999981</v>
      </c>
      <c r="Y29" s="1"/>
      <c r="Z29" s="5">
        <f t="shared" ref="Z29:Z39" si="15">IF(T29=0,0,X29/T29)</f>
        <v>-0.56110379709663705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-9533.8738461537996</v>
      </c>
      <c r="M30" s="2"/>
      <c r="N30" s="7">
        <f t="shared" si="11"/>
        <v>-0.40271233802523893</v>
      </c>
      <c r="O30" s="11"/>
      <c r="P30" s="6">
        <v>95957.14</v>
      </c>
      <c r="Q30" s="2"/>
      <c r="R30" s="7">
        <f t="shared" si="12"/>
        <v>0</v>
      </c>
      <c r="S30" s="2"/>
      <c r="T30" s="6">
        <v>153881.9999999998</v>
      </c>
      <c r="U30" s="2"/>
      <c r="V30" s="7">
        <f t="shared" si="13"/>
        <v>0</v>
      </c>
      <c r="W30" s="2"/>
      <c r="X30" s="6">
        <f t="shared" si="14"/>
        <v>-57924.859999999797</v>
      </c>
      <c r="Y30" s="2"/>
      <c r="Z30" s="7">
        <f t="shared" si="15"/>
        <v>-0.37642388323520537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4651.66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244.84461538460982</v>
      </c>
      <c r="M31" s="2"/>
      <c r="N31" s="7">
        <f t="shared" si="11"/>
        <v>5.5560443089897882E-2</v>
      </c>
      <c r="O31" s="11"/>
      <c r="P31" s="6">
        <v>28644.43</v>
      </c>
      <c r="Q31" s="2"/>
      <c r="R31" s="7">
        <f t="shared" si="12"/>
        <v>0</v>
      </c>
      <c r="S31" s="2"/>
      <c r="T31" s="6">
        <v>28644.300000000021</v>
      </c>
      <c r="U31" s="2"/>
      <c r="V31" s="7">
        <f t="shared" si="13"/>
        <v>0</v>
      </c>
      <c r="W31" s="2"/>
      <c r="X31" s="6">
        <f t="shared" si="14"/>
        <v>0.12999999997919076</v>
      </c>
      <c r="Y31" s="2"/>
      <c r="Z31" s="7">
        <f t="shared" si="15"/>
        <v>4.5384247469545657E-6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1624.19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1624.19</v>
      </c>
      <c r="M36" s="2"/>
      <c r="N36" s="7">
        <f t="shared" si="11"/>
        <v>0</v>
      </c>
      <c r="O36" s="11"/>
      <c r="P36" s="6">
        <v>-44491.47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-44491.47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-9000</v>
      </c>
      <c r="M40" s="1"/>
      <c r="N40" s="5">
        <f t="shared" ref="N40:N46" si="19">IF(H40=0,0,L40/H40)</f>
        <v>-1</v>
      </c>
      <c r="O40" s="13"/>
      <c r="P40" s="1">
        <f>SUM(OSRRefP22_2x_0)</f>
        <v>11409.89</v>
      </c>
      <c r="Q40" s="1"/>
      <c r="R40" s="5">
        <f t="shared" ref="R40:R46" si="20">IF(P$12=0,0,P40/P$12)</f>
        <v>0</v>
      </c>
      <c r="S40" s="1"/>
      <c r="T40" s="1">
        <f>SUM(OSRRefT22_2x_0)</f>
        <v>54000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-42590.11</v>
      </c>
      <c r="Y40" s="1"/>
      <c r="Z40" s="5">
        <f t="shared" ref="Z40:Z46" si="23">IF(T40=0,0,X40/T40)</f>
        <v>-0.78870574074074074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-9000</v>
      </c>
      <c r="M41" s="2"/>
      <c r="N41" s="7">
        <f t="shared" si="19"/>
        <v>-1</v>
      </c>
      <c r="O41" s="11"/>
      <c r="P41" s="6">
        <v>11409.89</v>
      </c>
      <c r="Q41" s="2"/>
      <c r="R41" s="7">
        <f t="shared" si="20"/>
        <v>0</v>
      </c>
      <c r="S41" s="2"/>
      <c r="T41" s="6">
        <v>54000</v>
      </c>
      <c r="U41" s="2"/>
      <c r="V41" s="7">
        <f t="shared" si="21"/>
        <v>0</v>
      </c>
      <c r="W41" s="2"/>
      <c r="X41" s="6">
        <f t="shared" si="22"/>
        <v>-42590.11</v>
      </c>
      <c r="Y41" s="2"/>
      <c r="Z41" s="7">
        <f t="shared" si="23"/>
        <v>-0.78870574074074074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2071.38</v>
      </c>
      <c r="Q42" s="1"/>
      <c r="R42" s="5">
        <f t="shared" si="20"/>
        <v>0</v>
      </c>
      <c r="S42" s="1"/>
      <c r="T42" s="1">
        <f>SUM(OSRRefT22_3x_0)</f>
        <v>2070</v>
      </c>
      <c r="U42" s="1"/>
      <c r="V42" s="5">
        <f t="shared" si="21"/>
        <v>0</v>
      </c>
      <c r="W42" s="1"/>
      <c r="X42" s="1">
        <f t="shared" si="22"/>
        <v>1.3800000000001091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2071.38</v>
      </c>
      <c r="Q43" s="2"/>
      <c r="R43" s="7">
        <f t="shared" si="20"/>
        <v>0</v>
      </c>
      <c r="S43" s="2"/>
      <c r="T43" s="6">
        <v>2070</v>
      </c>
      <c r="U43" s="2"/>
      <c r="V43" s="7">
        <f t="shared" si="21"/>
        <v>0</v>
      </c>
      <c r="W43" s="2"/>
      <c r="X43" s="6">
        <f t="shared" si="22"/>
        <v>1.3800000000001091</v>
      </c>
      <c r="Y43" s="2"/>
      <c r="Z43" s="7">
        <f t="shared" si="23"/>
        <v>6.6666666666671945E-4</v>
      </c>
    </row>
    <row r="44" spans="1:26" s="25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2.21</v>
      </c>
      <c r="E44" s="1"/>
      <c r="F44" s="5">
        <f t="shared" si="16"/>
        <v>0</v>
      </c>
      <c r="G44" s="1"/>
      <c r="H44" s="1">
        <f>SUM(OSRRefH22_4x_0)</f>
        <v>10000</v>
      </c>
      <c r="I44" s="1"/>
      <c r="J44" s="5">
        <f t="shared" si="17"/>
        <v>0</v>
      </c>
      <c r="K44" s="1"/>
      <c r="L44" s="1">
        <f t="shared" si="18"/>
        <v>-9997.7900000000009</v>
      </c>
      <c r="M44" s="1"/>
      <c r="N44" s="5">
        <f t="shared" si="19"/>
        <v>-0.99977900000000008</v>
      </c>
      <c r="O44" s="13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354300</v>
      </c>
      <c r="U44" s="1"/>
      <c r="V44" s="5">
        <f t="shared" si="21"/>
        <v>0</v>
      </c>
      <c r="W44" s="1"/>
      <c r="X44" s="1">
        <f t="shared" si="22"/>
        <v>-208655</v>
      </c>
      <c r="Y44" s="1"/>
      <c r="Z44" s="5">
        <f t="shared" si="23"/>
        <v>-0.58892181766864238</v>
      </c>
    </row>
    <row r="45" spans="1:26" s="24" customFormat="1" hidden="1" outlineLevel="2" x14ac:dyDescent="0.25">
      <c r="A45" s="26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800</v>
      </c>
      <c r="U45" s="2"/>
      <c r="V45" s="7">
        <f t="shared" si="21"/>
        <v>0</v>
      </c>
      <c r="W45" s="2"/>
      <c r="X45" s="6">
        <f t="shared" si="22"/>
        <v>-800</v>
      </c>
      <c r="Y45" s="2"/>
      <c r="Z45" s="7">
        <f t="shared" si="23"/>
        <v>-1</v>
      </c>
    </row>
    <row r="46" spans="1:26" s="24" customFormat="1" hidden="1" outlineLevel="2" x14ac:dyDescent="0.25">
      <c r="A46" s="26"/>
      <c r="B46" s="11" t="str">
        <f>CONCATENATE("          ", "6399", " - ", "DONATION-ON CAMPUS")</f>
        <v xml:space="preserve">          6399 - DONATION-ON CAMPUS</v>
      </c>
      <c r="C46" s="11"/>
      <c r="D46" s="6">
        <v>2.21</v>
      </c>
      <c r="E46" s="2"/>
      <c r="F46" s="7">
        <f t="shared" si="16"/>
        <v>0</v>
      </c>
      <c r="G46" s="2"/>
      <c r="H46" s="6">
        <v>10000</v>
      </c>
      <c r="I46" s="2"/>
      <c r="J46" s="7">
        <f t="shared" si="17"/>
        <v>0</v>
      </c>
      <c r="K46" s="2"/>
      <c r="L46" s="6">
        <f t="shared" si="18"/>
        <v>-9997.7900000000009</v>
      </c>
      <c r="M46" s="2"/>
      <c r="N46" s="7">
        <f t="shared" si="19"/>
        <v>-0.99977900000000008</v>
      </c>
      <c r="O46" s="11"/>
      <c r="P46" s="6">
        <v>145645</v>
      </c>
      <c r="Q46" s="2"/>
      <c r="R46" s="7">
        <f t="shared" si="20"/>
        <v>0</v>
      </c>
      <c r="S46" s="2"/>
      <c r="T46" s="6">
        <v>353500</v>
      </c>
      <c r="U46" s="2"/>
      <c r="V46" s="7">
        <f t="shared" si="21"/>
        <v>0</v>
      </c>
      <c r="W46" s="2"/>
      <c r="X46" s="6">
        <f t="shared" si="22"/>
        <v>-207855</v>
      </c>
      <c r="Y46" s="2"/>
      <c r="Z46" s="7">
        <f t="shared" si="23"/>
        <v>-0.58799151343705802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4000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-4000</v>
      </c>
      <c r="M47" s="1"/>
      <c r="N47" s="5">
        <f t="shared" ref="N47:N60" si="27">IF(H47=0,0,L47/H47)</f>
        <v>-1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4500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-4500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>
        <v>4000</v>
      </c>
      <c r="I48" s="2"/>
      <c r="J48" s="7">
        <f t="shared" si="25"/>
        <v>0</v>
      </c>
      <c r="K48" s="2"/>
      <c r="L48" s="6">
        <f t="shared" si="26"/>
        <v>-4000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4500</v>
      </c>
      <c r="U48" s="2"/>
      <c r="V48" s="7">
        <f t="shared" si="29"/>
        <v>0</v>
      </c>
      <c r="W48" s="2"/>
      <c r="X48" s="6">
        <f t="shared" si="30"/>
        <v>-4500</v>
      </c>
      <c r="Y48" s="2"/>
      <c r="Z48" s="7">
        <f t="shared" si="31"/>
        <v>-1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-118</v>
      </c>
      <c r="M49" s="1"/>
      <c r="N49" s="5">
        <f t="shared" si="27"/>
        <v>-1</v>
      </c>
      <c r="O49" s="13"/>
      <c r="P49" s="1">
        <f>SUM(OSRRefP22_6x_0)</f>
        <v>706.32</v>
      </c>
      <c r="Q49" s="1"/>
      <c r="R49" s="5">
        <f t="shared" si="28"/>
        <v>0</v>
      </c>
      <c r="S49" s="1"/>
      <c r="T49" s="1">
        <f>SUM(OSRRefT22_6x_0)</f>
        <v>708</v>
      </c>
      <c r="U49" s="1"/>
      <c r="V49" s="5">
        <f t="shared" si="29"/>
        <v>0</v>
      </c>
      <c r="W49" s="1"/>
      <c r="X49" s="1">
        <f t="shared" si="30"/>
        <v>-1.67999999999995</v>
      </c>
      <c r="Y49" s="1"/>
      <c r="Z49" s="5">
        <f t="shared" si="31"/>
        <v>-2.3728813559321326E-3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-118</v>
      </c>
      <c r="M50" s="2"/>
      <c r="N50" s="7">
        <f t="shared" si="27"/>
        <v>-1</v>
      </c>
      <c r="O50" s="11"/>
      <c r="P50" s="6">
        <v>706.32</v>
      </c>
      <c r="Q50" s="2"/>
      <c r="R50" s="7">
        <f t="shared" si="28"/>
        <v>0</v>
      </c>
      <c r="S50" s="2"/>
      <c r="T50" s="6">
        <v>708</v>
      </c>
      <c r="U50" s="2"/>
      <c r="V50" s="7">
        <f t="shared" si="29"/>
        <v>0</v>
      </c>
      <c r="W50" s="2"/>
      <c r="X50" s="6">
        <f t="shared" si="30"/>
        <v>-1.67999999999995</v>
      </c>
      <c r="Y50" s="2"/>
      <c r="Z50" s="7">
        <f t="shared" si="31"/>
        <v>-2.3728813559321326E-3</v>
      </c>
    </row>
    <row r="51" spans="1:26" s="25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123.25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123.25</v>
      </c>
      <c r="M51" s="1"/>
      <c r="N51" s="5">
        <f t="shared" si="27"/>
        <v>0</v>
      </c>
      <c r="O51" s="13"/>
      <c r="P51" s="1">
        <f>SUM(OSRRefP22_7x_0)</f>
        <v>132.5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132.5</v>
      </c>
      <c r="Y51" s="1"/>
      <c r="Z51" s="5">
        <f t="shared" si="31"/>
        <v>0</v>
      </c>
    </row>
    <row r="52" spans="1:26" s="24" customFormat="1" hidden="1" outlineLevel="2" x14ac:dyDescent="0.25">
      <c r="A52" s="26"/>
      <c r="B52" s="11" t="str">
        <f>CONCATENATE("          ", "6307", " - ", "POSTAGE")</f>
        <v xml:space="preserve">          6307 - POSTAGE</v>
      </c>
      <c r="C52" s="11"/>
      <c r="D52" s="6">
        <v>123.25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123.25</v>
      </c>
      <c r="M52" s="2"/>
      <c r="N52" s="7">
        <f t="shared" si="27"/>
        <v>0</v>
      </c>
      <c r="O52" s="11"/>
      <c r="P52" s="6">
        <v>132.5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132.5</v>
      </c>
      <c r="Y52" s="2"/>
      <c r="Z52" s="7">
        <f t="shared" si="31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2500</v>
      </c>
      <c r="I53" s="1"/>
      <c r="J53" s="5">
        <f t="shared" si="25"/>
        <v>0</v>
      </c>
      <c r="K53" s="1"/>
      <c r="L53" s="1">
        <f t="shared" si="26"/>
        <v>-2500</v>
      </c>
      <c r="M53" s="1"/>
      <c r="N53" s="5">
        <f t="shared" si="27"/>
        <v>-1</v>
      </c>
      <c r="O53" s="13"/>
      <c r="P53" s="1">
        <f>SUM(OSRRefP22_8x_0)</f>
        <v>11700.62</v>
      </c>
      <c r="Q53" s="1"/>
      <c r="R53" s="5">
        <f t="shared" si="28"/>
        <v>0</v>
      </c>
      <c r="S53" s="1"/>
      <c r="T53" s="1">
        <f>SUM(OSRRefT22_8x_0)</f>
        <v>5000</v>
      </c>
      <c r="U53" s="1"/>
      <c r="V53" s="5">
        <f t="shared" si="29"/>
        <v>0</v>
      </c>
      <c r="W53" s="1"/>
      <c r="X53" s="1">
        <f t="shared" si="30"/>
        <v>6700.6200000000008</v>
      </c>
      <c r="Y53" s="1"/>
      <c r="Z53" s="5">
        <f t="shared" si="31"/>
        <v>1.3401240000000001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2500</v>
      </c>
      <c r="I54" s="2"/>
      <c r="J54" s="7">
        <f t="shared" si="25"/>
        <v>0</v>
      </c>
      <c r="K54" s="2"/>
      <c r="L54" s="6">
        <f t="shared" si="26"/>
        <v>-2500</v>
      </c>
      <c r="M54" s="2"/>
      <c r="N54" s="7">
        <f t="shared" si="27"/>
        <v>-1</v>
      </c>
      <c r="O54" s="11"/>
      <c r="P54" s="6">
        <v>11700.62</v>
      </c>
      <c r="Q54" s="2"/>
      <c r="R54" s="7">
        <f t="shared" si="28"/>
        <v>0</v>
      </c>
      <c r="S54" s="2"/>
      <c r="T54" s="6">
        <v>5000</v>
      </c>
      <c r="U54" s="2"/>
      <c r="V54" s="7">
        <f t="shared" si="29"/>
        <v>0</v>
      </c>
      <c r="W54" s="2"/>
      <c r="X54" s="6">
        <f t="shared" si="30"/>
        <v>6700.6200000000008</v>
      </c>
      <c r="Y54" s="2"/>
      <c r="Z54" s="7">
        <f t="shared" si="31"/>
        <v>1.3401240000000001</v>
      </c>
    </row>
    <row r="55" spans="1:26" s="25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690.78</v>
      </c>
      <c r="Q55" s="1"/>
      <c r="R55" s="5">
        <f t="shared" si="28"/>
        <v>0</v>
      </c>
      <c r="S55" s="1"/>
      <c r="T55" s="1">
        <f>SUM(OSRRefT22_9x_0)</f>
        <v>660</v>
      </c>
      <c r="U55" s="1"/>
      <c r="V55" s="5">
        <f t="shared" si="29"/>
        <v>0</v>
      </c>
      <c r="W55" s="1"/>
      <c r="X55" s="1">
        <f t="shared" si="30"/>
        <v>30.779999999999973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690.78</v>
      </c>
      <c r="Q56" s="2"/>
      <c r="R56" s="7">
        <f t="shared" si="28"/>
        <v>0</v>
      </c>
      <c r="S56" s="2"/>
      <c r="T56" s="6">
        <v>660</v>
      </c>
      <c r="U56" s="2"/>
      <c r="V56" s="7">
        <f t="shared" si="29"/>
        <v>0</v>
      </c>
      <c r="W56" s="2"/>
      <c r="X56" s="6">
        <f t="shared" si="30"/>
        <v>30.779999999999973</v>
      </c>
      <c r="Y56" s="2"/>
      <c r="Z56" s="7">
        <f t="shared" si="31"/>
        <v>4.6636363636363594E-2</v>
      </c>
    </row>
    <row r="57" spans="1:26" s="25" customFormat="1" outlineLevel="1" collapsed="1" x14ac:dyDescent="0.25">
      <c r="A57" s="27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100</v>
      </c>
      <c r="E57" s="1"/>
      <c r="F57" s="5">
        <f t="shared" si="24"/>
        <v>0</v>
      </c>
      <c r="G57" s="1"/>
      <c r="H57" s="1">
        <f>SUM(OSRRefH22_10x_0)</f>
        <v>21200</v>
      </c>
      <c r="I57" s="1"/>
      <c r="J57" s="5">
        <f t="shared" si="25"/>
        <v>0</v>
      </c>
      <c r="K57" s="1"/>
      <c r="L57" s="1">
        <f t="shared" si="26"/>
        <v>-21100</v>
      </c>
      <c r="M57" s="1"/>
      <c r="N57" s="5">
        <f t="shared" si="27"/>
        <v>-0.99528301886792447</v>
      </c>
      <c r="O57" s="13"/>
      <c r="P57" s="1">
        <f>SUM(OSRRefP22_10x_0)</f>
        <v>50860</v>
      </c>
      <c r="Q57" s="1"/>
      <c r="R57" s="5">
        <f t="shared" si="28"/>
        <v>0</v>
      </c>
      <c r="S57" s="1"/>
      <c r="T57" s="1">
        <f>SUM(OSRRefT22_10x_0)</f>
        <v>47700</v>
      </c>
      <c r="U57" s="1"/>
      <c r="V57" s="5">
        <f t="shared" si="29"/>
        <v>0</v>
      </c>
      <c r="W57" s="1"/>
      <c r="X57" s="1">
        <f t="shared" si="30"/>
        <v>3160</v>
      </c>
      <c r="Y57" s="1"/>
      <c r="Z57" s="5">
        <f t="shared" si="31"/>
        <v>6.6247379454926619E-2</v>
      </c>
    </row>
    <row r="58" spans="1:26" s="24" customFormat="1" hidden="1" outlineLevel="2" x14ac:dyDescent="0.25">
      <c r="A58" s="26"/>
      <c r="B58" s="11" t="str">
        <f>CONCATENATE("          ", "6331", " - ", "INDIRECT COSTS-AUXILIARY ORGAN")</f>
        <v xml:space="preserve">          6331 - INDIRECT COSTS-AUXILIARY ORGAN</v>
      </c>
      <c r="C58" s="11"/>
      <c r="D58" s="6"/>
      <c r="E58" s="2"/>
      <c r="F58" s="7">
        <f t="shared" si="24"/>
        <v>0</v>
      </c>
      <c r="G58" s="2"/>
      <c r="H58" s="6">
        <v>20000</v>
      </c>
      <c r="I58" s="2"/>
      <c r="J58" s="7">
        <f t="shared" si="25"/>
        <v>0</v>
      </c>
      <c r="K58" s="2"/>
      <c r="L58" s="6">
        <f t="shared" si="26"/>
        <v>-20000</v>
      </c>
      <c r="M58" s="2"/>
      <c r="N58" s="7">
        <f t="shared" si="27"/>
        <v>-1</v>
      </c>
      <c r="O58" s="11"/>
      <c r="P58" s="6">
        <v>45550</v>
      </c>
      <c r="Q58" s="2"/>
      <c r="R58" s="7">
        <f t="shared" si="28"/>
        <v>0</v>
      </c>
      <c r="S58" s="2"/>
      <c r="T58" s="6">
        <v>40000</v>
      </c>
      <c r="U58" s="2"/>
      <c r="V58" s="7">
        <f t="shared" si="29"/>
        <v>0</v>
      </c>
      <c r="W58" s="2"/>
      <c r="X58" s="6">
        <f t="shared" si="30"/>
        <v>5550</v>
      </c>
      <c r="Y58" s="2"/>
      <c r="Z58" s="7">
        <f t="shared" si="31"/>
        <v>0.13875000000000001</v>
      </c>
    </row>
    <row r="59" spans="1:26" s="24" customFormat="1" hidden="1" outlineLevel="2" x14ac:dyDescent="0.25">
      <c r="A59" s="26"/>
      <c r="B59" s="11" t="str">
        <f>CONCATENATE("          ", "6334", " - ", "LEGAL COUNCIL EXPENSE")</f>
        <v xml:space="preserve">          6334 - LEGAL COUNCIL EXPENSE</v>
      </c>
      <c r="C59" s="11"/>
      <c r="D59" s="6">
        <v>100</v>
      </c>
      <c r="E59" s="2"/>
      <c r="F59" s="7">
        <f t="shared" si="24"/>
        <v>0</v>
      </c>
      <c r="G59" s="2"/>
      <c r="H59" s="6">
        <v>1200</v>
      </c>
      <c r="I59" s="2"/>
      <c r="J59" s="7">
        <f t="shared" si="25"/>
        <v>0</v>
      </c>
      <c r="K59" s="2"/>
      <c r="L59" s="6">
        <f t="shared" si="26"/>
        <v>-1100</v>
      </c>
      <c r="M59" s="2"/>
      <c r="N59" s="7">
        <f t="shared" si="27"/>
        <v>-0.91666666666666663</v>
      </c>
      <c r="O59" s="11"/>
      <c r="P59" s="6">
        <v>290</v>
      </c>
      <c r="Q59" s="2"/>
      <c r="R59" s="7">
        <f t="shared" si="28"/>
        <v>0</v>
      </c>
      <c r="S59" s="2"/>
      <c r="T59" s="6">
        <v>2700</v>
      </c>
      <c r="U59" s="2"/>
      <c r="V59" s="7">
        <f t="shared" si="29"/>
        <v>0</v>
      </c>
      <c r="W59" s="2"/>
      <c r="X59" s="6">
        <f t="shared" si="30"/>
        <v>-2410</v>
      </c>
      <c r="Y59" s="2"/>
      <c r="Z59" s="7">
        <f t="shared" si="31"/>
        <v>-0.8925925925925926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5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2675.13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-299.86999999999989</v>
      </c>
      <c r="M61" s="1"/>
      <c r="N61" s="5">
        <f t="shared" ref="N61:N64" si="35">IF(H61=0,0,L61/H61)</f>
        <v>-0.10079663865546215</v>
      </c>
      <c r="O61" s="13"/>
      <c r="P61" s="1">
        <f>SUM(OSRRefP22_11x_0)</f>
        <v>20295.830000000002</v>
      </c>
      <c r="Q61" s="1"/>
      <c r="R61" s="5">
        <f t="shared" ref="R61:R64" si="36">IF(P$12=0,0,P61/P$12)</f>
        <v>0</v>
      </c>
      <c r="S61" s="1"/>
      <c r="T61" s="1">
        <f>SUM(OSRRefT22_11x_0)</f>
        <v>17850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2445.8300000000017</v>
      </c>
      <c r="Y61" s="1"/>
      <c r="Z61" s="5">
        <f t="shared" ref="Z61:Z64" si="39">IF(T61=0,0,X61/T61)</f>
        <v>0.13702128851540626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>
        <v>2675.13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-299.86999999999989</v>
      </c>
      <c r="M63" s="2"/>
      <c r="N63" s="7">
        <f t="shared" si="35"/>
        <v>-0.10079663865546215</v>
      </c>
      <c r="O63" s="11"/>
      <c r="P63" s="6">
        <v>19739.259999999998</v>
      </c>
      <c r="Q63" s="2"/>
      <c r="R63" s="7">
        <f t="shared" si="36"/>
        <v>0</v>
      </c>
      <c r="S63" s="2"/>
      <c r="T63" s="6">
        <v>17850</v>
      </c>
      <c r="U63" s="2"/>
      <c r="V63" s="7">
        <f t="shared" si="37"/>
        <v>0</v>
      </c>
      <c r="W63" s="2"/>
      <c r="X63" s="6">
        <f t="shared" si="38"/>
        <v>1889.2599999999984</v>
      </c>
      <c r="Y63" s="2"/>
      <c r="Z63" s="7">
        <f t="shared" si="39"/>
        <v>0.10584089635854332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795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795</v>
      </c>
      <c r="M65" s="1"/>
      <c r="N65" s="5">
        <f t="shared" ref="N65:N70" si="43">IF(H65=0,0,L65/H65)</f>
        <v>0</v>
      </c>
      <c r="O65" s="13"/>
      <c r="P65" s="1">
        <f>SUM(OSRRefP22_12x_0)</f>
        <v>1795</v>
      </c>
      <c r="Q65" s="1"/>
      <c r="R65" s="5">
        <f t="shared" ref="R65:R70" si="44">IF(P$12=0,0,P65/P$12)</f>
        <v>0</v>
      </c>
      <c r="S65" s="1"/>
      <c r="T65" s="1">
        <f>SUM(OSRRefT22_12x_0)</f>
        <v>1230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565</v>
      </c>
      <c r="Y65" s="1"/>
      <c r="Z65" s="5">
        <f t="shared" ref="Z65:Z70" si="47">IF(T65=0,0,X65/T65)</f>
        <v>0.45934959349593496</v>
      </c>
    </row>
    <row r="66" spans="1:26" s="24" customFormat="1" hidden="1" outlineLevel="2" x14ac:dyDescent="0.25">
      <c r="A66" s="26"/>
      <c r="B66" s="11" t="str">
        <f>CONCATENATE("          ", "6258", " - ", "MEMBERSHIP DUES")</f>
        <v xml:space="preserve">          6258 - MEMBERSHIP DUES</v>
      </c>
      <c r="C66" s="11"/>
      <c r="D66" s="6">
        <v>795</v>
      </c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795</v>
      </c>
      <c r="M66" s="2"/>
      <c r="N66" s="7">
        <f t="shared" si="43"/>
        <v>0</v>
      </c>
      <c r="O66" s="11"/>
      <c r="P66" s="6">
        <v>1795</v>
      </c>
      <c r="Q66" s="2"/>
      <c r="R66" s="7">
        <f t="shared" si="44"/>
        <v>0</v>
      </c>
      <c r="S66" s="2"/>
      <c r="T66" s="6">
        <v>1230</v>
      </c>
      <c r="U66" s="2"/>
      <c r="V66" s="7">
        <f t="shared" si="45"/>
        <v>0</v>
      </c>
      <c r="W66" s="2"/>
      <c r="X66" s="6">
        <f t="shared" si="46"/>
        <v>565</v>
      </c>
      <c r="Y66" s="2"/>
      <c r="Z66" s="7">
        <f t="shared" si="47"/>
        <v>0.45934959349593496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662.62</v>
      </c>
      <c r="E67" s="1"/>
      <c r="F67" s="5">
        <f t="shared" si="40"/>
        <v>0</v>
      </c>
      <c r="G67" s="1"/>
      <c r="H67" s="1">
        <f>SUM(OSRRefH22_13x_0)</f>
        <v>1000</v>
      </c>
      <c r="I67" s="1"/>
      <c r="J67" s="5">
        <f t="shared" si="41"/>
        <v>0</v>
      </c>
      <c r="K67" s="1"/>
      <c r="L67" s="1">
        <f t="shared" si="42"/>
        <v>-337.38</v>
      </c>
      <c r="M67" s="1"/>
      <c r="N67" s="5">
        <f t="shared" si="43"/>
        <v>-0.33738000000000001</v>
      </c>
      <c r="O67" s="13"/>
      <c r="P67" s="1">
        <f>SUM(OSRRefP22_13x_0)</f>
        <v>3802.7200000000003</v>
      </c>
      <c r="Q67" s="1"/>
      <c r="R67" s="5">
        <f t="shared" si="44"/>
        <v>0</v>
      </c>
      <c r="S67" s="1"/>
      <c r="T67" s="1">
        <f>SUM(OSRRefT22_13x_0)</f>
        <v>4000</v>
      </c>
      <c r="U67" s="1"/>
      <c r="V67" s="5">
        <f t="shared" si="45"/>
        <v>0</v>
      </c>
      <c r="W67" s="1"/>
      <c r="X67" s="1">
        <f t="shared" si="46"/>
        <v>-197.27999999999975</v>
      </c>
      <c r="Y67" s="1"/>
      <c r="Z67" s="5">
        <f t="shared" si="47"/>
        <v>-4.9319999999999933E-2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1000</v>
      </c>
      <c r="I68" s="2"/>
      <c r="J68" s="7">
        <f t="shared" si="41"/>
        <v>0</v>
      </c>
      <c r="K68" s="2"/>
      <c r="L68" s="6">
        <f t="shared" si="42"/>
        <v>-1000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4000</v>
      </c>
      <c r="U68" s="2"/>
      <c r="V68" s="7">
        <f t="shared" si="45"/>
        <v>0</v>
      </c>
      <c r="W68" s="2"/>
      <c r="X68" s="6">
        <f t="shared" si="46"/>
        <v>-3782.98</v>
      </c>
      <c r="Y68" s="2"/>
      <c r="Z68" s="7">
        <f t="shared" si="47"/>
        <v>-0.94574500000000006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662.62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662.62</v>
      </c>
      <c r="M69" s="2"/>
      <c r="N69" s="7">
        <f t="shared" si="43"/>
        <v>0</v>
      </c>
      <c r="O69" s="11"/>
      <c r="P69" s="6">
        <v>3553.84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3553.84</v>
      </c>
      <c r="Y69" s="2"/>
      <c r="Z69" s="7">
        <f t="shared" si="47"/>
        <v>0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31.86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31.86</v>
      </c>
      <c r="Y70" s="2"/>
      <c r="Z70" s="7">
        <f t="shared" si="47"/>
        <v>0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1253.8499999999999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903.84999999999991</v>
      </c>
      <c r="M71" s="1"/>
      <c r="N71" s="5">
        <f t="shared" ref="N71:N77" si="51">IF(H71=0,0,L71/H71)</f>
        <v>2.5824285714285713</v>
      </c>
      <c r="O71" s="13"/>
      <c r="P71" s="1">
        <f>SUM(OSRRefP22_14x_0)</f>
        <v>2656.33</v>
      </c>
      <c r="Q71" s="1"/>
      <c r="R71" s="5">
        <f t="shared" ref="R71:R77" si="52">IF(P$12=0,0,P71/P$12)</f>
        <v>0</v>
      </c>
      <c r="S71" s="1"/>
      <c r="T71" s="1">
        <f>SUM(OSRRefT22_14x_0)</f>
        <v>2100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556.32999999999993</v>
      </c>
      <c r="Y71" s="1"/>
      <c r="Z71" s="5">
        <f t="shared" ref="Z71:Z77" si="55">IF(T71=0,0,X71/T71)</f>
        <v>0.26491904761904761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6">
        <v>1253.8499999999999</v>
      </c>
      <c r="E72" s="2"/>
      <c r="F72" s="7">
        <f t="shared" si="48"/>
        <v>0</v>
      </c>
      <c r="G72" s="2"/>
      <c r="H72" s="6">
        <v>350</v>
      </c>
      <c r="I72" s="2"/>
      <c r="J72" s="7">
        <f t="shared" si="49"/>
        <v>0</v>
      </c>
      <c r="K72" s="2"/>
      <c r="L72" s="6">
        <f t="shared" si="50"/>
        <v>903.84999999999991</v>
      </c>
      <c r="M72" s="2"/>
      <c r="N72" s="7">
        <f t="shared" si="51"/>
        <v>2.5824285714285713</v>
      </c>
      <c r="O72" s="11"/>
      <c r="P72" s="6">
        <v>2656.33</v>
      </c>
      <c r="Q72" s="2"/>
      <c r="R72" s="7">
        <f t="shared" si="52"/>
        <v>0</v>
      </c>
      <c r="S72" s="2"/>
      <c r="T72" s="6">
        <v>2100</v>
      </c>
      <c r="U72" s="2"/>
      <c r="V72" s="7">
        <f t="shared" si="53"/>
        <v>0</v>
      </c>
      <c r="W72" s="2"/>
      <c r="X72" s="6">
        <f t="shared" si="54"/>
        <v>556.32999999999993</v>
      </c>
      <c r="Y72" s="2"/>
      <c r="Z72" s="7">
        <f t="shared" si="55"/>
        <v>0.26491904761904761</v>
      </c>
    </row>
    <row r="73" spans="1:26" s="25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0</v>
      </c>
      <c r="E73" s="1"/>
      <c r="F73" s="5">
        <f t="shared" si="48"/>
        <v>0</v>
      </c>
      <c r="G73" s="1"/>
      <c r="H73" s="1">
        <f>SUM(OSRRefH22_15x_0)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3"/>
      <c r="P73" s="1">
        <f>SUM(OSRRefP22_15x_0)</f>
        <v>3313.92</v>
      </c>
      <c r="Q73" s="1"/>
      <c r="R73" s="5">
        <f t="shared" si="52"/>
        <v>0</v>
      </c>
      <c r="S73" s="1"/>
      <c r="T73" s="1">
        <f>SUM(OSRRefT22_15x_0)</f>
        <v>2200</v>
      </c>
      <c r="U73" s="1"/>
      <c r="V73" s="5">
        <f t="shared" si="53"/>
        <v>0</v>
      </c>
      <c r="W73" s="1"/>
      <c r="X73" s="1">
        <f t="shared" si="54"/>
        <v>1113.92</v>
      </c>
      <c r="Y73" s="1"/>
      <c r="Z73" s="5">
        <f t="shared" si="55"/>
        <v>0.50632727272727274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3313.92</v>
      </c>
      <c r="Q74" s="2"/>
      <c r="R74" s="7">
        <f t="shared" si="52"/>
        <v>0</v>
      </c>
      <c r="S74" s="2"/>
      <c r="T74" s="6">
        <v>2200</v>
      </c>
      <c r="U74" s="2"/>
      <c r="V74" s="7">
        <f t="shared" si="53"/>
        <v>0</v>
      </c>
      <c r="W74" s="2"/>
      <c r="X74" s="6">
        <f t="shared" si="54"/>
        <v>1113.92</v>
      </c>
      <c r="Y74" s="2"/>
      <c r="Z74" s="7">
        <f t="shared" si="55"/>
        <v>0.50632727272727274</v>
      </c>
    </row>
    <row r="75" spans="1:26" s="25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59.95</v>
      </c>
      <c r="E75" s="1"/>
      <c r="F75" s="5">
        <f t="shared" si="48"/>
        <v>0</v>
      </c>
      <c r="G75" s="1"/>
      <c r="H75" s="1">
        <f>SUM(OSRRefH22_16x_0)</f>
        <v>1750</v>
      </c>
      <c r="I75" s="1"/>
      <c r="J75" s="5">
        <f t="shared" si="49"/>
        <v>0</v>
      </c>
      <c r="K75" s="1"/>
      <c r="L75" s="1">
        <f t="shared" si="50"/>
        <v>-1690.05</v>
      </c>
      <c r="M75" s="1"/>
      <c r="N75" s="5">
        <f t="shared" si="51"/>
        <v>-0.96574285714285713</v>
      </c>
      <c r="O75" s="13"/>
      <c r="P75" s="1">
        <f>SUM(OSRRefP22_16x_0)</f>
        <v>3675.3</v>
      </c>
      <c r="Q75" s="1"/>
      <c r="R75" s="5">
        <f t="shared" si="52"/>
        <v>0</v>
      </c>
      <c r="S75" s="1"/>
      <c r="T75" s="1">
        <f>SUM(OSRRefT22_16x_0)</f>
        <v>9750</v>
      </c>
      <c r="U75" s="1"/>
      <c r="V75" s="5">
        <f t="shared" si="53"/>
        <v>0</v>
      </c>
      <c r="W75" s="1"/>
      <c r="X75" s="1">
        <f t="shared" si="54"/>
        <v>-6074.7</v>
      </c>
      <c r="Y75" s="1"/>
      <c r="Z75" s="5">
        <f t="shared" si="55"/>
        <v>-0.62304615384615381</v>
      </c>
    </row>
    <row r="76" spans="1:26" s="24" customFormat="1" hidden="1" outlineLevel="2" x14ac:dyDescent="0.25">
      <c r="A76" s="26"/>
      <c r="B76" s="11" t="str">
        <f>CONCATENATE("          ", "6292", " - ", "TRAVEL/CONFERENCE")</f>
        <v xml:space="preserve">          6292 - TRAVEL/CONFERENCE</v>
      </c>
      <c r="C76" s="11"/>
      <c r="D76" s="6">
        <v>59.95</v>
      </c>
      <c r="E76" s="2"/>
      <c r="F76" s="7">
        <f t="shared" si="48"/>
        <v>0</v>
      </c>
      <c r="G76" s="2"/>
      <c r="H76" s="6">
        <v>1750</v>
      </c>
      <c r="I76" s="2"/>
      <c r="J76" s="7">
        <f t="shared" si="49"/>
        <v>0</v>
      </c>
      <c r="K76" s="2"/>
      <c r="L76" s="6">
        <f t="shared" si="50"/>
        <v>-1690.05</v>
      </c>
      <c r="M76" s="2"/>
      <c r="N76" s="7">
        <f t="shared" si="51"/>
        <v>-0.96574285714285713</v>
      </c>
      <c r="O76" s="11"/>
      <c r="P76" s="6">
        <v>3675.3</v>
      </c>
      <c r="Q76" s="2"/>
      <c r="R76" s="7">
        <f t="shared" si="52"/>
        <v>0</v>
      </c>
      <c r="S76" s="2"/>
      <c r="T76" s="6">
        <v>8500</v>
      </c>
      <c r="U76" s="2"/>
      <c r="V76" s="7">
        <f t="shared" si="53"/>
        <v>0</v>
      </c>
      <c r="W76" s="2"/>
      <c r="X76" s="6">
        <f t="shared" si="54"/>
        <v>-4824.7</v>
      </c>
      <c r="Y76" s="2"/>
      <c r="Z76" s="7">
        <f t="shared" si="55"/>
        <v>-0.56761176470588237</v>
      </c>
    </row>
    <row r="77" spans="1:26" s="24" customFormat="1" hidden="1" outlineLevel="2" x14ac:dyDescent="0.25">
      <c r="A77" s="26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1250</v>
      </c>
      <c r="U77" s="2"/>
      <c r="V77" s="7">
        <f t="shared" si="53"/>
        <v>0</v>
      </c>
      <c r="W77" s="2"/>
      <c r="X77" s="6">
        <f t="shared" si="54"/>
        <v>-1250</v>
      </c>
      <c r="Y77" s="2"/>
      <c r="Z77" s="7">
        <f t="shared" si="55"/>
        <v>-1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2">
        <f>+D16-D18+D79</f>
        <v>-36311.929999999993</v>
      </c>
      <c r="E81" s="14"/>
      <c r="F81" s="20">
        <f>IF(D$12=0,0,D81/D$12)</f>
        <v>0</v>
      </c>
      <c r="G81" s="14"/>
      <c r="H81" s="22">
        <f>+H16-H18+H79</f>
        <v>-94546.394416923053</v>
      </c>
      <c r="I81" s="14"/>
      <c r="J81" s="20">
        <f>IF(H$12=0,0,H81/H$12)</f>
        <v>0</v>
      </c>
      <c r="K81" s="16"/>
      <c r="L81" s="22">
        <f>+D81-H81</f>
        <v>58234.46441692306</v>
      </c>
      <c r="M81" s="16"/>
      <c r="N81" s="20">
        <f>IF(H81=0,0,L81/H81)</f>
        <v>-0.6159353275824081</v>
      </c>
      <c r="O81" s="28"/>
      <c r="P81" s="22">
        <f>+P16-P18+P79</f>
        <v>-436974.30000000005</v>
      </c>
      <c r="Q81" s="14"/>
      <c r="R81" s="20">
        <f>IF(P$12=0,0,P81/P$12)</f>
        <v>0</v>
      </c>
      <c r="S81" s="14"/>
      <c r="T81" s="22">
        <f>+T16-T18+T79</f>
        <v>-771488.0637099999</v>
      </c>
      <c r="U81" s="14"/>
      <c r="V81" s="20">
        <f>IF(T$12=0,0,T81/T$12)</f>
        <v>0</v>
      </c>
      <c r="W81" s="16"/>
      <c r="X81" s="22">
        <f>+P81-T81</f>
        <v>334513.76370999985</v>
      </c>
      <c r="Y81" s="16"/>
      <c r="Z81" s="20">
        <f>IF(T81=0,0,X81/T81)</f>
        <v>-0.43359551423434933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1">
        <f>+D81-D83</f>
        <v>-36311.929999999993</v>
      </c>
      <c r="E85" s="14"/>
      <c r="F85" s="32">
        <f>IF(D$12=0,0,D85/D$12)</f>
        <v>0</v>
      </c>
      <c r="G85" s="14"/>
      <c r="H85" s="31">
        <f>+H81-H83</f>
        <v>-94546.394416923053</v>
      </c>
      <c r="I85" s="14"/>
      <c r="J85" s="32">
        <f>IF(H$12=0,0,H85/H$12)</f>
        <v>0</v>
      </c>
      <c r="K85" s="16"/>
      <c r="L85" s="31">
        <f>D85-H85</f>
        <v>58234.46441692306</v>
      </c>
      <c r="M85" s="16"/>
      <c r="N85" s="32">
        <f>IF(H85=0,0,L85/H85)</f>
        <v>-0.6159353275824081</v>
      </c>
      <c r="O85" s="28"/>
      <c r="P85" s="31">
        <f>+P81-P83</f>
        <v>-436974.30000000005</v>
      </c>
      <c r="Q85" s="14"/>
      <c r="R85" s="32">
        <f>IF(P$12=0,0,P85/P$12)</f>
        <v>0</v>
      </c>
      <c r="S85" s="14"/>
      <c r="T85" s="31">
        <f>+T81-T83</f>
        <v>-771488.0637099999</v>
      </c>
      <c r="U85" s="14"/>
      <c r="V85" s="32">
        <f>IF(T$12=0,0,T85/T$12)</f>
        <v>0</v>
      </c>
      <c r="W85" s="16"/>
      <c r="X85" s="31">
        <f>P85-T85</f>
        <v>334513.76370999985</v>
      </c>
      <c r="Y85" s="16"/>
      <c r="Z85" s="32">
        <f>IF(T85=0,0,X85/T85)</f>
        <v>-0.43359551423434933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5">
        <f>SUM(D85:D87)</f>
        <v>-36311.929999999993</v>
      </c>
      <c r="E88" s="14"/>
      <c r="F88" s="34">
        <f>IF(D$12=0,0,D88/D$12)</f>
        <v>0</v>
      </c>
      <c r="G88" s="14"/>
      <c r="H88" s="35">
        <f>SUM(H85:H87)</f>
        <v>-94546.394416923053</v>
      </c>
      <c r="I88" s="14"/>
      <c r="J88" s="34">
        <f>IF(H$12=0,0,H88/H$12)</f>
        <v>0</v>
      </c>
      <c r="K88" s="16"/>
      <c r="L88" s="35">
        <f>+D88-H88</f>
        <v>58234.46441692306</v>
      </c>
      <c r="M88" s="16"/>
      <c r="N88" s="34">
        <f>IF(H88=0,0,L88/H88)</f>
        <v>-0.6159353275824081</v>
      </c>
      <c r="O88" s="28"/>
      <c r="P88" s="35">
        <f>SUM(P85:P87)</f>
        <v>-436974.30000000005</v>
      </c>
      <c r="Q88" s="14"/>
      <c r="R88" s="34">
        <f>IF(P$12=0,0,P88/P$12)</f>
        <v>0</v>
      </c>
      <c r="S88" s="14"/>
      <c r="T88" s="35">
        <f>SUM(T85:T87)</f>
        <v>-771488.0637099999</v>
      </c>
      <c r="U88" s="14"/>
      <c r="V88" s="34">
        <f>IF(T$12=0,0,T88/T$12)</f>
        <v>0</v>
      </c>
      <c r="W88" s="16"/>
      <c r="X88" s="35">
        <f>+P88-T88</f>
        <v>334513.76370999985</v>
      </c>
      <c r="Y88" s="16"/>
      <c r="Z88" s="34">
        <f>IF(T88=0,0,X88/T88)</f>
        <v>-0.43359551423434933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3">
        <v>43847.445682407408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5" t="s">
        <v>314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47027.140000000007</v>
      </c>
      <c r="E18" s="21"/>
      <c r="F18" s="30">
        <f t="shared" ref="F18:F28" si="0">IF(D$12=0,0,D18/D$12)</f>
        <v>0</v>
      </c>
      <c r="G18" s="21"/>
      <c r="H18" s="21">
        <f>SUM(OSRRefH22x_0)</f>
        <v>53870.253413846098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-6843.1134138460911</v>
      </c>
      <c r="M18" s="4"/>
      <c r="N18" s="30">
        <f t="shared" ref="N18:N28" si="3">IF(H18=0,0,L18/H18)</f>
        <v>-0.12702953819941057</v>
      </c>
      <c r="O18" s="10"/>
      <c r="P18" s="21">
        <f>SUM(OSRRefP22x_0)</f>
        <v>306157.19000000006</v>
      </c>
      <c r="Q18" s="21"/>
      <c r="R18" s="30">
        <f t="shared" ref="R18:R28" si="4">IF(P$12=0,0,P18/P$12)</f>
        <v>0</v>
      </c>
      <c r="S18" s="21"/>
      <c r="T18" s="21">
        <f>SUM(OSRRefT22x_0)</f>
        <v>320664.84051499976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-14507.650514999696</v>
      </c>
      <c r="Y18" s="4"/>
      <c r="Z18" s="30">
        <f t="shared" ref="Z18:Z28" si="7">IF(T18=0,0,X18/T18)</f>
        <v>-4.5242411022361741E-2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14317.34</v>
      </c>
      <c r="E19" s="1"/>
      <c r="F19" s="5">
        <f t="shared" si="0"/>
        <v>0</v>
      </c>
      <c r="G19" s="1"/>
      <c r="H19" s="1">
        <f>SUM(OSRRefH22_0x_0)</f>
        <v>14061.894952307683</v>
      </c>
      <c r="I19" s="1"/>
      <c r="J19" s="5">
        <f t="shared" si="1"/>
        <v>0</v>
      </c>
      <c r="K19" s="1"/>
      <c r="L19" s="1">
        <f t="shared" si="2"/>
        <v>255.44504769231753</v>
      </c>
      <c r="M19" s="1"/>
      <c r="N19" s="5">
        <f t="shared" si="3"/>
        <v>1.8165762762322207E-2</v>
      </c>
      <c r="O19" s="13"/>
      <c r="P19" s="1">
        <f>SUM(OSRRefP22_0x_0)</f>
        <v>94785.65</v>
      </c>
      <c r="Q19" s="1"/>
      <c r="R19" s="5">
        <f t="shared" si="4"/>
        <v>0</v>
      </c>
      <c r="S19" s="1"/>
      <c r="T19" s="1">
        <f>SUM(OSRRefT22_0x_0)</f>
        <v>88829.185514999976</v>
      </c>
      <c r="U19" s="1"/>
      <c r="V19" s="5">
        <f t="shared" si="5"/>
        <v>0</v>
      </c>
      <c r="W19" s="1"/>
      <c r="X19" s="1">
        <f t="shared" si="6"/>
        <v>5956.4644850000186</v>
      </c>
      <c r="Y19" s="1"/>
      <c r="Z19" s="5">
        <f t="shared" si="7"/>
        <v>6.7055263993095957E-2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2058.9299999999998</v>
      </c>
      <c r="E20" s="2"/>
      <c r="F20" s="7">
        <f t="shared" si="0"/>
        <v>0</v>
      </c>
      <c r="G20" s="2"/>
      <c r="H20" s="6">
        <v>2111.3214138461499</v>
      </c>
      <c r="I20" s="2"/>
      <c r="J20" s="7">
        <f t="shared" si="1"/>
        <v>0</v>
      </c>
      <c r="K20" s="2"/>
      <c r="L20" s="6">
        <f t="shared" si="2"/>
        <v>-52.391413846150044</v>
      </c>
      <c r="M20" s="2"/>
      <c r="N20" s="7">
        <f t="shared" si="3"/>
        <v>-2.4814513556564419E-2</v>
      </c>
      <c r="O20" s="11"/>
      <c r="P20" s="6">
        <v>15434.42</v>
      </c>
      <c r="Q20" s="2"/>
      <c r="R20" s="7">
        <f t="shared" si="4"/>
        <v>0</v>
      </c>
      <c r="S20" s="2"/>
      <c r="T20" s="6">
        <v>14557.95751499998</v>
      </c>
      <c r="U20" s="2"/>
      <c r="V20" s="7">
        <f t="shared" si="5"/>
        <v>0</v>
      </c>
      <c r="W20" s="2"/>
      <c r="X20" s="6">
        <f t="shared" si="6"/>
        <v>876.46248500002002</v>
      </c>
      <c r="Y20" s="2"/>
      <c r="Z20" s="7">
        <f t="shared" si="7"/>
        <v>6.0205044842104087E-2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153.54</v>
      </c>
      <c r="E21" s="2"/>
      <c r="F21" s="7">
        <f t="shared" si="0"/>
        <v>0</v>
      </c>
      <c r="G21" s="2"/>
      <c r="H21" s="6">
        <v>114.98172307692299</v>
      </c>
      <c r="I21" s="2"/>
      <c r="J21" s="7">
        <f t="shared" si="1"/>
        <v>0</v>
      </c>
      <c r="K21" s="2"/>
      <c r="L21" s="6">
        <f t="shared" si="2"/>
        <v>38.558276923077003</v>
      </c>
      <c r="M21" s="2"/>
      <c r="N21" s="7">
        <f t="shared" si="3"/>
        <v>0.33534266047901756</v>
      </c>
      <c r="O21" s="11"/>
      <c r="P21" s="6">
        <v>575.54999999999995</v>
      </c>
      <c r="Q21" s="2"/>
      <c r="R21" s="7">
        <f t="shared" si="4"/>
        <v>0</v>
      </c>
      <c r="S21" s="2"/>
      <c r="T21" s="6">
        <v>747.38120000000004</v>
      </c>
      <c r="U21" s="2"/>
      <c r="V21" s="7">
        <f t="shared" si="5"/>
        <v>0</v>
      </c>
      <c r="W21" s="2"/>
      <c r="X21" s="6">
        <f t="shared" si="6"/>
        <v>-171.83120000000008</v>
      </c>
      <c r="Y21" s="2"/>
      <c r="Z21" s="7">
        <f t="shared" si="7"/>
        <v>-0.22991105476027504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-122.97999999999956</v>
      </c>
      <c r="M22" s="2"/>
      <c r="N22" s="7">
        <f t="shared" si="3"/>
        <v>-2.027699917559762E-2</v>
      </c>
      <c r="O22" s="11"/>
      <c r="P22" s="6">
        <v>35652.120000000003</v>
      </c>
      <c r="Q22" s="2"/>
      <c r="R22" s="7">
        <f t="shared" si="4"/>
        <v>0</v>
      </c>
      <c r="S22" s="2"/>
      <c r="T22" s="6">
        <v>36390</v>
      </c>
      <c r="U22" s="2"/>
      <c r="V22" s="7">
        <f t="shared" si="5"/>
        <v>0</v>
      </c>
      <c r="W22" s="2"/>
      <c r="X22" s="6">
        <f t="shared" si="6"/>
        <v>-737.87999999999738</v>
      </c>
      <c r="Y22" s="2"/>
      <c r="Z22" s="7">
        <f t="shared" si="7"/>
        <v>-2.027699917559762E-2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117.41</v>
      </c>
      <c r="E23" s="2"/>
      <c r="F23" s="7">
        <f t="shared" si="0"/>
        <v>0</v>
      </c>
      <c r="G23" s="2"/>
      <c r="H23" s="6">
        <v>87.927199999999999</v>
      </c>
      <c r="I23" s="2"/>
      <c r="J23" s="7">
        <f t="shared" si="1"/>
        <v>0</v>
      </c>
      <c r="K23" s="2"/>
      <c r="L23" s="6">
        <f t="shared" si="2"/>
        <v>29.482799999999997</v>
      </c>
      <c r="M23" s="2"/>
      <c r="N23" s="7">
        <f t="shared" si="3"/>
        <v>0.33530921034674138</v>
      </c>
      <c r="O23" s="11"/>
      <c r="P23" s="6">
        <v>580.88</v>
      </c>
      <c r="Q23" s="2"/>
      <c r="R23" s="7">
        <f t="shared" si="4"/>
        <v>0</v>
      </c>
      <c r="S23" s="2"/>
      <c r="T23" s="6">
        <v>571.52679999999998</v>
      </c>
      <c r="U23" s="2"/>
      <c r="V23" s="7">
        <f t="shared" si="5"/>
        <v>0</v>
      </c>
      <c r="W23" s="2"/>
      <c r="X23" s="6">
        <f t="shared" si="6"/>
        <v>9.3532000000000153</v>
      </c>
      <c r="Y23" s="2"/>
      <c r="Z23" s="7">
        <f t="shared" si="7"/>
        <v>1.6365286807197871E-2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36.800769230770129</v>
      </c>
      <c r="M24" s="2"/>
      <c r="N24" s="7">
        <f t="shared" si="3"/>
        <v>1.7037478107085002E-2</v>
      </c>
      <c r="O24" s="11"/>
      <c r="P24" s="6">
        <v>14408.53</v>
      </c>
      <c r="Q24" s="2"/>
      <c r="R24" s="7">
        <f t="shared" si="4"/>
        <v>0</v>
      </c>
      <c r="S24" s="2"/>
      <c r="T24" s="6">
        <v>14039.93</v>
      </c>
      <c r="U24" s="2"/>
      <c r="V24" s="7">
        <f t="shared" si="5"/>
        <v>0</v>
      </c>
      <c r="W24" s="2"/>
      <c r="X24" s="6">
        <f t="shared" si="6"/>
        <v>368.60000000000036</v>
      </c>
      <c r="Y24" s="2"/>
      <c r="Z24" s="7">
        <f t="shared" si="7"/>
        <v>2.6253692148037799E-2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1866.76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610.95230769231011</v>
      </c>
      <c r="M26" s="2"/>
      <c r="N26" s="7">
        <f t="shared" si="3"/>
        <v>0.48650148540626914</v>
      </c>
      <c r="O26" s="11"/>
      <c r="P26" s="6">
        <v>13008.36</v>
      </c>
      <c r="Q26" s="2"/>
      <c r="R26" s="7">
        <f t="shared" si="4"/>
        <v>0</v>
      </c>
      <c r="S26" s="2"/>
      <c r="T26" s="6">
        <v>8162.75</v>
      </c>
      <c r="U26" s="2"/>
      <c r="V26" s="7">
        <f t="shared" si="5"/>
        <v>0</v>
      </c>
      <c r="W26" s="2"/>
      <c r="X26" s="6">
        <f t="shared" si="6"/>
        <v>4845.6100000000006</v>
      </c>
      <c r="Y26" s="2"/>
      <c r="Z26" s="7">
        <f t="shared" si="7"/>
        <v>0.59362469755903347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1152.2</v>
      </c>
      <c r="E27" s="2"/>
      <c r="F27" s="7">
        <f t="shared" si="0"/>
        <v>0</v>
      </c>
      <c r="G27" s="2"/>
      <c r="H27" s="6">
        <v>1516.8676923076898</v>
      </c>
      <c r="I27" s="2"/>
      <c r="J27" s="7">
        <f t="shared" si="1"/>
        <v>0</v>
      </c>
      <c r="K27" s="2"/>
      <c r="L27" s="6">
        <f t="shared" si="2"/>
        <v>-364.66769230768978</v>
      </c>
      <c r="M27" s="2"/>
      <c r="N27" s="7">
        <f t="shared" si="3"/>
        <v>-0.24040837190810085</v>
      </c>
      <c r="O27" s="11"/>
      <c r="P27" s="6">
        <v>10272.01</v>
      </c>
      <c r="Q27" s="2"/>
      <c r="R27" s="7">
        <f t="shared" si="4"/>
        <v>0</v>
      </c>
      <c r="S27" s="2"/>
      <c r="T27" s="6">
        <v>9859.64</v>
      </c>
      <c r="U27" s="2"/>
      <c r="V27" s="7">
        <f t="shared" si="5"/>
        <v>0</v>
      </c>
      <c r="W27" s="2"/>
      <c r="X27" s="6">
        <f t="shared" si="6"/>
        <v>412.3700000000008</v>
      </c>
      <c r="Y27" s="2"/>
      <c r="Z27" s="7">
        <f t="shared" si="7"/>
        <v>4.1824042257121032E-2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829.69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79.690000000000055</v>
      </c>
      <c r="M28" s="2"/>
      <c r="N28" s="7">
        <f t="shared" si="3"/>
        <v>0.10625333333333341</v>
      </c>
      <c r="O28" s="11"/>
      <c r="P28" s="6">
        <v>4853.78</v>
      </c>
      <c r="Q28" s="2"/>
      <c r="R28" s="7">
        <f t="shared" si="4"/>
        <v>0</v>
      </c>
      <c r="S28" s="2"/>
      <c r="T28" s="6">
        <v>4500</v>
      </c>
      <c r="U28" s="2"/>
      <c r="V28" s="7">
        <f t="shared" si="5"/>
        <v>0</v>
      </c>
      <c r="W28" s="2"/>
      <c r="X28" s="6">
        <f t="shared" si="6"/>
        <v>353.77999999999975</v>
      </c>
      <c r="Y28" s="2"/>
      <c r="Z28" s="7">
        <f t="shared" si="7"/>
        <v>7.8617777777777717E-2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29105.890000000003</v>
      </c>
      <c r="E29" s="1"/>
      <c r="F29" s="5">
        <f t="shared" ref="F29:F39" si="8">IF(D$12=0,0,D29/D$12)</f>
        <v>0</v>
      </c>
      <c r="G29" s="1"/>
      <c r="H29" s="1">
        <f>SUM(OSRRefH22_1x_0)</f>
        <v>31375.358461538424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-2269.4684615384213</v>
      </c>
      <c r="M29" s="1"/>
      <c r="N29" s="5">
        <f t="shared" ref="N29:N39" si="11">IF(H29=0,0,L29/H29)</f>
        <v>-7.2332829737083507E-2</v>
      </c>
      <c r="O29" s="13"/>
      <c r="P29" s="1">
        <f>SUM(OSRRefP22_1x_0)</f>
        <v>184903.46999999997</v>
      </c>
      <c r="Q29" s="1"/>
      <c r="R29" s="5">
        <f t="shared" ref="R29:R39" si="12">IF(P$12=0,0,P29/P$12)</f>
        <v>0</v>
      </c>
      <c r="S29" s="1"/>
      <c r="T29" s="1">
        <f>SUM(OSRRefT22_1x_0)</f>
        <v>203862.65499999982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-18959.184999999852</v>
      </c>
      <c r="Y29" s="1"/>
      <c r="Z29" s="5">
        <f t="shared" ref="Z29:Z39" si="15">IF(T29=0,0,X29/T29)</f>
        <v>-9.2999794395888097E-2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35226.000000000022</v>
      </c>
      <c r="U30" s="2"/>
      <c r="V30" s="7">
        <f t="shared" si="13"/>
        <v>0</v>
      </c>
      <c r="W30" s="2"/>
      <c r="X30" s="6">
        <f t="shared" si="14"/>
        <v>-35226.000000000022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23793.030000000002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6607.8761538462022</v>
      </c>
      <c r="M31" s="2"/>
      <c r="N31" s="7">
        <f t="shared" si="11"/>
        <v>0.38451073601096142</v>
      </c>
      <c r="O31" s="11"/>
      <c r="P31" s="6">
        <v>149437.90999999997</v>
      </c>
      <c r="Q31" s="2"/>
      <c r="R31" s="7">
        <f t="shared" si="12"/>
        <v>0</v>
      </c>
      <c r="S31" s="2"/>
      <c r="T31" s="6">
        <v>111703.4999999998</v>
      </c>
      <c r="U31" s="2"/>
      <c r="V31" s="7">
        <f t="shared" si="13"/>
        <v>0</v>
      </c>
      <c r="W31" s="2"/>
      <c r="X31" s="6">
        <f t="shared" si="14"/>
        <v>37734.410000000178</v>
      </c>
      <c r="Y31" s="2"/>
      <c r="Z31" s="7">
        <f t="shared" si="15"/>
        <v>0.33780866311261731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16228.68</v>
      </c>
      <c r="U33" s="2"/>
      <c r="V33" s="7">
        <f t="shared" si="13"/>
        <v>0</v>
      </c>
      <c r="W33" s="2"/>
      <c r="X33" s="6">
        <f t="shared" si="14"/>
        <v>-16228.68</v>
      </c>
      <c r="Y33" s="2"/>
      <c r="Z33" s="7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1830.23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1830.23</v>
      </c>
      <c r="M34" s="2"/>
      <c r="N34" s="7">
        <f t="shared" si="11"/>
        <v>0</v>
      </c>
      <c r="O34" s="11"/>
      <c r="P34" s="6">
        <v>13734.68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13734.68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3143.63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3143.63</v>
      </c>
      <c r="M36" s="2"/>
      <c r="N36" s="7">
        <f t="shared" si="11"/>
        <v>0</v>
      </c>
      <c r="O36" s="11"/>
      <c r="P36" s="6">
        <v>18886.88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7984.380000000001</v>
      </c>
      <c r="Y36" s="2"/>
      <c r="Z36" s="7">
        <f t="shared" si="15"/>
        <v>0.73234395780784234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339</v>
      </c>
      <c r="E37" s="2"/>
      <c r="F37" s="7">
        <f t="shared" si="8"/>
        <v>0</v>
      </c>
      <c r="G37" s="2"/>
      <c r="H37" s="6">
        <v>6274.1</v>
      </c>
      <c r="I37" s="2"/>
      <c r="J37" s="7">
        <f t="shared" si="9"/>
        <v>0</v>
      </c>
      <c r="K37" s="2"/>
      <c r="L37" s="6">
        <f t="shared" si="10"/>
        <v>-5935.1</v>
      </c>
      <c r="M37" s="2"/>
      <c r="N37" s="7">
        <f t="shared" si="11"/>
        <v>-0.94596834605760194</v>
      </c>
      <c r="O37" s="11"/>
      <c r="P37" s="6">
        <v>2844</v>
      </c>
      <c r="Q37" s="2"/>
      <c r="R37" s="7">
        <f t="shared" si="12"/>
        <v>0</v>
      </c>
      <c r="S37" s="2"/>
      <c r="T37" s="6">
        <v>29801.974999999999</v>
      </c>
      <c r="U37" s="2"/>
      <c r="V37" s="7">
        <f t="shared" si="13"/>
        <v>0</v>
      </c>
      <c r="W37" s="2"/>
      <c r="X37" s="6">
        <f t="shared" si="14"/>
        <v>-26957.974999999999</v>
      </c>
      <c r="Y37" s="2"/>
      <c r="Z37" s="7">
        <f t="shared" si="15"/>
        <v>-0.90457008302302111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3"/>
      <c r="P40" s="1">
        <f>SUM(OSRRefP22_2x_0)</f>
        <v>0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-25</v>
      </c>
      <c r="Y40" s="1"/>
      <c r="Z40" s="5">
        <f t="shared" ref="Z40:Z57" si="23">IF(T40=0,0,X40/T40)</f>
        <v>-1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-25</v>
      </c>
      <c r="Y41" s="2"/>
      <c r="Z41" s="7">
        <f t="shared" si="23"/>
        <v>-1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9353.2800000000007</v>
      </c>
      <c r="Q42" s="1"/>
      <c r="R42" s="5">
        <f t="shared" si="20"/>
        <v>0</v>
      </c>
      <c r="S42" s="1"/>
      <c r="T42" s="1">
        <f>SUM(OSRRefT22_3x_0)</f>
        <v>9354</v>
      </c>
      <c r="U42" s="1"/>
      <c r="V42" s="5">
        <f t="shared" si="21"/>
        <v>0</v>
      </c>
      <c r="W42" s="1"/>
      <c r="X42" s="1">
        <f t="shared" si="22"/>
        <v>-0.71999999999934516</v>
      </c>
      <c r="Y42" s="1"/>
      <c r="Z42" s="5">
        <f t="shared" si="23"/>
        <v>-7.6972418216735637E-5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9353.2800000000007</v>
      </c>
      <c r="Q43" s="2"/>
      <c r="R43" s="7">
        <f t="shared" si="20"/>
        <v>0</v>
      </c>
      <c r="S43" s="2"/>
      <c r="T43" s="6">
        <v>9354</v>
      </c>
      <c r="U43" s="2"/>
      <c r="V43" s="7">
        <f t="shared" si="21"/>
        <v>0</v>
      </c>
      <c r="W43" s="2"/>
      <c r="X43" s="6">
        <f t="shared" si="22"/>
        <v>-0.71999999999934516</v>
      </c>
      <c r="Y43" s="2"/>
      <c r="Z43" s="7">
        <f t="shared" si="23"/>
        <v>-7.6972418216735637E-5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150</v>
      </c>
      <c r="U44" s="1"/>
      <c r="V44" s="5">
        <f t="shared" si="21"/>
        <v>0</v>
      </c>
      <c r="W44" s="1"/>
      <c r="X44" s="1">
        <f t="shared" si="22"/>
        <v>-150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150</v>
      </c>
      <c r="U45" s="2"/>
      <c r="V45" s="7">
        <f t="shared" si="21"/>
        <v>0</v>
      </c>
      <c r="W45" s="2"/>
      <c r="X45" s="6">
        <f t="shared" si="22"/>
        <v>-150</v>
      </c>
      <c r="Y45" s="2"/>
      <c r="Z45" s="7">
        <f t="shared" si="23"/>
        <v>-1</v>
      </c>
    </row>
    <row r="46" spans="1:26" s="25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-91</v>
      </c>
      <c r="M46" s="1"/>
      <c r="N46" s="5">
        <f t="shared" si="19"/>
        <v>-1</v>
      </c>
      <c r="O46" s="13"/>
      <c r="P46" s="1">
        <f>SUM(OSRRefP22_5x_0)</f>
        <v>547.55999999999995</v>
      </c>
      <c r="Q46" s="1"/>
      <c r="R46" s="5">
        <f t="shared" si="20"/>
        <v>0</v>
      </c>
      <c r="S46" s="1"/>
      <c r="T46" s="1">
        <f>SUM(OSRRefT22_5x_0)</f>
        <v>546</v>
      </c>
      <c r="U46" s="1"/>
      <c r="V46" s="5">
        <f t="shared" si="21"/>
        <v>0</v>
      </c>
      <c r="W46" s="1"/>
      <c r="X46" s="1">
        <f t="shared" si="22"/>
        <v>1.5599999999999454</v>
      </c>
      <c r="Y46" s="1"/>
      <c r="Z46" s="5">
        <f t="shared" si="23"/>
        <v>2.8571428571427574E-3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-91</v>
      </c>
      <c r="M47" s="2"/>
      <c r="N47" s="7">
        <f t="shared" si="19"/>
        <v>-1</v>
      </c>
      <c r="O47" s="11"/>
      <c r="P47" s="6">
        <v>547.55999999999995</v>
      </c>
      <c r="Q47" s="2"/>
      <c r="R47" s="7">
        <f t="shared" si="20"/>
        <v>0</v>
      </c>
      <c r="S47" s="2"/>
      <c r="T47" s="6">
        <v>546</v>
      </c>
      <c r="U47" s="2"/>
      <c r="V47" s="7">
        <f t="shared" si="21"/>
        <v>0</v>
      </c>
      <c r="W47" s="2"/>
      <c r="X47" s="6">
        <f t="shared" si="22"/>
        <v>1.5599999999999454</v>
      </c>
      <c r="Y47" s="2"/>
      <c r="Z47" s="7">
        <f t="shared" si="23"/>
        <v>2.8571428571427574E-3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83.65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-66.349999999999994</v>
      </c>
      <c r="M48" s="1"/>
      <c r="N48" s="5">
        <f t="shared" si="19"/>
        <v>-0.4423333333333333</v>
      </c>
      <c r="O48" s="13"/>
      <c r="P48" s="1">
        <f>SUM(OSRRefP22_6x_0)</f>
        <v>748.9</v>
      </c>
      <c r="Q48" s="1"/>
      <c r="R48" s="5">
        <f t="shared" si="20"/>
        <v>0</v>
      </c>
      <c r="S48" s="1"/>
      <c r="T48" s="1">
        <f>SUM(OSRRefT22_6x_0)</f>
        <v>900</v>
      </c>
      <c r="U48" s="1"/>
      <c r="V48" s="5">
        <f t="shared" si="21"/>
        <v>0</v>
      </c>
      <c r="W48" s="1"/>
      <c r="X48" s="1">
        <f t="shared" si="22"/>
        <v>-151.10000000000002</v>
      </c>
      <c r="Y48" s="1"/>
      <c r="Z48" s="5">
        <f t="shared" si="23"/>
        <v>-0.16788888888888892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6">
        <v>83.65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-66.349999999999994</v>
      </c>
      <c r="M49" s="2"/>
      <c r="N49" s="7">
        <f t="shared" si="19"/>
        <v>-0.4423333333333333</v>
      </c>
      <c r="O49" s="11"/>
      <c r="P49" s="6">
        <v>748.9</v>
      </c>
      <c r="Q49" s="2"/>
      <c r="R49" s="7">
        <f t="shared" si="20"/>
        <v>0</v>
      </c>
      <c r="S49" s="2"/>
      <c r="T49" s="6">
        <v>900</v>
      </c>
      <c r="U49" s="2"/>
      <c r="V49" s="7">
        <f t="shared" si="21"/>
        <v>0</v>
      </c>
      <c r="W49" s="2"/>
      <c r="X49" s="6">
        <f t="shared" si="22"/>
        <v>-151.10000000000002</v>
      </c>
      <c r="Y49" s="2"/>
      <c r="Z49" s="7">
        <f t="shared" si="23"/>
        <v>-0.16788888888888892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150</v>
      </c>
      <c r="U50" s="1"/>
      <c r="V50" s="5">
        <f t="shared" si="21"/>
        <v>0</v>
      </c>
      <c r="W50" s="1"/>
      <c r="X50" s="1">
        <f t="shared" si="22"/>
        <v>-150</v>
      </c>
      <c r="Y50" s="1"/>
      <c r="Z50" s="5">
        <f t="shared" si="23"/>
        <v>-1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150</v>
      </c>
      <c r="U51" s="2"/>
      <c r="V51" s="7">
        <f t="shared" si="21"/>
        <v>0</v>
      </c>
      <c r="W51" s="2"/>
      <c r="X51" s="6">
        <f t="shared" si="22"/>
        <v>-150</v>
      </c>
      <c r="Y51" s="2"/>
      <c r="Z51" s="7">
        <f t="shared" si="23"/>
        <v>-1</v>
      </c>
    </row>
    <row r="52" spans="1:26" s="25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793.02</v>
      </c>
      <c r="Q52" s="1"/>
      <c r="R52" s="5">
        <f t="shared" si="20"/>
        <v>0</v>
      </c>
      <c r="S52" s="1"/>
      <c r="T52" s="1">
        <f>SUM(OSRRefT22_8x_0)</f>
        <v>750</v>
      </c>
      <c r="U52" s="1"/>
      <c r="V52" s="5">
        <f t="shared" si="21"/>
        <v>0</v>
      </c>
      <c r="W52" s="1"/>
      <c r="X52" s="1">
        <f t="shared" si="22"/>
        <v>43.019999999999982</v>
      </c>
      <c r="Y52" s="1"/>
      <c r="Z52" s="5">
        <f t="shared" si="23"/>
        <v>5.7359999999999974E-2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793.02</v>
      </c>
      <c r="Q53" s="2"/>
      <c r="R53" s="7">
        <f t="shared" si="20"/>
        <v>0</v>
      </c>
      <c r="S53" s="2"/>
      <c r="T53" s="6">
        <v>750</v>
      </c>
      <c r="U53" s="2"/>
      <c r="V53" s="7">
        <f t="shared" si="21"/>
        <v>0</v>
      </c>
      <c r="W53" s="2"/>
      <c r="X53" s="6">
        <f t="shared" si="22"/>
        <v>43.019999999999982</v>
      </c>
      <c r="Y53" s="2"/>
      <c r="Z53" s="7">
        <f t="shared" si="23"/>
        <v>5.7359999999999974E-2</v>
      </c>
    </row>
    <row r="54" spans="1:26" s="25" customFormat="1" outlineLevel="1" collapsed="1" x14ac:dyDescent="0.25">
      <c r="A54" s="27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6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6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6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5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3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600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-517.5</v>
      </c>
      <c r="Y58" s="1"/>
      <c r="Z58" s="5">
        <f t="shared" ref="Z58:Z63" si="31">IF(T58=0,0,X58/T58)</f>
        <v>-0.86250000000000004</v>
      </c>
    </row>
    <row r="59" spans="1:26" s="24" customFormat="1" hidden="1" outlineLevel="2" x14ac:dyDescent="0.25">
      <c r="A59" s="26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600</v>
      </c>
      <c r="U59" s="2"/>
      <c r="V59" s="7">
        <f t="shared" si="29"/>
        <v>0</v>
      </c>
      <c r="W59" s="2"/>
      <c r="X59" s="6">
        <f t="shared" si="30"/>
        <v>-517.5</v>
      </c>
      <c r="Y59" s="2"/>
      <c r="Z59" s="7">
        <f t="shared" si="31"/>
        <v>-0.86250000000000004</v>
      </c>
    </row>
    <row r="60" spans="1:26" s="25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392.71</v>
      </c>
      <c r="E60" s="1"/>
      <c r="F60" s="5">
        <f t="shared" si="24"/>
        <v>0</v>
      </c>
      <c r="G60" s="1"/>
      <c r="H60" s="1">
        <f>SUM(OSRRefH22_11x_0)</f>
        <v>4500</v>
      </c>
      <c r="I60" s="1"/>
      <c r="J60" s="5">
        <f t="shared" si="25"/>
        <v>0</v>
      </c>
      <c r="K60" s="1"/>
      <c r="L60" s="1">
        <f t="shared" si="26"/>
        <v>-4107.29</v>
      </c>
      <c r="M60" s="1"/>
      <c r="N60" s="5">
        <f t="shared" si="27"/>
        <v>-0.91273111111111105</v>
      </c>
      <c r="O60" s="13"/>
      <c r="P60" s="1">
        <f>SUM(OSRRefP22_11x_0)</f>
        <v>964.19</v>
      </c>
      <c r="Q60" s="1"/>
      <c r="R60" s="5">
        <f t="shared" si="28"/>
        <v>0</v>
      </c>
      <c r="S60" s="1"/>
      <c r="T60" s="1">
        <f>SUM(OSRRefT22_11x_0)</f>
        <v>4600</v>
      </c>
      <c r="U60" s="1"/>
      <c r="V60" s="5">
        <f t="shared" si="29"/>
        <v>0</v>
      </c>
      <c r="W60" s="1"/>
      <c r="X60" s="1">
        <f t="shared" si="30"/>
        <v>-3635.81</v>
      </c>
      <c r="Y60" s="1"/>
      <c r="Z60" s="5">
        <f t="shared" si="31"/>
        <v>-0.79039347826086959</v>
      </c>
    </row>
    <row r="61" spans="1:26" s="24" customFormat="1" hidden="1" outlineLevel="2" x14ac:dyDescent="0.25">
      <c r="A61" s="26"/>
      <c r="B61" s="11" t="str">
        <f>CONCATENATE("          ", "6371", " - ", "COMPUTER SOFTWARE MAINTENANCE")</f>
        <v xml:space="preserve">          6371 - COMPUTER SOFTWARE MAINTENANCE</v>
      </c>
      <c r="C61" s="11"/>
      <c r="D61" s="6">
        <v>375</v>
      </c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375</v>
      </c>
      <c r="M61" s="2"/>
      <c r="N61" s="7">
        <f t="shared" si="27"/>
        <v>0</v>
      </c>
      <c r="O61" s="11"/>
      <c r="P61" s="6">
        <v>375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375</v>
      </c>
      <c r="Y61" s="2"/>
      <c r="Z61" s="7">
        <f t="shared" si="31"/>
        <v>0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6">
        <v>17.71</v>
      </c>
      <c r="E62" s="2"/>
      <c r="F62" s="7">
        <f t="shared" si="24"/>
        <v>0</v>
      </c>
      <c r="G62" s="2"/>
      <c r="H62" s="6">
        <v>4500</v>
      </c>
      <c r="I62" s="2"/>
      <c r="J62" s="7">
        <f t="shared" si="25"/>
        <v>0</v>
      </c>
      <c r="K62" s="2"/>
      <c r="L62" s="6">
        <f t="shared" si="26"/>
        <v>-4482.29</v>
      </c>
      <c r="M62" s="2"/>
      <c r="N62" s="7">
        <f t="shared" si="27"/>
        <v>-0.99606444444444442</v>
      </c>
      <c r="O62" s="11"/>
      <c r="P62" s="6">
        <v>124.61</v>
      </c>
      <c r="Q62" s="2"/>
      <c r="R62" s="7">
        <f t="shared" si="28"/>
        <v>0</v>
      </c>
      <c r="S62" s="2"/>
      <c r="T62" s="6">
        <v>4600</v>
      </c>
      <c r="U62" s="2"/>
      <c r="V62" s="7">
        <f t="shared" si="29"/>
        <v>0</v>
      </c>
      <c r="W62" s="2"/>
      <c r="X62" s="6">
        <f t="shared" si="30"/>
        <v>-4475.3900000000003</v>
      </c>
      <c r="Y62" s="2"/>
      <c r="Z62" s="7">
        <f t="shared" si="31"/>
        <v>-0.97291086956521744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464.58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464.58</v>
      </c>
      <c r="Y63" s="2"/>
      <c r="Z63" s="7">
        <f t="shared" si="31"/>
        <v>0</v>
      </c>
    </row>
    <row r="64" spans="1:26" s="25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SUM(OSRRefD22_12x_0)</f>
        <v>504.37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-95.63</v>
      </c>
      <c r="M64" s="1"/>
      <c r="N64" s="5">
        <f t="shared" ref="N64:N70" si="35">IF(H64=0,0,L64/H64)</f>
        <v>-0.15938333333333332</v>
      </c>
      <c r="O64" s="13"/>
      <c r="P64" s="1">
        <f>SUM(OSRRefP22_12x_0)</f>
        <v>8099.4</v>
      </c>
      <c r="Q64" s="1"/>
      <c r="R64" s="5">
        <f t="shared" ref="R64:R70" si="36">IF(P$12=0,0,P64/P$12)</f>
        <v>0</v>
      </c>
      <c r="S64" s="1"/>
      <c r="T64" s="1">
        <f>SUM(OSRRefT22_12x_0)</f>
        <v>3600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4499.3999999999996</v>
      </c>
      <c r="Y64" s="1"/>
      <c r="Z64" s="5">
        <f t="shared" ref="Z64:Z70" si="39">IF(T64=0,0,X64/T64)</f>
        <v>1.2498333333333331</v>
      </c>
    </row>
    <row r="65" spans="1:26" s="24" customFormat="1" hidden="1" outlineLevel="2" x14ac:dyDescent="0.25">
      <c r="A65" s="26"/>
      <c r="B65" s="11" t="str">
        <f>CONCATENATE("          ", "6281", " - ", "STORAGE FEE")</f>
        <v xml:space="preserve">          6281 - STORAGE FEE</v>
      </c>
      <c r="C65" s="11"/>
      <c r="D65" s="6">
        <v>504.37</v>
      </c>
      <c r="E65" s="2"/>
      <c r="F65" s="7">
        <f t="shared" si="32"/>
        <v>0</v>
      </c>
      <c r="G65" s="2"/>
      <c r="H65" s="6">
        <v>600</v>
      </c>
      <c r="I65" s="2"/>
      <c r="J65" s="7">
        <f t="shared" si="33"/>
        <v>0</v>
      </c>
      <c r="K65" s="2"/>
      <c r="L65" s="6">
        <f t="shared" si="34"/>
        <v>-95.63</v>
      </c>
      <c r="M65" s="2"/>
      <c r="N65" s="7">
        <f t="shared" si="35"/>
        <v>-0.15938333333333332</v>
      </c>
      <c r="O65" s="11"/>
      <c r="P65" s="6">
        <v>8099.4</v>
      </c>
      <c r="Q65" s="2"/>
      <c r="R65" s="7">
        <f t="shared" si="36"/>
        <v>0</v>
      </c>
      <c r="S65" s="2"/>
      <c r="T65" s="6">
        <v>3600</v>
      </c>
      <c r="U65" s="2"/>
      <c r="V65" s="7">
        <f t="shared" si="37"/>
        <v>0</v>
      </c>
      <c r="W65" s="2"/>
      <c r="X65" s="6">
        <f t="shared" si="38"/>
        <v>4499.3999999999996</v>
      </c>
      <c r="Y65" s="2"/>
      <c r="Z65" s="7">
        <f t="shared" si="39"/>
        <v>1.2498333333333331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6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39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39</v>
      </c>
      <c r="Y67" s="2"/>
      <c r="Z67" s="7">
        <f t="shared" si="39"/>
        <v>0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177.3</v>
      </c>
      <c r="E68" s="1"/>
      <c r="F68" s="5">
        <f t="shared" si="32"/>
        <v>0</v>
      </c>
      <c r="G68" s="1"/>
      <c r="H68" s="1">
        <f>SUM(OSRRefH22_14x_0)</f>
        <v>300</v>
      </c>
      <c r="I68" s="1"/>
      <c r="J68" s="5">
        <f t="shared" si="33"/>
        <v>0</v>
      </c>
      <c r="K68" s="1"/>
      <c r="L68" s="1">
        <f t="shared" si="34"/>
        <v>-122.69999999999999</v>
      </c>
      <c r="M68" s="1"/>
      <c r="N68" s="5">
        <f t="shared" si="35"/>
        <v>-0.40899999999999997</v>
      </c>
      <c r="O68" s="13"/>
      <c r="P68" s="1">
        <f>SUM(OSRRefP22_14x_0)</f>
        <v>3062.25</v>
      </c>
      <c r="Q68" s="1"/>
      <c r="R68" s="5">
        <f t="shared" si="36"/>
        <v>0</v>
      </c>
      <c r="S68" s="1"/>
      <c r="T68" s="1">
        <f>SUM(OSRRefT22_14x_0)</f>
        <v>1550</v>
      </c>
      <c r="U68" s="1"/>
      <c r="V68" s="5">
        <f t="shared" si="37"/>
        <v>0</v>
      </c>
      <c r="W68" s="1"/>
      <c r="X68" s="1">
        <f t="shared" si="38"/>
        <v>1512.25</v>
      </c>
      <c r="Y68" s="1"/>
      <c r="Z68" s="5">
        <f t="shared" si="39"/>
        <v>0.97564516129032253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177.3</v>
      </c>
      <c r="E69" s="2"/>
      <c r="F69" s="7">
        <f t="shared" si="32"/>
        <v>0</v>
      </c>
      <c r="G69" s="2"/>
      <c r="H69" s="6">
        <v>300</v>
      </c>
      <c r="I69" s="2"/>
      <c r="J69" s="7">
        <f t="shared" si="33"/>
        <v>0</v>
      </c>
      <c r="K69" s="2"/>
      <c r="L69" s="6">
        <f t="shared" si="34"/>
        <v>-122.69999999999999</v>
      </c>
      <c r="M69" s="2"/>
      <c r="N69" s="7">
        <f t="shared" si="35"/>
        <v>-0.40899999999999997</v>
      </c>
      <c r="O69" s="11"/>
      <c r="P69" s="6">
        <v>2399.34</v>
      </c>
      <c r="Q69" s="2"/>
      <c r="R69" s="7">
        <f t="shared" si="36"/>
        <v>0</v>
      </c>
      <c r="S69" s="2"/>
      <c r="T69" s="6">
        <v>1550</v>
      </c>
      <c r="U69" s="2"/>
      <c r="V69" s="7">
        <f t="shared" si="37"/>
        <v>0</v>
      </c>
      <c r="W69" s="2"/>
      <c r="X69" s="6">
        <f t="shared" si="38"/>
        <v>849.34000000000015</v>
      </c>
      <c r="Y69" s="2"/>
      <c r="Z69" s="7">
        <f t="shared" si="39"/>
        <v>0.54796129032258079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32"/>
        <v>0</v>
      </c>
      <c r="G70" s="2"/>
      <c r="H70" s="6"/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662.91</v>
      </c>
      <c r="Q70" s="2"/>
      <c r="R70" s="7">
        <f t="shared" si="36"/>
        <v>0</v>
      </c>
      <c r="S70" s="2"/>
      <c r="T70" s="6"/>
      <c r="U70" s="2"/>
      <c r="V70" s="7">
        <f t="shared" si="37"/>
        <v>0</v>
      </c>
      <c r="W70" s="2"/>
      <c r="X70" s="6">
        <f t="shared" si="38"/>
        <v>662.91</v>
      </c>
      <c r="Y70" s="2"/>
      <c r="Z70" s="7">
        <f t="shared" si="39"/>
        <v>0</v>
      </c>
    </row>
    <row r="71" spans="1:26" s="25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SUM(OSRRefD22_15x_0)</f>
        <v>443.83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68.829999999999984</v>
      </c>
      <c r="M71" s="1"/>
      <c r="N71" s="5">
        <f t="shared" ref="N71:N74" si="43">IF(H71=0,0,L71/H71)</f>
        <v>0.18354666666666664</v>
      </c>
      <c r="O71" s="13"/>
      <c r="P71" s="1">
        <f>SUM(OSRRefP22_15x_0)</f>
        <v>2439.44</v>
      </c>
      <c r="Q71" s="1"/>
      <c r="R71" s="5">
        <f t="shared" ref="R71:R74" si="44">IF(P$12=0,0,P71/P$12)</f>
        <v>0</v>
      </c>
      <c r="S71" s="1"/>
      <c r="T71" s="1">
        <f>SUM(OSRRefT22_15x_0)</f>
        <v>2250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189.44000000000005</v>
      </c>
      <c r="Y71" s="1"/>
      <c r="Z71" s="5">
        <f t="shared" ref="Z71:Z74" si="47">IF(T71=0,0,X71/T71)</f>
        <v>8.4195555555555579E-2</v>
      </c>
    </row>
    <row r="72" spans="1:26" s="24" customFormat="1" hidden="1" outlineLevel="2" x14ac:dyDescent="0.25">
      <c r="A72" s="26"/>
      <c r="B72" s="11" t="str">
        <f>CONCATENATE("          ", "6309", " - ", "TELEPHONE")</f>
        <v xml:space="preserve">          6309 - TELEPHONE</v>
      </c>
      <c r="C72" s="11"/>
      <c r="D72" s="6">
        <v>443.83</v>
      </c>
      <c r="E72" s="2"/>
      <c r="F72" s="7">
        <f t="shared" si="40"/>
        <v>0</v>
      </c>
      <c r="G72" s="2"/>
      <c r="H72" s="6">
        <v>375</v>
      </c>
      <c r="I72" s="2"/>
      <c r="J72" s="7">
        <f t="shared" si="41"/>
        <v>0</v>
      </c>
      <c r="K72" s="2"/>
      <c r="L72" s="6">
        <f t="shared" si="42"/>
        <v>68.829999999999984</v>
      </c>
      <c r="M72" s="2"/>
      <c r="N72" s="7">
        <f t="shared" si="43"/>
        <v>0.18354666666666664</v>
      </c>
      <c r="O72" s="11"/>
      <c r="P72" s="6">
        <v>2439.44</v>
      </c>
      <c r="Q72" s="2"/>
      <c r="R72" s="7">
        <f t="shared" si="44"/>
        <v>0</v>
      </c>
      <c r="S72" s="2"/>
      <c r="T72" s="6">
        <v>2250</v>
      </c>
      <c r="U72" s="2"/>
      <c r="V72" s="7">
        <f t="shared" si="45"/>
        <v>0</v>
      </c>
      <c r="W72" s="2"/>
      <c r="X72" s="6">
        <f t="shared" si="46"/>
        <v>189.44000000000005</v>
      </c>
      <c r="Y72" s="2"/>
      <c r="Z72" s="7">
        <f t="shared" si="47"/>
        <v>8.4195555555555579E-2</v>
      </c>
    </row>
    <row r="73" spans="1:26" s="25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SUM(OSRRefD22_16x_0)</f>
        <v>311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-272</v>
      </c>
      <c r="M73" s="1"/>
      <c r="N73" s="5">
        <f t="shared" si="43"/>
        <v>-0.46655231560891941</v>
      </c>
      <c r="O73" s="13"/>
      <c r="P73" s="1">
        <f>SUM(OSRRefP22_16x_0)</f>
        <v>338.53</v>
      </c>
      <c r="Q73" s="1"/>
      <c r="R73" s="5">
        <f t="shared" si="44"/>
        <v>0</v>
      </c>
      <c r="S73" s="1"/>
      <c r="T73" s="1">
        <f>SUM(OSRRefT22_16x_0)</f>
        <v>3498</v>
      </c>
      <c r="U73" s="1"/>
      <c r="V73" s="5">
        <f t="shared" si="45"/>
        <v>0</v>
      </c>
      <c r="W73" s="1"/>
      <c r="X73" s="1">
        <f t="shared" si="46"/>
        <v>-3159.4700000000003</v>
      </c>
      <c r="Y73" s="1"/>
      <c r="Z73" s="5">
        <f t="shared" si="47"/>
        <v>-0.90322184105202985</v>
      </c>
    </row>
    <row r="74" spans="1:26" s="24" customFormat="1" hidden="1" outlineLevel="2" x14ac:dyDescent="0.25">
      <c r="A74" s="26"/>
      <c r="B74" s="11" t="str">
        <f>CONCATENATE("          ", "6376", " - ", "TRAINING")</f>
        <v xml:space="preserve">          6376 - TRAINING</v>
      </c>
      <c r="C74" s="11"/>
      <c r="D74" s="6">
        <v>311</v>
      </c>
      <c r="E74" s="2"/>
      <c r="F74" s="7">
        <f t="shared" si="40"/>
        <v>0</v>
      </c>
      <c r="G74" s="2"/>
      <c r="H74" s="6">
        <v>583</v>
      </c>
      <c r="I74" s="2"/>
      <c r="J74" s="7">
        <f t="shared" si="41"/>
        <v>0</v>
      </c>
      <c r="K74" s="2"/>
      <c r="L74" s="6">
        <f t="shared" si="42"/>
        <v>-272</v>
      </c>
      <c r="M74" s="2"/>
      <c r="N74" s="7">
        <f t="shared" si="43"/>
        <v>-0.46655231560891941</v>
      </c>
      <c r="O74" s="11"/>
      <c r="P74" s="6">
        <v>338.53</v>
      </c>
      <c r="Q74" s="2"/>
      <c r="R74" s="7">
        <f t="shared" si="44"/>
        <v>0</v>
      </c>
      <c r="S74" s="2"/>
      <c r="T74" s="6">
        <v>3498</v>
      </c>
      <c r="U74" s="2"/>
      <c r="V74" s="7">
        <f t="shared" si="45"/>
        <v>0</v>
      </c>
      <c r="W74" s="2"/>
      <c r="X74" s="6">
        <f t="shared" si="46"/>
        <v>-3159.4700000000003</v>
      </c>
      <c r="Y74" s="2"/>
      <c r="Z74" s="7">
        <f t="shared" si="47"/>
        <v>-0.90322184105202985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2">
        <f>+D16-D18+D76</f>
        <v>-47027.140000000007</v>
      </c>
      <c r="E78" s="14"/>
      <c r="F78" s="20">
        <f>IF(D$12=0,0,D78/D$12)</f>
        <v>0</v>
      </c>
      <c r="G78" s="14"/>
      <c r="H78" s="22">
        <f>+H16-H18+H76</f>
        <v>-53870.253413846098</v>
      </c>
      <c r="I78" s="14"/>
      <c r="J78" s="20">
        <f>IF(H$12=0,0,H78/H$12)</f>
        <v>0</v>
      </c>
      <c r="K78" s="16"/>
      <c r="L78" s="22">
        <f>+D78-H78</f>
        <v>6843.1134138460911</v>
      </c>
      <c r="M78" s="16"/>
      <c r="N78" s="20">
        <f>IF(H78=0,0,L78/H78)</f>
        <v>-0.12702953819941057</v>
      </c>
      <c r="O78" s="28"/>
      <c r="P78" s="22">
        <f>+P16-P18+P76</f>
        <v>-306157.19000000006</v>
      </c>
      <c r="Q78" s="14"/>
      <c r="R78" s="20">
        <f>IF(P$12=0,0,P78/P$12)</f>
        <v>0</v>
      </c>
      <c r="S78" s="14"/>
      <c r="T78" s="22">
        <f>+T16-T18+T76</f>
        <v>-320664.84051499976</v>
      </c>
      <c r="U78" s="14"/>
      <c r="V78" s="20">
        <f>IF(T$12=0,0,T78/T$12)</f>
        <v>0</v>
      </c>
      <c r="W78" s="16"/>
      <c r="X78" s="22">
        <f>+P78-T78</f>
        <v>14507.650514999696</v>
      </c>
      <c r="Y78" s="16"/>
      <c r="Z78" s="20">
        <f>IF(T78=0,0,X78/T78)</f>
        <v>-4.5242411022361741E-2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1">
        <f>+D78-D80</f>
        <v>-47027.140000000007</v>
      </c>
      <c r="E82" s="14"/>
      <c r="F82" s="32">
        <f>IF(D$12=0,0,D82/D$12)</f>
        <v>0</v>
      </c>
      <c r="G82" s="14"/>
      <c r="H82" s="31">
        <f>+H78-H80</f>
        <v>-53870.253413846098</v>
      </c>
      <c r="I82" s="14"/>
      <c r="J82" s="32">
        <f>IF(H$12=0,0,H82/H$12)</f>
        <v>0</v>
      </c>
      <c r="K82" s="16"/>
      <c r="L82" s="31">
        <f>D82-H82</f>
        <v>6843.1134138460911</v>
      </c>
      <c r="M82" s="16"/>
      <c r="N82" s="32">
        <f>IF(H82=0,0,L82/H82)</f>
        <v>-0.12702953819941057</v>
      </c>
      <c r="O82" s="28"/>
      <c r="P82" s="31">
        <f>+P78-P80</f>
        <v>-306157.19000000006</v>
      </c>
      <c r="Q82" s="14"/>
      <c r="R82" s="32">
        <f>IF(P$12=0,0,P82/P$12)</f>
        <v>0</v>
      </c>
      <c r="S82" s="14"/>
      <c r="T82" s="31">
        <f>+T78-T80</f>
        <v>-320664.84051499976</v>
      </c>
      <c r="U82" s="14"/>
      <c r="V82" s="32">
        <f>IF(T$12=0,0,T82/T$12)</f>
        <v>0</v>
      </c>
      <c r="W82" s="16"/>
      <c r="X82" s="31">
        <f>P82-T82</f>
        <v>14507.650514999696</v>
      </c>
      <c r="Y82" s="16"/>
      <c r="Z82" s="32">
        <f>IF(T82=0,0,X82/T82)</f>
        <v>-4.5242411022361741E-2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5">
        <f>SUM(D82:D84)</f>
        <v>-47027.140000000007</v>
      </c>
      <c r="E85" s="14"/>
      <c r="F85" s="34">
        <f>IF(D$12=0,0,D85/D$12)</f>
        <v>0</v>
      </c>
      <c r="G85" s="14"/>
      <c r="H85" s="35">
        <f>SUM(H82:H84)</f>
        <v>-53870.253413846098</v>
      </c>
      <c r="I85" s="14"/>
      <c r="J85" s="34">
        <f>IF(H$12=0,0,H85/H$12)</f>
        <v>0</v>
      </c>
      <c r="K85" s="16"/>
      <c r="L85" s="35">
        <f>+D85-H85</f>
        <v>6843.1134138460911</v>
      </c>
      <c r="M85" s="16"/>
      <c r="N85" s="34">
        <f>IF(H85=0,0,L85/H85)</f>
        <v>-0.12702953819941057</v>
      </c>
      <c r="O85" s="28"/>
      <c r="P85" s="35">
        <f>SUM(P82:P84)</f>
        <v>-306157.19000000006</v>
      </c>
      <c r="Q85" s="14"/>
      <c r="R85" s="34">
        <f>IF(P$12=0,0,P85/P$12)</f>
        <v>0</v>
      </c>
      <c r="S85" s="14"/>
      <c r="T85" s="35">
        <f>SUM(T82:T84)</f>
        <v>-320664.84051499976</v>
      </c>
      <c r="U85" s="14"/>
      <c r="V85" s="34">
        <f>IF(T$12=0,0,T85/T$12)</f>
        <v>0</v>
      </c>
      <c r="W85" s="16"/>
      <c r="X85" s="35">
        <f>+P85-T85</f>
        <v>14507.650514999696</v>
      </c>
      <c r="Y85" s="16"/>
      <c r="Z85" s="34">
        <f>IF(T85=0,0,X85/T85)</f>
        <v>-4.5242411022361741E-2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3">
        <v>43847.445698379626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5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6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62517.429999999993</v>
      </c>
      <c r="E18" s="21"/>
      <c r="F18" s="30">
        <f t="shared" ref="F18:F29" si="0">IF(D$12=0,0,D18/D$12)</f>
        <v>0</v>
      </c>
      <c r="G18" s="21"/>
      <c r="H18" s="21">
        <f>SUM(OSRRefH22x_0)</f>
        <v>62915.270203673834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-397.84020367384073</v>
      </c>
      <c r="M18" s="4"/>
      <c r="N18" s="30">
        <f t="shared" ref="N18:N29" si="3">IF(H18=0,0,L18/H18)</f>
        <v>-6.3234283566759525E-3</v>
      </c>
      <c r="O18" s="10"/>
      <c r="P18" s="21">
        <f>SUM(OSRRefP22x_0)</f>
        <v>402598.70999999996</v>
      </c>
      <c r="Q18" s="21"/>
      <c r="R18" s="30">
        <f t="shared" ref="R18:R29" si="4">IF(P$12=0,0,P18/P$12)</f>
        <v>0</v>
      </c>
      <c r="S18" s="21"/>
      <c r="T18" s="21">
        <f>SUM(OSRRefT22x_0)</f>
        <v>370937.25632387993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31661.453676120029</v>
      </c>
      <c r="Y18" s="4"/>
      <c r="Z18" s="30">
        <f t="shared" ref="Z18:Z29" si="7">IF(T18=0,0,X18/T18)</f>
        <v>8.5355280809202849E-2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11647.369999999999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1612.6815194030842</v>
      </c>
      <c r="M19" s="1"/>
      <c r="N19" s="5">
        <f t="shared" si="3"/>
        <v>0.16071067104089648</v>
      </c>
      <c r="O19" s="13"/>
      <c r="P19" s="1">
        <f>SUM(OSRRefP22_0x_0)</f>
        <v>81364.08</v>
      </c>
      <c r="Q19" s="1"/>
      <c r="R19" s="5">
        <f t="shared" si="4"/>
        <v>0</v>
      </c>
      <c r="S19" s="1"/>
      <c r="T19" s="1">
        <f>SUM(OSRRefT22_0x_0)</f>
        <v>63761.975123879973</v>
      </c>
      <c r="U19" s="1"/>
      <c r="V19" s="5">
        <f t="shared" si="5"/>
        <v>0</v>
      </c>
      <c r="W19" s="1"/>
      <c r="X19" s="1">
        <f t="shared" si="6"/>
        <v>17602.104876120029</v>
      </c>
      <c r="Y19" s="1"/>
      <c r="Z19" s="5">
        <f t="shared" si="7"/>
        <v>0.27605959260079027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1797.27</v>
      </c>
      <c r="E20" s="2"/>
      <c r="F20" s="7">
        <f t="shared" si="0"/>
        <v>0</v>
      </c>
      <c r="G20" s="2"/>
      <c r="H20" s="6">
        <v>1285.4190258276901</v>
      </c>
      <c r="I20" s="2"/>
      <c r="J20" s="7">
        <f t="shared" si="1"/>
        <v>0</v>
      </c>
      <c r="K20" s="2"/>
      <c r="L20" s="6">
        <f t="shared" si="2"/>
        <v>511.85097417230986</v>
      </c>
      <c r="M20" s="2"/>
      <c r="N20" s="7">
        <f t="shared" si="3"/>
        <v>0.39819775799780582</v>
      </c>
      <c r="O20" s="11"/>
      <c r="P20" s="6">
        <v>12581.17</v>
      </c>
      <c r="Q20" s="2"/>
      <c r="R20" s="7">
        <f t="shared" si="4"/>
        <v>0</v>
      </c>
      <c r="S20" s="2"/>
      <c r="T20" s="6">
        <v>8355.22366788</v>
      </c>
      <c r="U20" s="2"/>
      <c r="V20" s="7">
        <f t="shared" si="5"/>
        <v>0</v>
      </c>
      <c r="W20" s="2"/>
      <c r="X20" s="6">
        <f t="shared" si="6"/>
        <v>4225.9463321200001</v>
      </c>
      <c r="Y20" s="2"/>
      <c r="Z20" s="7">
        <f t="shared" si="7"/>
        <v>0.50578494365935556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116.47</v>
      </c>
      <c r="E21" s="2"/>
      <c r="F21" s="7">
        <f t="shared" si="0"/>
        <v>0</v>
      </c>
      <c r="G21" s="2"/>
      <c r="H21" s="6">
        <v>81.560139446153897</v>
      </c>
      <c r="I21" s="2"/>
      <c r="J21" s="7">
        <f t="shared" si="1"/>
        <v>0</v>
      </c>
      <c r="K21" s="2"/>
      <c r="L21" s="6">
        <f t="shared" si="2"/>
        <v>34.909860553846102</v>
      </c>
      <c r="M21" s="2"/>
      <c r="N21" s="7">
        <f t="shared" si="3"/>
        <v>0.42802600376736277</v>
      </c>
      <c r="O21" s="11"/>
      <c r="P21" s="6">
        <v>427.64</v>
      </c>
      <c r="Q21" s="2"/>
      <c r="R21" s="7">
        <f t="shared" si="4"/>
        <v>0</v>
      </c>
      <c r="S21" s="2"/>
      <c r="T21" s="6">
        <v>530.14090639999961</v>
      </c>
      <c r="U21" s="2"/>
      <c r="V21" s="7">
        <f t="shared" si="5"/>
        <v>0</v>
      </c>
      <c r="W21" s="2"/>
      <c r="X21" s="6">
        <f t="shared" si="6"/>
        <v>-102.50090639999962</v>
      </c>
      <c r="Y21" s="2"/>
      <c r="Z21" s="7">
        <f t="shared" si="7"/>
        <v>-0.19334653327555351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5861.62</v>
      </c>
      <c r="E22" s="2"/>
      <c r="F22" s="7">
        <f t="shared" si="0"/>
        <v>0</v>
      </c>
      <c r="G22" s="2"/>
      <c r="H22" s="6">
        <v>5626.8461538461497</v>
      </c>
      <c r="I22" s="2"/>
      <c r="J22" s="7">
        <f t="shared" si="1"/>
        <v>0</v>
      </c>
      <c r="K22" s="2"/>
      <c r="L22" s="6">
        <f t="shared" si="2"/>
        <v>234.77384615385017</v>
      </c>
      <c r="M22" s="2"/>
      <c r="N22" s="7">
        <f t="shared" si="3"/>
        <v>4.1723878658629025E-2</v>
      </c>
      <c r="O22" s="11"/>
      <c r="P22" s="6">
        <v>35170.519999999997</v>
      </c>
      <c r="Q22" s="2"/>
      <c r="R22" s="7">
        <f t="shared" si="4"/>
        <v>0</v>
      </c>
      <c r="S22" s="2"/>
      <c r="T22" s="6">
        <v>35585.999999999978</v>
      </c>
      <c r="U22" s="2"/>
      <c r="V22" s="7">
        <f t="shared" si="5"/>
        <v>0</v>
      </c>
      <c r="W22" s="2"/>
      <c r="X22" s="6">
        <f t="shared" si="6"/>
        <v>-415.47999999998137</v>
      </c>
      <c r="Y22" s="2"/>
      <c r="Z22" s="7">
        <f t="shared" si="7"/>
        <v>-1.1675377957623268E-2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89.06</v>
      </c>
      <c r="E23" s="2"/>
      <c r="F23" s="7">
        <f t="shared" si="0"/>
        <v>0</v>
      </c>
      <c r="G23" s="2"/>
      <c r="H23" s="6">
        <v>62.369518399999997</v>
      </c>
      <c r="I23" s="2"/>
      <c r="J23" s="7">
        <f t="shared" si="1"/>
        <v>0</v>
      </c>
      <c r="K23" s="2"/>
      <c r="L23" s="6">
        <f t="shared" si="2"/>
        <v>26.690481600000005</v>
      </c>
      <c r="M23" s="2"/>
      <c r="N23" s="7">
        <f t="shared" si="3"/>
        <v>0.42794112067410173</v>
      </c>
      <c r="O23" s="11"/>
      <c r="P23" s="6">
        <v>425.71</v>
      </c>
      <c r="Q23" s="2"/>
      <c r="R23" s="7">
        <f t="shared" si="4"/>
        <v>0</v>
      </c>
      <c r="S23" s="2"/>
      <c r="T23" s="6">
        <v>405.4018696</v>
      </c>
      <c r="U23" s="2"/>
      <c r="V23" s="7">
        <f t="shared" si="5"/>
        <v>0</v>
      </c>
      <c r="W23" s="2"/>
      <c r="X23" s="6">
        <f t="shared" si="6"/>
        <v>20.308130399999982</v>
      </c>
      <c r="Y23" s="2"/>
      <c r="Z23" s="7">
        <f t="shared" si="7"/>
        <v>5.0093825220977675E-2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234.60846153846194</v>
      </c>
      <c r="M24" s="2"/>
      <c r="N24" s="7">
        <f t="shared" si="3"/>
        <v>0.34259836513975694</v>
      </c>
      <c r="O24" s="11"/>
      <c r="P24" s="6">
        <v>7040.29</v>
      </c>
      <c r="Q24" s="2"/>
      <c r="R24" s="7">
        <f t="shared" si="4"/>
        <v>0</v>
      </c>
      <c r="S24" s="2"/>
      <c r="T24" s="6">
        <v>4451.1449999999977</v>
      </c>
      <c r="U24" s="2"/>
      <c r="V24" s="7">
        <f t="shared" si="5"/>
        <v>0</v>
      </c>
      <c r="W24" s="2"/>
      <c r="X24" s="6">
        <f t="shared" si="6"/>
        <v>2589.1450000000023</v>
      </c>
      <c r="Y24" s="2"/>
      <c r="Z24" s="7">
        <f t="shared" si="7"/>
        <v>0.58168066868187929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1971.94</v>
      </c>
      <c r="Q25" s="2"/>
      <c r="R25" s="7">
        <f t="shared" si="4"/>
        <v>0</v>
      </c>
      <c r="S25" s="2"/>
      <c r="T25" s="6">
        <v>3000</v>
      </c>
      <c r="U25" s="2"/>
      <c r="V25" s="7">
        <f t="shared" si="5"/>
        <v>0</v>
      </c>
      <c r="W25" s="2"/>
      <c r="X25" s="6">
        <f t="shared" si="6"/>
        <v>-1028.06</v>
      </c>
      <c r="Y25" s="2"/>
      <c r="Z25" s="7">
        <f t="shared" si="7"/>
        <v>-0.34268666666666664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454.67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454.67</v>
      </c>
      <c r="M26" s="2"/>
      <c r="N26" s="7">
        <f t="shared" si="3"/>
        <v>0</v>
      </c>
      <c r="O26" s="11"/>
      <c r="P26" s="6">
        <v>2768.04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2768.04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1201.82</v>
      </c>
      <c r="E27" s="2"/>
      <c r="F27" s="7">
        <f t="shared" si="0"/>
        <v>0</v>
      </c>
      <c r="G27" s="2"/>
      <c r="H27" s="6">
        <v>839.81381538461505</v>
      </c>
      <c r="I27" s="2"/>
      <c r="J27" s="7">
        <f t="shared" si="1"/>
        <v>0</v>
      </c>
      <c r="K27" s="2"/>
      <c r="L27" s="6">
        <f t="shared" si="2"/>
        <v>362.00618461538488</v>
      </c>
      <c r="M27" s="2"/>
      <c r="N27" s="7">
        <f t="shared" si="3"/>
        <v>0.4310552862834181</v>
      </c>
      <c r="O27" s="11"/>
      <c r="P27" s="6">
        <v>11287.69</v>
      </c>
      <c r="Q27" s="2"/>
      <c r="R27" s="7">
        <f t="shared" si="4"/>
        <v>0</v>
      </c>
      <c r="S27" s="2"/>
      <c r="T27" s="6">
        <v>5458.7897999999996</v>
      </c>
      <c r="U27" s="2"/>
      <c r="V27" s="7">
        <f t="shared" si="5"/>
        <v>0</v>
      </c>
      <c r="W27" s="2"/>
      <c r="X27" s="6">
        <f t="shared" si="6"/>
        <v>5828.900200000001</v>
      </c>
      <c r="Y27" s="2"/>
      <c r="Z27" s="7">
        <f t="shared" si="7"/>
        <v>1.0678008154847805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859.24</v>
      </c>
      <c r="E28" s="2"/>
      <c r="F28" s="7">
        <f t="shared" si="0"/>
        <v>0</v>
      </c>
      <c r="G28" s="2"/>
      <c r="H28" s="6">
        <v>503.88828923076903</v>
      </c>
      <c r="I28" s="2"/>
      <c r="J28" s="7">
        <f t="shared" si="1"/>
        <v>0</v>
      </c>
      <c r="K28" s="2"/>
      <c r="L28" s="6">
        <f t="shared" si="2"/>
        <v>355.35171076923098</v>
      </c>
      <c r="M28" s="2"/>
      <c r="N28" s="7">
        <f t="shared" si="3"/>
        <v>0.70521922887254918</v>
      </c>
      <c r="O28" s="11"/>
      <c r="P28" s="6">
        <v>7410.33</v>
      </c>
      <c r="Q28" s="2"/>
      <c r="R28" s="7">
        <f t="shared" si="4"/>
        <v>0</v>
      </c>
      <c r="S28" s="2"/>
      <c r="T28" s="6">
        <v>3275.2738800000002</v>
      </c>
      <c r="U28" s="2"/>
      <c r="V28" s="7">
        <f t="shared" si="5"/>
        <v>0</v>
      </c>
      <c r="W28" s="2"/>
      <c r="X28" s="6">
        <f t="shared" si="6"/>
        <v>4135.0561199999993</v>
      </c>
      <c r="Y28" s="2"/>
      <c r="Z28" s="7">
        <f t="shared" si="7"/>
        <v>1.2625069754471949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347.82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-102.18</v>
      </c>
      <c r="M29" s="2"/>
      <c r="N29" s="7">
        <f t="shared" si="3"/>
        <v>-0.22706666666666669</v>
      </c>
      <c r="O29" s="11"/>
      <c r="P29" s="6">
        <v>2280.75</v>
      </c>
      <c r="Q29" s="2"/>
      <c r="R29" s="7">
        <f t="shared" si="4"/>
        <v>0</v>
      </c>
      <c r="S29" s="2"/>
      <c r="T29" s="6">
        <v>2700</v>
      </c>
      <c r="U29" s="2"/>
      <c r="V29" s="7">
        <f t="shared" si="5"/>
        <v>0</v>
      </c>
      <c r="W29" s="2"/>
      <c r="X29" s="6">
        <f t="shared" si="6"/>
        <v>-419.25</v>
      </c>
      <c r="Y29" s="2"/>
      <c r="Z29" s="7">
        <f t="shared" si="7"/>
        <v>-0.15527777777777776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22167.93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-741.65172307692046</v>
      </c>
      <c r="M30" s="1"/>
      <c r="N30" s="5">
        <f t="shared" ref="N30:N40" si="11">IF(H30=0,0,L30/H30)</f>
        <v>-3.2372992752192041E-2</v>
      </c>
      <c r="O30" s="13"/>
      <c r="P30" s="1">
        <f>SUM(OSRRefP22_1x_0)</f>
        <v>140503.00999999998</v>
      </c>
      <c r="Q30" s="1"/>
      <c r="R30" s="5">
        <f t="shared" ref="R30:R40" si="12">IF(P$12=0,0,P30/P$12)</f>
        <v>0</v>
      </c>
      <c r="S30" s="1"/>
      <c r="T30" s="1">
        <f>SUM(OSRRefT22_1x_0)</f>
        <v>148912.28119999997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-8409.2711999999883</v>
      </c>
      <c r="Y30" s="1"/>
      <c r="Z30" s="5">
        <f t="shared" ref="Z30:Z40" si="15">IF(T30=0,0,X30/T30)</f>
        <v>-5.6471307351109133E-2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8545.4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1219.7230769230791</v>
      </c>
      <c r="M31" s="2"/>
      <c r="N31" s="7">
        <f t="shared" si="11"/>
        <v>0.16649970913688245</v>
      </c>
      <c r="O31" s="11"/>
      <c r="P31" s="6">
        <v>52171.92</v>
      </c>
      <c r="Q31" s="2"/>
      <c r="R31" s="7">
        <f t="shared" si="12"/>
        <v>0</v>
      </c>
      <c r="S31" s="2"/>
      <c r="T31" s="6">
        <v>47616.89999999998</v>
      </c>
      <c r="U31" s="2"/>
      <c r="V31" s="7">
        <f t="shared" si="13"/>
        <v>0</v>
      </c>
      <c r="W31" s="2"/>
      <c r="X31" s="6">
        <f t="shared" si="14"/>
        <v>4555.0200000000186</v>
      </c>
      <c r="Y31" s="2"/>
      <c r="Z31" s="7">
        <f t="shared" si="15"/>
        <v>9.5659734254015291E-2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9128.1299999999992</v>
      </c>
      <c r="E34" s="2"/>
      <c r="F34" s="7">
        <f t="shared" si="8"/>
        <v>0</v>
      </c>
      <c r="G34" s="2"/>
      <c r="H34" s="6">
        <v>8391.9048000000003</v>
      </c>
      <c r="I34" s="2"/>
      <c r="J34" s="7">
        <f t="shared" si="9"/>
        <v>0</v>
      </c>
      <c r="K34" s="2"/>
      <c r="L34" s="6">
        <f t="shared" si="10"/>
        <v>736.22519999999895</v>
      </c>
      <c r="M34" s="2"/>
      <c r="N34" s="7">
        <f t="shared" si="11"/>
        <v>8.7730404186663197E-2</v>
      </c>
      <c r="O34" s="11"/>
      <c r="P34" s="6">
        <v>57999.409999999996</v>
      </c>
      <c r="Q34" s="2"/>
      <c r="R34" s="7">
        <f t="shared" si="12"/>
        <v>0</v>
      </c>
      <c r="S34" s="2"/>
      <c r="T34" s="6">
        <v>54547.381199999996</v>
      </c>
      <c r="U34" s="2"/>
      <c r="V34" s="7">
        <f t="shared" si="13"/>
        <v>0</v>
      </c>
      <c r="W34" s="2"/>
      <c r="X34" s="6">
        <f t="shared" si="14"/>
        <v>3452.0288</v>
      </c>
      <c r="Y34" s="2"/>
      <c r="Z34" s="7">
        <f t="shared" si="15"/>
        <v>6.3284959315333733E-2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4494.3999999999996</v>
      </c>
      <c r="E35" s="2"/>
      <c r="F35" s="7">
        <f t="shared" si="8"/>
        <v>0</v>
      </c>
      <c r="G35" s="2"/>
      <c r="H35" s="6">
        <v>7192</v>
      </c>
      <c r="I35" s="2"/>
      <c r="J35" s="7">
        <f t="shared" si="9"/>
        <v>0</v>
      </c>
      <c r="K35" s="2"/>
      <c r="L35" s="6">
        <f t="shared" si="10"/>
        <v>-2697.6000000000004</v>
      </c>
      <c r="M35" s="2"/>
      <c r="N35" s="7">
        <f t="shared" si="11"/>
        <v>-0.37508342602892109</v>
      </c>
      <c r="O35" s="11"/>
      <c r="P35" s="6">
        <v>30331.68</v>
      </c>
      <c r="Q35" s="2"/>
      <c r="R35" s="7">
        <f t="shared" si="12"/>
        <v>0</v>
      </c>
      <c r="S35" s="2"/>
      <c r="T35" s="6">
        <v>46748</v>
      </c>
      <c r="U35" s="2"/>
      <c r="V35" s="7">
        <f t="shared" si="13"/>
        <v>0</v>
      </c>
      <c r="W35" s="2"/>
      <c r="X35" s="6">
        <f t="shared" si="14"/>
        <v>-16416.32</v>
      </c>
      <c r="Y35" s="2"/>
      <c r="Z35" s="7">
        <f t="shared" si="15"/>
        <v>-0.35116625310173699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52.5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-207.5</v>
      </c>
      <c r="M41" s="1"/>
      <c r="N41" s="5">
        <f t="shared" ref="N41:N57" si="19">IF(H41=0,0,L41/H41)</f>
        <v>-0.79807692307692313</v>
      </c>
      <c r="O41" s="13"/>
      <c r="P41" s="1">
        <f>SUM(OSRRefP22_2x_0)</f>
        <v>1387.74</v>
      </c>
      <c r="Q41" s="1"/>
      <c r="R41" s="5">
        <f t="shared" ref="R41:R57" si="20">IF(P$12=0,0,P41/P$12)</f>
        <v>0</v>
      </c>
      <c r="S41" s="1"/>
      <c r="T41" s="1">
        <f>SUM(OSRRefT22_2x_0)</f>
        <v>1560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-172.26</v>
      </c>
      <c r="Y41" s="1"/>
      <c r="Z41" s="5">
        <f t="shared" ref="Z41:Z57" si="23">IF(T41=0,0,X41/T41)</f>
        <v>-0.11042307692307692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52.5</v>
      </c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-207.5</v>
      </c>
      <c r="M42" s="2"/>
      <c r="N42" s="7">
        <f t="shared" si="19"/>
        <v>-0.79807692307692313</v>
      </c>
      <c r="O42" s="11"/>
      <c r="P42" s="6">
        <v>1387.74</v>
      </c>
      <c r="Q42" s="2"/>
      <c r="R42" s="7">
        <f t="shared" si="20"/>
        <v>0</v>
      </c>
      <c r="S42" s="2"/>
      <c r="T42" s="6">
        <v>1560</v>
      </c>
      <c r="U42" s="2"/>
      <c r="V42" s="7">
        <f t="shared" si="21"/>
        <v>0</v>
      </c>
      <c r="W42" s="2"/>
      <c r="X42" s="6">
        <f t="shared" si="22"/>
        <v>-172.26</v>
      </c>
      <c r="Y42" s="2"/>
      <c r="Z42" s="7">
        <f t="shared" si="23"/>
        <v>-0.11042307692307692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1345.08</v>
      </c>
      <c r="Q43" s="1"/>
      <c r="R43" s="5">
        <f t="shared" si="20"/>
        <v>0</v>
      </c>
      <c r="S43" s="1"/>
      <c r="T43" s="1">
        <f>SUM(OSRRefT22_3x_0)</f>
        <v>1344</v>
      </c>
      <c r="U43" s="1"/>
      <c r="V43" s="5">
        <f t="shared" si="21"/>
        <v>0</v>
      </c>
      <c r="W43" s="1"/>
      <c r="X43" s="1">
        <f t="shared" si="22"/>
        <v>1.0799999999999272</v>
      </c>
      <c r="Y43" s="1"/>
      <c r="Z43" s="5">
        <f t="shared" si="23"/>
        <v>8.0357142857137446E-4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224.18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0.18000000000000682</v>
      </c>
      <c r="M44" s="2"/>
      <c r="N44" s="7">
        <f t="shared" si="19"/>
        <v>8.0357142857145902E-4</v>
      </c>
      <c r="O44" s="11"/>
      <c r="P44" s="6">
        <v>1345.08</v>
      </c>
      <c r="Q44" s="2"/>
      <c r="R44" s="7">
        <f t="shared" si="20"/>
        <v>0</v>
      </c>
      <c r="S44" s="2"/>
      <c r="T44" s="6">
        <v>1344</v>
      </c>
      <c r="U44" s="2"/>
      <c r="V44" s="7">
        <f t="shared" si="21"/>
        <v>0</v>
      </c>
      <c r="W44" s="2"/>
      <c r="X44" s="6">
        <f t="shared" si="22"/>
        <v>1.0799999999999272</v>
      </c>
      <c r="Y44" s="2"/>
      <c r="Z44" s="7">
        <f t="shared" si="23"/>
        <v>8.0357142857137446E-4</v>
      </c>
    </row>
    <row r="45" spans="1:26" s="25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12678.74</v>
      </c>
      <c r="E45" s="1"/>
      <c r="F45" s="5">
        <f t="shared" si="16"/>
        <v>0</v>
      </c>
      <c r="G45" s="1"/>
      <c r="H45" s="1">
        <f>SUM(OSRRefH22_4x_0)</f>
        <v>12583</v>
      </c>
      <c r="I45" s="1"/>
      <c r="J45" s="5">
        <f t="shared" si="17"/>
        <v>0</v>
      </c>
      <c r="K45" s="1"/>
      <c r="L45" s="1">
        <f t="shared" si="18"/>
        <v>95.739999999999782</v>
      </c>
      <c r="M45" s="1"/>
      <c r="N45" s="5">
        <f t="shared" si="19"/>
        <v>7.6086783755860907E-3</v>
      </c>
      <c r="O45" s="13"/>
      <c r="P45" s="1">
        <f>SUM(OSRRefP22_4x_0)</f>
        <v>24837.86</v>
      </c>
      <c r="Q45" s="1"/>
      <c r="R45" s="5">
        <f t="shared" si="20"/>
        <v>0</v>
      </c>
      <c r="S45" s="1"/>
      <c r="T45" s="1">
        <f>SUM(OSRRefT22_4x_0)</f>
        <v>25498</v>
      </c>
      <c r="U45" s="1"/>
      <c r="V45" s="5">
        <f t="shared" si="21"/>
        <v>0</v>
      </c>
      <c r="W45" s="1"/>
      <c r="X45" s="1">
        <f t="shared" si="22"/>
        <v>-660.13999999999942</v>
      </c>
      <c r="Y45" s="1"/>
      <c r="Z45" s="5">
        <f t="shared" si="23"/>
        <v>-2.5889873715585512E-2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6">
        <v>12678.74</v>
      </c>
      <c r="E46" s="2"/>
      <c r="F46" s="7">
        <f t="shared" si="16"/>
        <v>0</v>
      </c>
      <c r="G46" s="2"/>
      <c r="H46" s="6">
        <v>12583</v>
      </c>
      <c r="I46" s="2"/>
      <c r="J46" s="7">
        <f t="shared" si="17"/>
        <v>0</v>
      </c>
      <c r="K46" s="2"/>
      <c r="L46" s="6">
        <f t="shared" si="18"/>
        <v>95.739999999999782</v>
      </c>
      <c r="M46" s="2"/>
      <c r="N46" s="7">
        <f t="shared" si="19"/>
        <v>7.6086783755860907E-3</v>
      </c>
      <c r="O46" s="11"/>
      <c r="P46" s="6">
        <v>24837.86</v>
      </c>
      <c r="Q46" s="2"/>
      <c r="R46" s="7">
        <f t="shared" si="20"/>
        <v>0</v>
      </c>
      <c r="S46" s="2"/>
      <c r="T46" s="6">
        <v>25498</v>
      </c>
      <c r="U46" s="2"/>
      <c r="V46" s="7">
        <f t="shared" si="21"/>
        <v>0</v>
      </c>
      <c r="W46" s="2"/>
      <c r="X46" s="6">
        <f t="shared" si="22"/>
        <v>-660.13999999999942</v>
      </c>
      <c r="Y46" s="2"/>
      <c r="Z46" s="7">
        <f t="shared" si="23"/>
        <v>-2.5889873715585512E-2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450</v>
      </c>
      <c r="U47" s="1"/>
      <c r="V47" s="5">
        <f t="shared" si="21"/>
        <v>0</v>
      </c>
      <c r="W47" s="1"/>
      <c r="X47" s="1">
        <f t="shared" si="22"/>
        <v>-176.22000000000003</v>
      </c>
      <c r="Y47" s="1"/>
      <c r="Z47" s="5">
        <f t="shared" si="23"/>
        <v>-0.39160000000000006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450</v>
      </c>
      <c r="U48" s="2"/>
      <c r="V48" s="7">
        <f t="shared" si="21"/>
        <v>0</v>
      </c>
      <c r="W48" s="2"/>
      <c r="X48" s="6">
        <f t="shared" si="22"/>
        <v>-176.22000000000003</v>
      </c>
      <c r="Y48" s="2"/>
      <c r="Z48" s="7">
        <f t="shared" si="23"/>
        <v>-0.39160000000000006</v>
      </c>
    </row>
    <row r="49" spans="1:26" s="25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-95</v>
      </c>
      <c r="M49" s="1"/>
      <c r="N49" s="5">
        <f t="shared" si="19"/>
        <v>-1</v>
      </c>
      <c r="O49" s="13"/>
      <c r="P49" s="1">
        <f>SUM(OSRRefP22_6x_0)</f>
        <v>283.5</v>
      </c>
      <c r="Q49" s="1"/>
      <c r="R49" s="5">
        <f t="shared" si="20"/>
        <v>0</v>
      </c>
      <c r="S49" s="1"/>
      <c r="T49" s="1">
        <f>SUM(OSRRefT22_6x_0)</f>
        <v>475</v>
      </c>
      <c r="U49" s="1"/>
      <c r="V49" s="5">
        <f t="shared" si="21"/>
        <v>0</v>
      </c>
      <c r="W49" s="1"/>
      <c r="X49" s="1">
        <f t="shared" si="22"/>
        <v>-191.5</v>
      </c>
      <c r="Y49" s="1"/>
      <c r="Z49" s="5">
        <f t="shared" si="23"/>
        <v>-0.4031578947368421</v>
      </c>
    </row>
    <row r="50" spans="1:26" s="24" customFormat="1" hidden="1" outlineLevel="2" x14ac:dyDescent="0.25">
      <c r="A50" s="26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-95</v>
      </c>
      <c r="M50" s="2"/>
      <c r="N50" s="7">
        <f t="shared" si="19"/>
        <v>-1</v>
      </c>
      <c r="O50" s="11"/>
      <c r="P50" s="6">
        <v>283.5</v>
      </c>
      <c r="Q50" s="2"/>
      <c r="R50" s="7">
        <f t="shared" si="20"/>
        <v>0</v>
      </c>
      <c r="S50" s="2"/>
      <c r="T50" s="6">
        <v>475</v>
      </c>
      <c r="U50" s="2"/>
      <c r="V50" s="7">
        <f t="shared" si="21"/>
        <v>0</v>
      </c>
      <c r="W50" s="2"/>
      <c r="X50" s="6">
        <f t="shared" si="22"/>
        <v>-191.5</v>
      </c>
      <c r="Y50" s="2"/>
      <c r="Z50" s="7">
        <f t="shared" si="23"/>
        <v>-0.4031578947368421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1950</v>
      </c>
      <c r="U51" s="1"/>
      <c r="V51" s="5">
        <f t="shared" si="21"/>
        <v>0</v>
      </c>
      <c r="W51" s="1"/>
      <c r="X51" s="1">
        <f t="shared" si="22"/>
        <v>-1250</v>
      </c>
      <c r="Y51" s="1"/>
      <c r="Z51" s="5">
        <f t="shared" si="23"/>
        <v>-0.64102564102564108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1950</v>
      </c>
      <c r="U52" s="2"/>
      <c r="V52" s="7">
        <f t="shared" si="21"/>
        <v>0</v>
      </c>
      <c r="W52" s="2"/>
      <c r="X52" s="6">
        <f t="shared" si="22"/>
        <v>-1250</v>
      </c>
      <c r="Y52" s="2"/>
      <c r="Z52" s="7">
        <f t="shared" si="23"/>
        <v>-0.64102564102564108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392.82</v>
      </c>
      <c r="Q53" s="1"/>
      <c r="R53" s="5">
        <f t="shared" si="20"/>
        <v>0</v>
      </c>
      <c r="S53" s="1"/>
      <c r="T53" s="1">
        <f>SUM(OSRRefT22_8x_0)</f>
        <v>390</v>
      </c>
      <c r="U53" s="1"/>
      <c r="V53" s="5">
        <f t="shared" si="21"/>
        <v>0</v>
      </c>
      <c r="W53" s="1"/>
      <c r="X53" s="1">
        <f t="shared" si="22"/>
        <v>2.8199999999999932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392.82</v>
      </c>
      <c r="Q54" s="2"/>
      <c r="R54" s="7">
        <f t="shared" si="20"/>
        <v>0</v>
      </c>
      <c r="S54" s="2"/>
      <c r="T54" s="6">
        <v>390</v>
      </c>
      <c r="U54" s="2"/>
      <c r="V54" s="7">
        <f t="shared" si="21"/>
        <v>0</v>
      </c>
      <c r="W54" s="2"/>
      <c r="X54" s="6">
        <f t="shared" si="22"/>
        <v>2.8199999999999932</v>
      </c>
      <c r="Y54" s="2"/>
      <c r="Z54" s="7">
        <f t="shared" si="23"/>
        <v>7.2307692307692134E-3</v>
      </c>
    </row>
    <row r="55" spans="1:26" s="25" customFormat="1" outlineLevel="1" collapsed="1" x14ac:dyDescent="0.25">
      <c r="A55" s="27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145.94999999999999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-687.05</v>
      </c>
      <c r="M55" s="1"/>
      <c r="N55" s="5">
        <f t="shared" si="19"/>
        <v>-0.82478991596638651</v>
      </c>
      <c r="O55" s="13"/>
      <c r="P55" s="1">
        <f>SUM(OSRRefP22_9x_0)</f>
        <v>54834.04</v>
      </c>
      <c r="Q55" s="1"/>
      <c r="R55" s="5">
        <f t="shared" si="20"/>
        <v>0</v>
      </c>
      <c r="S55" s="1"/>
      <c r="T55" s="1">
        <f>SUM(OSRRefT22_9x_0)</f>
        <v>36998</v>
      </c>
      <c r="U55" s="1"/>
      <c r="V55" s="5">
        <f t="shared" si="21"/>
        <v>0</v>
      </c>
      <c r="W55" s="1"/>
      <c r="X55" s="1">
        <f t="shared" si="22"/>
        <v>17836.04</v>
      </c>
      <c r="Y55" s="1"/>
      <c r="Z55" s="5">
        <f t="shared" si="23"/>
        <v>0.48208119357803125</v>
      </c>
    </row>
    <row r="56" spans="1:26" s="24" customFormat="1" hidden="1" outlineLevel="2" x14ac:dyDescent="0.25">
      <c r="A56" s="26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-833</v>
      </c>
      <c r="M56" s="2"/>
      <c r="N56" s="7">
        <f t="shared" si="19"/>
        <v>-1</v>
      </c>
      <c r="O56" s="11"/>
      <c r="P56" s="6">
        <v>38010</v>
      </c>
      <c r="Q56" s="2"/>
      <c r="R56" s="7">
        <f t="shared" si="20"/>
        <v>0</v>
      </c>
      <c r="S56" s="2"/>
      <c r="T56" s="6">
        <v>4998</v>
      </c>
      <c r="U56" s="2"/>
      <c r="V56" s="7">
        <f t="shared" si="21"/>
        <v>0</v>
      </c>
      <c r="W56" s="2"/>
      <c r="X56" s="6">
        <f t="shared" si="22"/>
        <v>33012</v>
      </c>
      <c r="Y56" s="2"/>
      <c r="Z56" s="7">
        <f t="shared" si="23"/>
        <v>6.6050420168067223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6">
        <v>145.94999999999999</v>
      </c>
      <c r="E57" s="2"/>
      <c r="F57" s="7">
        <f t="shared" si="16"/>
        <v>0</v>
      </c>
      <c r="G57" s="2"/>
      <c r="H57" s="6"/>
      <c r="I57" s="2"/>
      <c r="J57" s="7">
        <f t="shared" si="17"/>
        <v>0</v>
      </c>
      <c r="K57" s="2"/>
      <c r="L57" s="6">
        <f t="shared" si="18"/>
        <v>145.94999999999999</v>
      </c>
      <c r="M57" s="2"/>
      <c r="N57" s="7">
        <f t="shared" si="19"/>
        <v>0</v>
      </c>
      <c r="O57" s="11"/>
      <c r="P57" s="6">
        <v>16824.04</v>
      </c>
      <c r="Q57" s="2"/>
      <c r="R57" s="7">
        <f t="shared" si="20"/>
        <v>0</v>
      </c>
      <c r="S57" s="2"/>
      <c r="T57" s="6">
        <v>32000</v>
      </c>
      <c r="U57" s="2"/>
      <c r="V57" s="7">
        <f t="shared" si="21"/>
        <v>0</v>
      </c>
      <c r="W57" s="2"/>
      <c r="X57" s="6">
        <f t="shared" si="22"/>
        <v>-15175.96</v>
      </c>
      <c r="Y57" s="2"/>
      <c r="Z57" s="7">
        <f t="shared" si="23"/>
        <v>-0.47424875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14704.07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1784.0699999999997</v>
      </c>
      <c r="M58" s="1"/>
      <c r="N58" s="5">
        <f t="shared" ref="N58:N60" si="27">IF(H58=0,0,L58/H58)</f>
        <v>0.13808591331269349</v>
      </c>
      <c r="O58" s="13"/>
      <c r="P58" s="1">
        <f>SUM(OSRRefP22_10x_0)</f>
        <v>72769.53</v>
      </c>
      <c r="Q58" s="1"/>
      <c r="R58" s="5">
        <f t="shared" ref="R58:R60" si="28">IF(P$12=0,0,P58/P$12)</f>
        <v>0</v>
      </c>
      <c r="S58" s="1"/>
      <c r="T58" s="1">
        <f>SUM(OSRRefT22_10x_0)</f>
        <v>64600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8169.5299999999988</v>
      </c>
      <c r="Y58" s="1"/>
      <c r="Z58" s="5">
        <f t="shared" ref="Z58:Z60" si="31">IF(T58=0,0,X58/T58)</f>
        <v>0.12646331269349845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14704.07</v>
      </c>
      <c r="E59" s="2"/>
      <c r="F59" s="7">
        <f t="shared" si="24"/>
        <v>0</v>
      </c>
      <c r="G59" s="2"/>
      <c r="H59" s="6">
        <v>12920</v>
      </c>
      <c r="I59" s="2"/>
      <c r="J59" s="7">
        <f t="shared" si="25"/>
        <v>0</v>
      </c>
      <c r="K59" s="2"/>
      <c r="L59" s="6">
        <f t="shared" si="26"/>
        <v>1784.0699999999997</v>
      </c>
      <c r="M59" s="2"/>
      <c r="N59" s="7">
        <f t="shared" si="27"/>
        <v>0.13808591331269349</v>
      </c>
      <c r="O59" s="11"/>
      <c r="P59" s="6">
        <v>72486.61</v>
      </c>
      <c r="Q59" s="2"/>
      <c r="R59" s="7">
        <f t="shared" si="28"/>
        <v>0</v>
      </c>
      <c r="S59" s="2"/>
      <c r="T59" s="6">
        <v>64600</v>
      </c>
      <c r="U59" s="2"/>
      <c r="V59" s="7">
        <f t="shared" si="29"/>
        <v>0</v>
      </c>
      <c r="W59" s="2"/>
      <c r="X59" s="6">
        <f t="shared" si="30"/>
        <v>7886.6100000000006</v>
      </c>
      <c r="Y59" s="2"/>
      <c r="Z59" s="7">
        <f t="shared" si="31"/>
        <v>0.12208374613003097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282.92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282.92</v>
      </c>
      <c r="Y60" s="2"/>
      <c r="Z60" s="7">
        <f t="shared" si="31"/>
        <v>0</v>
      </c>
    </row>
    <row r="61" spans="1:26" s="25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6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587</v>
      </c>
      <c r="Q62" s="2"/>
      <c r="R62" s="7">
        <f t="shared" si="36"/>
        <v>0</v>
      </c>
      <c r="S62" s="2"/>
      <c r="T62" s="6">
        <v>627</v>
      </c>
      <c r="U62" s="2"/>
      <c r="V62" s="7">
        <f t="shared" si="37"/>
        <v>0</v>
      </c>
      <c r="W62" s="2"/>
      <c r="X62" s="6">
        <f t="shared" si="38"/>
        <v>-40</v>
      </c>
      <c r="Y62" s="2"/>
      <c r="Z62" s="7">
        <f t="shared" si="39"/>
        <v>-6.3795853269537475E-2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366.80000000000007</v>
      </c>
      <c r="E63" s="1"/>
      <c r="F63" s="5">
        <f t="shared" si="32"/>
        <v>0</v>
      </c>
      <c r="G63" s="1"/>
      <c r="H63" s="1">
        <f>SUM(OSRRefH22_12x_0)</f>
        <v>567</v>
      </c>
      <c r="I63" s="1"/>
      <c r="J63" s="5">
        <f t="shared" si="33"/>
        <v>0</v>
      </c>
      <c r="K63" s="1"/>
      <c r="L63" s="1">
        <f t="shared" si="34"/>
        <v>-200.19999999999993</v>
      </c>
      <c r="M63" s="1"/>
      <c r="N63" s="5">
        <f t="shared" si="35"/>
        <v>-0.3530864197530863</v>
      </c>
      <c r="O63" s="13"/>
      <c r="P63" s="1">
        <f>SUM(OSRRefP22_12x_0)</f>
        <v>12390.460000000001</v>
      </c>
      <c r="Q63" s="1"/>
      <c r="R63" s="5">
        <f t="shared" si="36"/>
        <v>0</v>
      </c>
      <c r="S63" s="1"/>
      <c r="T63" s="1">
        <f>SUM(OSRRefT22_12x_0)</f>
        <v>12752</v>
      </c>
      <c r="U63" s="1"/>
      <c r="V63" s="5">
        <f t="shared" si="37"/>
        <v>0</v>
      </c>
      <c r="W63" s="1"/>
      <c r="X63" s="1">
        <f t="shared" si="38"/>
        <v>-361.53999999999905</v>
      </c>
      <c r="Y63" s="1"/>
      <c r="Z63" s="5">
        <f t="shared" si="39"/>
        <v>-2.8351631116687506E-2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>
        <v>253.08</v>
      </c>
      <c r="E64" s="2"/>
      <c r="F64" s="7">
        <f t="shared" si="32"/>
        <v>0</v>
      </c>
      <c r="G64" s="2"/>
      <c r="H64" s="6">
        <v>150</v>
      </c>
      <c r="I64" s="2"/>
      <c r="J64" s="7">
        <f t="shared" si="33"/>
        <v>0</v>
      </c>
      <c r="K64" s="2"/>
      <c r="L64" s="6">
        <f t="shared" si="34"/>
        <v>103.08000000000001</v>
      </c>
      <c r="M64" s="2"/>
      <c r="N64" s="7">
        <f t="shared" si="35"/>
        <v>0.68720000000000003</v>
      </c>
      <c r="O64" s="11"/>
      <c r="P64" s="6">
        <v>8835.0400000000009</v>
      </c>
      <c r="Q64" s="2"/>
      <c r="R64" s="7">
        <f t="shared" si="36"/>
        <v>0</v>
      </c>
      <c r="S64" s="2"/>
      <c r="T64" s="6">
        <v>10250</v>
      </c>
      <c r="U64" s="2"/>
      <c r="V64" s="7">
        <f t="shared" si="37"/>
        <v>0</v>
      </c>
      <c r="W64" s="2"/>
      <c r="X64" s="6">
        <f t="shared" si="38"/>
        <v>-1414.9599999999991</v>
      </c>
      <c r="Y64" s="2"/>
      <c r="Z64" s="7">
        <f t="shared" si="39"/>
        <v>-0.13804487804878041</v>
      </c>
    </row>
    <row r="65" spans="1:26" s="24" customFormat="1" hidden="1" outlineLevel="2" x14ac:dyDescent="0.25">
      <c r="A65" s="26"/>
      <c r="B65" s="11" t="str">
        <f>CONCATENATE("          ", "6244", " - ", "SAFETY SUPPLY EXPENSE")</f>
        <v xml:space="preserve">          6244 - SAFETY SUPPLY EXPENSE</v>
      </c>
      <c r="C65" s="11"/>
      <c r="D65" s="6">
        <v>50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-367</v>
      </c>
      <c r="M65" s="2"/>
      <c r="N65" s="7">
        <f t="shared" si="35"/>
        <v>-0.88009592326139086</v>
      </c>
      <c r="O65" s="11"/>
      <c r="P65" s="6">
        <v>1557.33</v>
      </c>
      <c r="Q65" s="2"/>
      <c r="R65" s="7">
        <f t="shared" si="36"/>
        <v>0</v>
      </c>
      <c r="S65" s="2"/>
      <c r="T65" s="6">
        <v>2502</v>
      </c>
      <c r="U65" s="2"/>
      <c r="V65" s="7">
        <f t="shared" si="37"/>
        <v>0</v>
      </c>
      <c r="W65" s="2"/>
      <c r="X65" s="6">
        <f t="shared" si="38"/>
        <v>-944.67000000000007</v>
      </c>
      <c r="Y65" s="2"/>
      <c r="Z65" s="7">
        <f t="shared" si="39"/>
        <v>-0.37756594724220627</v>
      </c>
    </row>
    <row r="66" spans="1:26" s="24" customFormat="1" hidden="1" outlineLevel="2" x14ac:dyDescent="0.25">
      <c r="A66" s="26"/>
      <c r="B66" s="11" t="str">
        <f>CONCATENATE("          ", "6245", " - ", "PRINTING")</f>
        <v xml:space="preserve">          6245 - PRINTING</v>
      </c>
      <c r="C66" s="11"/>
      <c r="D66" s="6">
        <v>63.72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63.72</v>
      </c>
      <c r="M66" s="2"/>
      <c r="N66" s="7">
        <f t="shared" si="35"/>
        <v>0</v>
      </c>
      <c r="O66" s="11"/>
      <c r="P66" s="6">
        <v>1998.09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1998.09</v>
      </c>
      <c r="Y66" s="2"/>
      <c r="Z66" s="7">
        <f t="shared" si="39"/>
        <v>0</v>
      </c>
    </row>
    <row r="67" spans="1:26" s="25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300.2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10.199999999999989</v>
      </c>
      <c r="M67" s="1"/>
      <c r="N67" s="5">
        <f t="shared" ref="N67:N72" si="43">IF(H67=0,0,L67/H67)</f>
        <v>3.5172413793103409E-2</v>
      </c>
      <c r="O67" s="13"/>
      <c r="P67" s="1">
        <f>SUM(OSRRefP22_13x_0)</f>
        <v>1963.6</v>
      </c>
      <c r="Q67" s="1"/>
      <c r="R67" s="5">
        <f t="shared" ref="R67:R72" si="44">IF(P$12=0,0,P67/P$12)</f>
        <v>0</v>
      </c>
      <c r="S67" s="1"/>
      <c r="T67" s="1">
        <f>SUM(OSRRefT22_13x_0)</f>
        <v>1740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223.59999999999991</v>
      </c>
      <c r="Y67" s="1"/>
      <c r="Z67" s="5">
        <f t="shared" ref="Z67:Z72" si="47">IF(T67=0,0,X67/T67)</f>
        <v>0.12850574712643673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6">
        <v>300.2</v>
      </c>
      <c r="E68" s="2"/>
      <c r="F68" s="7">
        <f t="shared" si="40"/>
        <v>0</v>
      </c>
      <c r="G68" s="2"/>
      <c r="H68" s="6">
        <v>290</v>
      </c>
      <c r="I68" s="2"/>
      <c r="J68" s="7">
        <f t="shared" si="41"/>
        <v>0</v>
      </c>
      <c r="K68" s="2"/>
      <c r="L68" s="6">
        <f t="shared" si="42"/>
        <v>10.199999999999989</v>
      </c>
      <c r="M68" s="2"/>
      <c r="N68" s="7">
        <f t="shared" si="43"/>
        <v>3.5172413793103409E-2</v>
      </c>
      <c r="O68" s="11"/>
      <c r="P68" s="6">
        <v>1963.6</v>
      </c>
      <c r="Q68" s="2"/>
      <c r="R68" s="7">
        <f t="shared" si="44"/>
        <v>0</v>
      </c>
      <c r="S68" s="2"/>
      <c r="T68" s="6">
        <v>1740</v>
      </c>
      <c r="U68" s="2"/>
      <c r="V68" s="7">
        <f t="shared" si="45"/>
        <v>0</v>
      </c>
      <c r="W68" s="2"/>
      <c r="X68" s="6">
        <f t="shared" si="46"/>
        <v>223.59999999999991</v>
      </c>
      <c r="Y68" s="2"/>
      <c r="Z68" s="7">
        <f t="shared" si="47"/>
        <v>0.12850574712643673</v>
      </c>
    </row>
    <row r="69" spans="1:26" s="25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164.22</v>
      </c>
      <c r="E69" s="1"/>
      <c r="F69" s="5">
        <f t="shared" si="40"/>
        <v>0</v>
      </c>
      <c r="G69" s="1"/>
      <c r="H69" s="1">
        <f>SUM(OSRRefH22_14x_0)</f>
        <v>0</v>
      </c>
      <c r="I69" s="1"/>
      <c r="J69" s="5">
        <f t="shared" si="41"/>
        <v>0</v>
      </c>
      <c r="K69" s="1"/>
      <c r="L69" s="1">
        <f t="shared" si="42"/>
        <v>164.22</v>
      </c>
      <c r="M69" s="1"/>
      <c r="N69" s="5">
        <f t="shared" si="43"/>
        <v>0</v>
      </c>
      <c r="O69" s="13"/>
      <c r="P69" s="1">
        <f>SUM(OSRRefP22_14x_0)</f>
        <v>5479.2</v>
      </c>
      <c r="Q69" s="1"/>
      <c r="R69" s="5">
        <f t="shared" si="44"/>
        <v>0</v>
      </c>
      <c r="S69" s="1"/>
      <c r="T69" s="1">
        <f>SUM(OSRRefT22_14x_0)</f>
        <v>6000</v>
      </c>
      <c r="U69" s="1"/>
      <c r="V69" s="5">
        <f t="shared" si="45"/>
        <v>0</v>
      </c>
      <c r="W69" s="1"/>
      <c r="X69" s="1">
        <f t="shared" si="46"/>
        <v>-520.80000000000018</v>
      </c>
      <c r="Y69" s="1"/>
      <c r="Z69" s="5">
        <f t="shared" si="47"/>
        <v>-8.680000000000003E-2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6">
        <v>164.22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164.22</v>
      </c>
      <c r="M70" s="2"/>
      <c r="N70" s="7">
        <f t="shared" si="43"/>
        <v>0</v>
      </c>
      <c r="O70" s="11"/>
      <c r="P70" s="6">
        <v>5479.2</v>
      </c>
      <c r="Q70" s="2"/>
      <c r="R70" s="7">
        <f t="shared" si="44"/>
        <v>0</v>
      </c>
      <c r="S70" s="2"/>
      <c r="T70" s="6">
        <v>6000</v>
      </c>
      <c r="U70" s="2"/>
      <c r="V70" s="7">
        <f t="shared" si="45"/>
        <v>0</v>
      </c>
      <c r="W70" s="2"/>
      <c r="X70" s="6">
        <f t="shared" si="46"/>
        <v>-520.80000000000018</v>
      </c>
      <c r="Y70" s="2"/>
      <c r="Z70" s="7">
        <f t="shared" si="47"/>
        <v>-8.680000000000003E-2</v>
      </c>
    </row>
    <row r="71" spans="1:26" s="25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0</v>
      </c>
      <c r="E71" s="1"/>
      <c r="F71" s="5">
        <f t="shared" si="40"/>
        <v>0</v>
      </c>
      <c r="G71" s="1"/>
      <c r="H71" s="1">
        <f>SUM(OSRRefH22_15x_0)</f>
        <v>1654</v>
      </c>
      <c r="I71" s="1"/>
      <c r="J71" s="5">
        <f t="shared" si="41"/>
        <v>0</v>
      </c>
      <c r="K71" s="1"/>
      <c r="L71" s="1">
        <f t="shared" si="42"/>
        <v>-1654</v>
      </c>
      <c r="M71" s="1"/>
      <c r="N71" s="5">
        <f t="shared" si="43"/>
        <v>-1</v>
      </c>
      <c r="O71" s="13"/>
      <c r="P71" s="1">
        <f>SUM(OSRRefP22_15x_0)</f>
        <v>3487.01</v>
      </c>
      <c r="Q71" s="1"/>
      <c r="R71" s="5">
        <f t="shared" si="44"/>
        <v>0</v>
      </c>
      <c r="S71" s="1"/>
      <c r="T71" s="1">
        <f>SUM(OSRRefT22_15x_0)</f>
        <v>3879</v>
      </c>
      <c r="U71" s="1"/>
      <c r="V71" s="5">
        <f t="shared" si="45"/>
        <v>0</v>
      </c>
      <c r="W71" s="1"/>
      <c r="X71" s="1">
        <f t="shared" si="46"/>
        <v>-391.98999999999978</v>
      </c>
      <c r="Y71" s="1"/>
      <c r="Z71" s="5">
        <f t="shared" si="47"/>
        <v>-0.10105439546274808</v>
      </c>
    </row>
    <row r="72" spans="1:26" s="24" customFormat="1" hidden="1" outlineLevel="2" x14ac:dyDescent="0.25">
      <c r="A72" s="26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40"/>
        <v>0</v>
      </c>
      <c r="G72" s="2"/>
      <c r="H72" s="6">
        <v>1654</v>
      </c>
      <c r="I72" s="2"/>
      <c r="J72" s="7">
        <f t="shared" si="41"/>
        <v>0</v>
      </c>
      <c r="K72" s="2"/>
      <c r="L72" s="6">
        <f t="shared" si="42"/>
        <v>-1654</v>
      </c>
      <c r="M72" s="2"/>
      <c r="N72" s="7">
        <f t="shared" si="43"/>
        <v>-1</v>
      </c>
      <c r="O72" s="11"/>
      <c r="P72" s="6">
        <v>3487.01</v>
      </c>
      <c r="Q72" s="2"/>
      <c r="R72" s="7">
        <f t="shared" si="44"/>
        <v>0</v>
      </c>
      <c r="S72" s="2"/>
      <c r="T72" s="6">
        <v>3879</v>
      </c>
      <c r="U72" s="2"/>
      <c r="V72" s="7">
        <f t="shared" si="45"/>
        <v>0</v>
      </c>
      <c r="W72" s="2"/>
      <c r="X72" s="6">
        <f t="shared" si="46"/>
        <v>-391.98999999999978</v>
      </c>
      <c r="Y72" s="2"/>
      <c r="Z72" s="7">
        <f t="shared" si="47"/>
        <v>-0.10105439546274808</v>
      </c>
    </row>
    <row r="73" spans="1:26" s="5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+D16-D18+D74</f>
        <v>-62517.429999999993</v>
      </c>
      <c r="E76" s="14"/>
      <c r="F76" s="20">
        <f>IF(D$12=0,0,D76/D$12)</f>
        <v>0</v>
      </c>
      <c r="G76" s="14"/>
      <c r="H76" s="22">
        <f>+H16-H18+H74</f>
        <v>-62915.270203673834</v>
      </c>
      <c r="I76" s="14"/>
      <c r="J76" s="20">
        <f>IF(H$12=0,0,H76/H$12)</f>
        <v>0</v>
      </c>
      <c r="K76" s="16"/>
      <c r="L76" s="22">
        <f>+D76-H76</f>
        <v>397.84020367384073</v>
      </c>
      <c r="M76" s="16"/>
      <c r="N76" s="20">
        <f>IF(H76=0,0,L76/H76)</f>
        <v>-6.3234283566759525E-3</v>
      </c>
      <c r="O76" s="28"/>
      <c r="P76" s="22">
        <f>+P16-P18+P74</f>
        <v>-402598.70999999996</v>
      </c>
      <c r="Q76" s="14"/>
      <c r="R76" s="20">
        <f>IF(P$12=0,0,P76/P$12)</f>
        <v>0</v>
      </c>
      <c r="S76" s="14"/>
      <c r="T76" s="22">
        <f>+T16-T18+T74</f>
        <v>-370937.25632387993</v>
      </c>
      <c r="U76" s="14"/>
      <c r="V76" s="20">
        <f>IF(T$12=0,0,T76/T$12)</f>
        <v>0</v>
      </c>
      <c r="W76" s="16"/>
      <c r="X76" s="22">
        <f>+P76-T76</f>
        <v>-31661.453676120029</v>
      </c>
      <c r="Y76" s="16"/>
      <c r="Z76" s="20">
        <f>IF(T76=0,0,X76/T76)</f>
        <v>8.5355280809202849E-2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1">
        <f>+D76-D78</f>
        <v>-62517.429999999993</v>
      </c>
      <c r="E80" s="14"/>
      <c r="F80" s="32">
        <f>IF(D$12=0,0,D80/D$12)</f>
        <v>0</v>
      </c>
      <c r="G80" s="14"/>
      <c r="H80" s="31">
        <f>+H76-H78</f>
        <v>-62915.270203673834</v>
      </c>
      <c r="I80" s="14"/>
      <c r="J80" s="32">
        <f>IF(H$12=0,0,H80/H$12)</f>
        <v>0</v>
      </c>
      <c r="K80" s="16"/>
      <c r="L80" s="31">
        <f>D80-H80</f>
        <v>397.84020367384073</v>
      </c>
      <c r="M80" s="16"/>
      <c r="N80" s="32">
        <f>IF(H80=0,0,L80/H80)</f>
        <v>-6.3234283566759525E-3</v>
      </c>
      <c r="O80" s="28"/>
      <c r="P80" s="31">
        <f>+P76-P78</f>
        <v>-402598.70999999996</v>
      </c>
      <c r="Q80" s="14"/>
      <c r="R80" s="32">
        <f>IF(P$12=0,0,P80/P$12)</f>
        <v>0</v>
      </c>
      <c r="S80" s="14"/>
      <c r="T80" s="31">
        <f>+T76-T78</f>
        <v>-370937.25632387993</v>
      </c>
      <c r="U80" s="14"/>
      <c r="V80" s="32">
        <f>IF(T$12=0,0,T80/T$12)</f>
        <v>0</v>
      </c>
      <c r="W80" s="16"/>
      <c r="X80" s="31">
        <f>P80-T80</f>
        <v>-31661.453676120029</v>
      </c>
      <c r="Y80" s="16"/>
      <c r="Z80" s="32">
        <f>IF(T80=0,0,X80/T80)</f>
        <v>8.5355280809202849E-2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5">
        <f>SUM(D80:D82)</f>
        <v>-62517.429999999993</v>
      </c>
      <c r="E83" s="14"/>
      <c r="F83" s="34">
        <f>IF(D$12=0,0,D83/D$12)</f>
        <v>0</v>
      </c>
      <c r="G83" s="14"/>
      <c r="H83" s="35">
        <f>SUM(H80:H82)</f>
        <v>-62915.270203673834</v>
      </c>
      <c r="I83" s="14"/>
      <c r="J83" s="34">
        <f>IF(H$12=0,0,H83/H$12)</f>
        <v>0</v>
      </c>
      <c r="K83" s="16"/>
      <c r="L83" s="35">
        <f>+D83-H83</f>
        <v>397.84020367384073</v>
      </c>
      <c r="M83" s="16"/>
      <c r="N83" s="34">
        <f>IF(H83=0,0,L83/H83)</f>
        <v>-6.3234283566759525E-3</v>
      </c>
      <c r="O83" s="28"/>
      <c r="P83" s="35">
        <f>SUM(P80:P82)</f>
        <v>-402598.70999999996</v>
      </c>
      <c r="Q83" s="14"/>
      <c r="R83" s="34">
        <f>IF(P$12=0,0,P83/P$12)</f>
        <v>0</v>
      </c>
      <c r="S83" s="14"/>
      <c r="T83" s="35">
        <f>SUM(T80:T82)</f>
        <v>-370937.25632387993</v>
      </c>
      <c r="U83" s="14"/>
      <c r="V83" s="34">
        <f>IF(T$12=0,0,T83/T$12)</f>
        <v>0</v>
      </c>
      <c r="W83" s="16"/>
      <c r="X83" s="35">
        <f>+P83-T83</f>
        <v>-31661.453676120029</v>
      </c>
      <c r="Y83" s="16"/>
      <c r="Z83" s="34">
        <f>IF(T83=0,0,X83/T83)</f>
        <v>8.5355280809202849E-2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3">
        <v>43847.445712615743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5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6"/>
      <c r="X17" s="22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54493.08</v>
      </c>
      <c r="E19" s="21"/>
      <c r="F19" s="30">
        <f t="shared" ref="F19:F30" si="4">IF(D$12=0,0,D19/D$12)</f>
        <v>0</v>
      </c>
      <c r="G19" s="21"/>
      <c r="H19" s="21">
        <f>SUM(OSRRefH22x_0)</f>
        <v>64433.765232076883</v>
      </c>
      <c r="I19" s="21"/>
      <c r="J19" s="30">
        <f t="shared" ref="J19:J30" si="5">IF(H$12=0,0,H19/H$12)</f>
        <v>0</v>
      </c>
      <c r="K19" s="4"/>
      <c r="L19" s="21">
        <f t="shared" ref="L19:L30" si="6">+D19-H19</f>
        <v>-9940.6852320768812</v>
      </c>
      <c r="M19" s="4"/>
      <c r="N19" s="30">
        <f t="shared" ref="N19:N30" si="7">IF(H19=0,0,L19/H19)</f>
        <v>-0.15427757785491228</v>
      </c>
      <c r="O19" s="10"/>
      <c r="P19" s="21">
        <f>SUM(OSRRefP22x_0)</f>
        <v>360599.31000000006</v>
      </c>
      <c r="Q19" s="21"/>
      <c r="R19" s="30">
        <f t="shared" ref="R19:R30" si="8">IF(P$12=0,0,P19/P$12)</f>
        <v>0</v>
      </c>
      <c r="S19" s="21"/>
      <c r="T19" s="21">
        <f>SUM(OSRRefT22x_0)</f>
        <v>397102.84404461522</v>
      </c>
      <c r="U19" s="21"/>
      <c r="V19" s="30">
        <f t="shared" ref="V19:V30" si="9">IF(T$12=0,0,T19/T$12)</f>
        <v>1985.5142202230761</v>
      </c>
      <c r="W19" s="4"/>
      <c r="X19" s="21">
        <f t="shared" ref="X19:X30" si="10">+P19-T19</f>
        <v>-36503.534044615168</v>
      </c>
      <c r="Y19" s="4"/>
      <c r="Z19" s="30">
        <f t="shared" ref="Z19:Z30" si="11">IF(T19=0,0,X19/T19)</f>
        <v>-9.1924635121761883E-2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12132.760000000002</v>
      </c>
      <c r="E20" s="1"/>
      <c r="F20" s="5">
        <f t="shared" si="4"/>
        <v>0</v>
      </c>
      <c r="G20" s="1"/>
      <c r="H20" s="1">
        <f>SUM(OSRRefH22_0x_0)</f>
        <v>13849.540693615387</v>
      </c>
      <c r="I20" s="1"/>
      <c r="J20" s="5">
        <f t="shared" si="5"/>
        <v>0</v>
      </c>
      <c r="K20" s="1"/>
      <c r="L20" s="1">
        <f t="shared" si="6"/>
        <v>-1716.7806936153847</v>
      </c>
      <c r="M20" s="1"/>
      <c r="N20" s="5">
        <f t="shared" si="7"/>
        <v>-0.12395939559257857</v>
      </c>
      <c r="O20" s="13"/>
      <c r="P20" s="1">
        <f>SUM(OSRRefP22_0x_0)</f>
        <v>78057.66</v>
      </c>
      <c r="Q20" s="1"/>
      <c r="R20" s="5">
        <f t="shared" si="8"/>
        <v>0</v>
      </c>
      <c r="S20" s="1"/>
      <c r="T20" s="1">
        <f>SUM(OSRRefT22_0x_0)</f>
        <v>88115.424044615429</v>
      </c>
      <c r="U20" s="1"/>
      <c r="V20" s="5">
        <f t="shared" si="9"/>
        <v>440.57712022307715</v>
      </c>
      <c r="W20" s="1"/>
      <c r="X20" s="1">
        <f t="shared" si="10"/>
        <v>-10057.764044615426</v>
      </c>
      <c r="Y20" s="1"/>
      <c r="Z20" s="5">
        <f t="shared" si="11"/>
        <v>-0.114143058989569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1753.63</v>
      </c>
      <c r="E21" s="2"/>
      <c r="F21" s="7">
        <f t="shared" si="4"/>
        <v>0</v>
      </c>
      <c r="G21" s="2"/>
      <c r="H21" s="6">
        <v>2309.1979705384601</v>
      </c>
      <c r="I21" s="2"/>
      <c r="J21" s="7">
        <f t="shared" si="5"/>
        <v>0</v>
      </c>
      <c r="K21" s="2"/>
      <c r="L21" s="6">
        <f t="shared" si="6"/>
        <v>-555.56797053846003</v>
      </c>
      <c r="M21" s="2"/>
      <c r="N21" s="7">
        <f t="shared" si="7"/>
        <v>-0.24058914723925223</v>
      </c>
      <c r="O21" s="11"/>
      <c r="P21" s="6">
        <v>13106.96</v>
      </c>
      <c r="Q21" s="2"/>
      <c r="R21" s="7">
        <f t="shared" si="8"/>
        <v>0</v>
      </c>
      <c r="S21" s="2"/>
      <c r="T21" s="6">
        <v>14856.156660000001</v>
      </c>
      <c r="U21" s="2"/>
      <c r="V21" s="7">
        <f t="shared" si="9"/>
        <v>74.280783299999996</v>
      </c>
      <c r="W21" s="2"/>
      <c r="X21" s="6">
        <f t="shared" si="10"/>
        <v>-1749.1966600000014</v>
      </c>
      <c r="Y21" s="2"/>
      <c r="Z21" s="7">
        <f t="shared" si="11"/>
        <v>-0.11774220614606802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125.39</v>
      </c>
      <c r="E22" s="2"/>
      <c r="F22" s="7">
        <f t="shared" si="4"/>
        <v>0</v>
      </c>
      <c r="G22" s="2"/>
      <c r="H22" s="6">
        <v>102.590789230769</v>
      </c>
      <c r="I22" s="2"/>
      <c r="J22" s="7">
        <f t="shared" si="5"/>
        <v>0</v>
      </c>
      <c r="K22" s="2"/>
      <c r="L22" s="6">
        <f t="shared" si="6"/>
        <v>22.799210769230996</v>
      </c>
      <c r="M22" s="2"/>
      <c r="N22" s="7">
        <f t="shared" si="7"/>
        <v>0.22223448069929713</v>
      </c>
      <c r="O22" s="11"/>
      <c r="P22" s="6">
        <v>458.5</v>
      </c>
      <c r="Q22" s="2"/>
      <c r="R22" s="7">
        <f t="shared" si="8"/>
        <v>0</v>
      </c>
      <c r="S22" s="2"/>
      <c r="T22" s="6">
        <v>673.34280000000001</v>
      </c>
      <c r="U22" s="2"/>
      <c r="V22" s="7">
        <f t="shared" si="9"/>
        <v>3.366714</v>
      </c>
      <c r="W22" s="2"/>
      <c r="X22" s="6">
        <f t="shared" si="10"/>
        <v>-214.84280000000001</v>
      </c>
      <c r="Y22" s="2"/>
      <c r="Z22" s="7">
        <f t="shared" si="11"/>
        <v>-0.31906897942622986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5268.48</v>
      </c>
      <c r="E23" s="2"/>
      <c r="F23" s="7">
        <f t="shared" si="4"/>
        <v>0</v>
      </c>
      <c r="G23" s="2"/>
      <c r="H23" s="6">
        <v>7007.1923076923094</v>
      </c>
      <c r="I23" s="2"/>
      <c r="J23" s="7">
        <f t="shared" si="5"/>
        <v>0</v>
      </c>
      <c r="K23" s="2"/>
      <c r="L23" s="6">
        <f t="shared" si="6"/>
        <v>-1738.7123076923099</v>
      </c>
      <c r="M23" s="2"/>
      <c r="N23" s="7">
        <f t="shared" si="7"/>
        <v>-0.24813252317673623</v>
      </c>
      <c r="O23" s="11"/>
      <c r="P23" s="6">
        <v>30975.779999999995</v>
      </c>
      <c r="Q23" s="2"/>
      <c r="R23" s="7">
        <f t="shared" si="8"/>
        <v>0</v>
      </c>
      <c r="S23" s="2"/>
      <c r="T23" s="6">
        <v>43636.615384615397</v>
      </c>
      <c r="U23" s="2"/>
      <c r="V23" s="7">
        <f t="shared" si="9"/>
        <v>218.18307692307698</v>
      </c>
      <c r="W23" s="2"/>
      <c r="X23" s="6">
        <f t="shared" si="10"/>
        <v>-12660.835384615402</v>
      </c>
      <c r="Y23" s="2"/>
      <c r="Z23" s="7">
        <f t="shared" si="11"/>
        <v>-0.29014247033190227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95.89</v>
      </c>
      <c r="E24" s="2"/>
      <c r="F24" s="7">
        <f t="shared" si="4"/>
        <v>0</v>
      </c>
      <c r="G24" s="2"/>
      <c r="H24" s="6">
        <v>78.451779999999999</v>
      </c>
      <c r="I24" s="2"/>
      <c r="J24" s="7">
        <f t="shared" si="5"/>
        <v>0</v>
      </c>
      <c r="K24" s="2"/>
      <c r="L24" s="6">
        <f t="shared" si="6"/>
        <v>17.438220000000001</v>
      </c>
      <c r="M24" s="2"/>
      <c r="N24" s="7">
        <f t="shared" si="7"/>
        <v>0.22227946899356524</v>
      </c>
      <c r="O24" s="11"/>
      <c r="P24" s="6">
        <v>476.5</v>
      </c>
      <c r="Q24" s="2"/>
      <c r="R24" s="7">
        <f t="shared" si="8"/>
        <v>0</v>
      </c>
      <c r="S24" s="2"/>
      <c r="T24" s="6">
        <v>514.90920000000006</v>
      </c>
      <c r="U24" s="2"/>
      <c r="V24" s="7">
        <f t="shared" si="9"/>
        <v>2.5745460000000002</v>
      </c>
      <c r="W24" s="2"/>
      <c r="X24" s="6">
        <f t="shared" si="10"/>
        <v>-38.409200000000055</v>
      </c>
      <c r="Y24" s="2"/>
      <c r="Z24" s="7">
        <f t="shared" si="11"/>
        <v>-7.4594122614239658E-2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1339.05</v>
      </c>
      <c r="E25" s="2"/>
      <c r="F25" s="7">
        <f t="shared" si="4"/>
        <v>0</v>
      </c>
      <c r="G25" s="2"/>
      <c r="H25" s="6">
        <v>1608.0676923076899</v>
      </c>
      <c r="I25" s="2"/>
      <c r="J25" s="7">
        <f t="shared" si="5"/>
        <v>0</v>
      </c>
      <c r="K25" s="2"/>
      <c r="L25" s="6">
        <f t="shared" si="6"/>
        <v>-269.01769230768991</v>
      </c>
      <c r="M25" s="2"/>
      <c r="N25" s="7">
        <f t="shared" si="7"/>
        <v>-0.16729251734523107</v>
      </c>
      <c r="O25" s="11"/>
      <c r="P25" s="6">
        <v>9775.06</v>
      </c>
      <c r="Q25" s="2"/>
      <c r="R25" s="7">
        <f t="shared" si="8"/>
        <v>0</v>
      </c>
      <c r="S25" s="2"/>
      <c r="T25" s="6">
        <v>10452.44</v>
      </c>
      <c r="U25" s="2"/>
      <c r="V25" s="7">
        <f t="shared" si="9"/>
        <v>52.2622</v>
      </c>
      <c r="W25" s="2"/>
      <c r="X25" s="6">
        <f t="shared" si="10"/>
        <v>-677.38000000000102</v>
      </c>
      <c r="Y25" s="2"/>
      <c r="Z25" s="7">
        <f t="shared" si="11"/>
        <v>-6.4805920914159848E-2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>
        <v>134</v>
      </c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134</v>
      </c>
      <c r="M26" s="2"/>
      <c r="N26" s="7">
        <f t="shared" si="7"/>
        <v>0</v>
      </c>
      <c r="O26" s="11"/>
      <c r="P26" s="6">
        <v>134</v>
      </c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134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"6117", " - ", "RETIREMENT STAFF HOURLY")</f>
        <v xml:space="preserve">          6117 - RETIREMENT STAFF HOURLY</v>
      </c>
      <c r="C27" s="11"/>
      <c r="D27" s="6">
        <v>367.14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367.14</v>
      </c>
      <c r="M27" s="2"/>
      <c r="N27" s="7">
        <f t="shared" si="7"/>
        <v>0</v>
      </c>
      <c r="O27" s="11"/>
      <c r="P27" s="6">
        <v>2391.41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2391.41</v>
      </c>
      <c r="Y27" s="2"/>
      <c r="Z27" s="7">
        <f t="shared" si="11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1408.62</v>
      </c>
      <c r="E28" s="2"/>
      <c r="F28" s="7">
        <f t="shared" si="4"/>
        <v>0</v>
      </c>
      <c r="G28" s="2"/>
      <c r="H28" s="6">
        <v>1313.44807692308</v>
      </c>
      <c r="I28" s="2"/>
      <c r="J28" s="7">
        <f t="shared" si="5"/>
        <v>0</v>
      </c>
      <c r="K28" s="2"/>
      <c r="L28" s="6">
        <f t="shared" si="6"/>
        <v>95.171923076919938</v>
      </c>
      <c r="M28" s="2"/>
      <c r="N28" s="7">
        <f t="shared" si="7"/>
        <v>7.2459600610838254E-2</v>
      </c>
      <c r="O28" s="11"/>
      <c r="P28" s="6">
        <v>10170.799999999999</v>
      </c>
      <c r="Q28" s="2"/>
      <c r="R28" s="7">
        <f t="shared" si="8"/>
        <v>0</v>
      </c>
      <c r="S28" s="2"/>
      <c r="T28" s="6">
        <v>8600.50000000002</v>
      </c>
      <c r="U28" s="2"/>
      <c r="V28" s="7">
        <f t="shared" si="9"/>
        <v>43.002500000000097</v>
      </c>
      <c r="W28" s="2"/>
      <c r="X28" s="6">
        <f t="shared" si="10"/>
        <v>1570.2999999999793</v>
      </c>
      <c r="Y28" s="2"/>
      <c r="Z28" s="7">
        <f t="shared" si="11"/>
        <v>0.18258240799953207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941.7</v>
      </c>
      <c r="E29" s="2"/>
      <c r="F29" s="7">
        <f t="shared" si="4"/>
        <v>0</v>
      </c>
      <c r="G29" s="2"/>
      <c r="H29" s="6">
        <v>1430.59207692308</v>
      </c>
      <c r="I29" s="2"/>
      <c r="J29" s="7">
        <f t="shared" si="5"/>
        <v>0</v>
      </c>
      <c r="K29" s="2"/>
      <c r="L29" s="6">
        <f t="shared" si="6"/>
        <v>-488.89207692307991</v>
      </c>
      <c r="M29" s="2"/>
      <c r="N29" s="7">
        <f t="shared" si="7"/>
        <v>-0.34174107686559391</v>
      </c>
      <c r="O29" s="11"/>
      <c r="P29" s="6">
        <v>6806.66</v>
      </c>
      <c r="Q29" s="2"/>
      <c r="R29" s="7">
        <f t="shared" si="8"/>
        <v>0</v>
      </c>
      <c r="S29" s="2"/>
      <c r="T29" s="6">
        <v>9381.4600000000191</v>
      </c>
      <c r="U29" s="2"/>
      <c r="V29" s="7">
        <f t="shared" si="9"/>
        <v>46.907300000000099</v>
      </c>
      <c r="W29" s="2"/>
      <c r="X29" s="6">
        <f t="shared" si="10"/>
        <v>-2574.8000000000193</v>
      </c>
      <c r="Y29" s="2"/>
      <c r="Z29" s="7">
        <f t="shared" si="11"/>
        <v>-0.27445621470432258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698.86</v>
      </c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698.86</v>
      </c>
      <c r="M30" s="2"/>
      <c r="N30" s="7">
        <f t="shared" si="7"/>
        <v>0</v>
      </c>
      <c r="O30" s="11"/>
      <c r="P30" s="6">
        <v>3761.99</v>
      </c>
      <c r="Q30" s="2"/>
      <c r="R30" s="7">
        <f t="shared" si="8"/>
        <v>0</v>
      </c>
      <c r="S30" s="2"/>
      <c r="T30" s="6"/>
      <c r="U30" s="2"/>
      <c r="V30" s="7">
        <f t="shared" si="9"/>
        <v>0</v>
      </c>
      <c r="W30" s="2"/>
      <c r="X30" s="6">
        <f t="shared" si="10"/>
        <v>3761.99</v>
      </c>
      <c r="Y30" s="2"/>
      <c r="Z30" s="7">
        <f t="shared" si="11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23163.16</v>
      </c>
      <c r="E31" s="1"/>
      <c r="F31" s="5">
        <f t="shared" ref="F31:F41" si="12">IF(D$12=0,0,D31/D$12)</f>
        <v>0</v>
      </c>
      <c r="G31" s="1"/>
      <c r="H31" s="1">
        <f>SUM(OSRRefH22_1x_0)</f>
        <v>27920.224538461502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-4757.0645384615018</v>
      </c>
      <c r="M31" s="1"/>
      <c r="N31" s="5">
        <f t="shared" ref="N31:N41" si="15">IF(H31=0,0,L31/H31)</f>
        <v>-0.17038059747364884</v>
      </c>
      <c r="O31" s="13"/>
      <c r="P31" s="1">
        <f>SUM(OSRRefP22_1x_0)</f>
        <v>156153.51999999999</v>
      </c>
      <c r="Q31" s="1"/>
      <c r="R31" s="5">
        <f t="shared" ref="R31:R41" si="16">IF(P$12=0,0,P31/P$12)</f>
        <v>0</v>
      </c>
      <c r="S31" s="1"/>
      <c r="T31" s="1">
        <f>SUM(OSRRefT22_1x_0)</f>
        <v>183018.41999999981</v>
      </c>
      <c r="U31" s="1"/>
      <c r="V31" s="5">
        <f t="shared" ref="V31:V41" si="17">IF(T$12=0,0,T31/T$12)</f>
        <v>915.09209999999905</v>
      </c>
      <c r="W31" s="1"/>
      <c r="X31" s="1">
        <f t="shared" ref="X31:X41" si="18">+P31-T31</f>
        <v>-26864.89999999982</v>
      </c>
      <c r="Y31" s="1"/>
      <c r="Z31" s="5">
        <f t="shared" ref="Z31:Z41" si="19">IF(T31=0,0,X31/T31)</f>
        <v>-0.14678795719031915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12148.8</v>
      </c>
      <c r="E33" s="2"/>
      <c r="F33" s="7">
        <f t="shared" si="12"/>
        <v>0</v>
      </c>
      <c r="G33" s="2"/>
      <c r="H33" s="6">
        <v>18698.461538461499</v>
      </c>
      <c r="I33" s="2"/>
      <c r="J33" s="7">
        <f t="shared" si="13"/>
        <v>0</v>
      </c>
      <c r="K33" s="2"/>
      <c r="L33" s="6">
        <f t="shared" si="14"/>
        <v>-6549.6615384614997</v>
      </c>
      <c r="M33" s="2"/>
      <c r="N33" s="7">
        <f t="shared" si="15"/>
        <v>-0.35027809774559682</v>
      </c>
      <c r="O33" s="11"/>
      <c r="P33" s="6">
        <v>74762.599999999991</v>
      </c>
      <c r="Q33" s="2"/>
      <c r="R33" s="7">
        <f t="shared" si="16"/>
        <v>0</v>
      </c>
      <c r="S33" s="2"/>
      <c r="T33" s="6">
        <v>121539.9999999998</v>
      </c>
      <c r="U33" s="2"/>
      <c r="V33" s="7">
        <f t="shared" si="17"/>
        <v>607.69999999999902</v>
      </c>
      <c r="W33" s="2"/>
      <c r="X33" s="6">
        <f t="shared" si="18"/>
        <v>-46777.399999999805</v>
      </c>
      <c r="Y33" s="2"/>
      <c r="Z33" s="7">
        <f t="shared" si="19"/>
        <v>-0.38487246996873359</v>
      </c>
    </row>
    <row r="34" spans="1:26" s="24" customFormat="1" hidden="1" outlineLevel="2" x14ac:dyDescent="0.25">
      <c r="A34" s="26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6">
        <v>6799.61</v>
      </c>
      <c r="E35" s="2"/>
      <c r="F35" s="7">
        <f t="shared" si="12"/>
        <v>0</v>
      </c>
      <c r="G35" s="2"/>
      <c r="H35" s="6">
        <v>7541.7630000000008</v>
      </c>
      <c r="I35" s="2"/>
      <c r="J35" s="7">
        <f t="shared" si="13"/>
        <v>0</v>
      </c>
      <c r="K35" s="2"/>
      <c r="L35" s="6">
        <f t="shared" si="14"/>
        <v>-742.15300000000116</v>
      </c>
      <c r="M35" s="2"/>
      <c r="N35" s="7">
        <f t="shared" si="15"/>
        <v>-9.8405770640101142E-2</v>
      </c>
      <c r="O35" s="11"/>
      <c r="P35" s="6">
        <v>47153.66</v>
      </c>
      <c r="Q35" s="2"/>
      <c r="R35" s="7">
        <f t="shared" si="16"/>
        <v>0</v>
      </c>
      <c r="S35" s="2"/>
      <c r="T35" s="6">
        <v>50278.42</v>
      </c>
      <c r="U35" s="2"/>
      <c r="V35" s="7">
        <f t="shared" si="17"/>
        <v>251.3921</v>
      </c>
      <c r="W35" s="2"/>
      <c r="X35" s="6">
        <f t="shared" si="18"/>
        <v>-3124.7599999999948</v>
      </c>
      <c r="Y35" s="2"/>
      <c r="Z35" s="7">
        <f t="shared" si="19"/>
        <v>-6.2149128791238767E-2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6">
        <v>2103.75</v>
      </c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2103.75</v>
      </c>
      <c r="M36" s="2"/>
      <c r="N36" s="7">
        <f t="shared" si="15"/>
        <v>0</v>
      </c>
      <c r="O36" s="11"/>
      <c r="P36" s="6">
        <v>15125.249999999998</v>
      </c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15125.249999999998</v>
      </c>
      <c r="Y36" s="2"/>
      <c r="Z36" s="7">
        <f t="shared" si="19"/>
        <v>0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>
        <v>2111</v>
      </c>
      <c r="E38" s="2"/>
      <c r="F38" s="7">
        <f t="shared" si="12"/>
        <v>0</v>
      </c>
      <c r="G38" s="2"/>
      <c r="H38" s="6">
        <v>1680</v>
      </c>
      <c r="I38" s="2"/>
      <c r="J38" s="7">
        <f t="shared" si="13"/>
        <v>0</v>
      </c>
      <c r="K38" s="2"/>
      <c r="L38" s="6">
        <f t="shared" si="14"/>
        <v>431</v>
      </c>
      <c r="M38" s="2"/>
      <c r="N38" s="7">
        <f t="shared" si="15"/>
        <v>0.25654761904761902</v>
      </c>
      <c r="O38" s="11"/>
      <c r="P38" s="6">
        <v>16592.009999999998</v>
      </c>
      <c r="Q38" s="2"/>
      <c r="R38" s="7">
        <f t="shared" si="16"/>
        <v>0</v>
      </c>
      <c r="S38" s="2"/>
      <c r="T38" s="6">
        <v>7280</v>
      </c>
      <c r="U38" s="2"/>
      <c r="V38" s="7">
        <f t="shared" si="17"/>
        <v>36.4</v>
      </c>
      <c r="W38" s="2"/>
      <c r="X38" s="6">
        <f t="shared" si="18"/>
        <v>9312.0099999999984</v>
      </c>
      <c r="Y38" s="2"/>
      <c r="Z38" s="7">
        <f t="shared" si="19"/>
        <v>1.2791222527472526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>
        <v>2520</v>
      </c>
      <c r="Q39" s="2"/>
      <c r="R39" s="7">
        <f t="shared" si="16"/>
        <v>0</v>
      </c>
      <c r="S39" s="2"/>
      <c r="T39" s="6">
        <v>3920</v>
      </c>
      <c r="U39" s="2"/>
      <c r="V39" s="7">
        <f t="shared" si="17"/>
        <v>19.600000000000001</v>
      </c>
      <c r="W39" s="2"/>
      <c r="X39" s="6">
        <f t="shared" si="18"/>
        <v>-1400</v>
      </c>
      <c r="Y39" s="2"/>
      <c r="Z39" s="7">
        <f t="shared" si="19"/>
        <v>-0.35714285714285715</v>
      </c>
    </row>
    <row r="40" spans="1:26" s="24" customFormat="1" hidden="1" outlineLevel="2" x14ac:dyDescent="0.25">
      <c r="A40" s="26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6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3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9.99</v>
      </c>
      <c r="Q43" s="2"/>
      <c r="R43" s="7">
        <f t="shared" si="24"/>
        <v>0</v>
      </c>
      <c r="S43" s="2"/>
      <c r="T43" s="6"/>
      <c r="U43" s="2"/>
      <c r="V43" s="7">
        <f t="shared" si="25"/>
        <v>0</v>
      </c>
      <c r="W43" s="2"/>
      <c r="X43" s="6">
        <f t="shared" si="26"/>
        <v>9.99</v>
      </c>
      <c r="Y43" s="2"/>
      <c r="Z43" s="7">
        <f t="shared" si="27"/>
        <v>0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SUM(OSRRefD22_3x_0)</f>
        <v>6175.97</v>
      </c>
      <c r="E44" s="1"/>
      <c r="F44" s="5">
        <f t="shared" si="20"/>
        <v>0</v>
      </c>
      <c r="G44" s="1"/>
      <c r="H44" s="1">
        <f>SUM(OSRRefH22_3x_0)</f>
        <v>6359</v>
      </c>
      <c r="I44" s="1"/>
      <c r="J44" s="5">
        <f t="shared" si="21"/>
        <v>0</v>
      </c>
      <c r="K44" s="1"/>
      <c r="L44" s="1">
        <f t="shared" si="22"/>
        <v>-183.02999999999975</v>
      </c>
      <c r="M44" s="1"/>
      <c r="N44" s="5">
        <f t="shared" si="23"/>
        <v>-2.8782827488598797E-2</v>
      </c>
      <c r="O44" s="13"/>
      <c r="P44" s="1">
        <f>SUM(OSRRefP22_3x_0)</f>
        <v>37055.82</v>
      </c>
      <c r="Q44" s="1"/>
      <c r="R44" s="5">
        <f t="shared" si="24"/>
        <v>0</v>
      </c>
      <c r="S44" s="1"/>
      <c r="T44" s="1">
        <f>SUM(OSRRefT22_3x_0)</f>
        <v>37239</v>
      </c>
      <c r="U44" s="1"/>
      <c r="V44" s="5">
        <f t="shared" si="25"/>
        <v>186.19499999999999</v>
      </c>
      <c r="W44" s="1"/>
      <c r="X44" s="1">
        <f t="shared" si="26"/>
        <v>-183.18000000000029</v>
      </c>
      <c r="Y44" s="1"/>
      <c r="Z44" s="5">
        <f t="shared" si="27"/>
        <v>-4.9190364939982354E-3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6175.97</v>
      </c>
      <c r="E45" s="2"/>
      <c r="F45" s="7">
        <f t="shared" si="20"/>
        <v>0</v>
      </c>
      <c r="G45" s="2"/>
      <c r="H45" s="6">
        <v>6176</v>
      </c>
      <c r="I45" s="2"/>
      <c r="J45" s="7">
        <f t="shared" si="21"/>
        <v>0</v>
      </c>
      <c r="K45" s="2"/>
      <c r="L45" s="6">
        <f t="shared" si="22"/>
        <v>-2.9999999999745341E-2</v>
      </c>
      <c r="M45" s="2"/>
      <c r="N45" s="7">
        <f t="shared" si="23"/>
        <v>-4.8575129533266417E-6</v>
      </c>
      <c r="O45" s="11"/>
      <c r="P45" s="6">
        <v>37055.82</v>
      </c>
      <c r="Q45" s="2"/>
      <c r="R45" s="7">
        <f t="shared" si="24"/>
        <v>0</v>
      </c>
      <c r="S45" s="2"/>
      <c r="T45" s="6">
        <v>37056</v>
      </c>
      <c r="U45" s="2"/>
      <c r="V45" s="7">
        <f t="shared" si="25"/>
        <v>185.28</v>
      </c>
      <c r="W45" s="2"/>
      <c r="X45" s="6">
        <f t="shared" si="26"/>
        <v>-0.18000000000029104</v>
      </c>
      <c r="Y45" s="2"/>
      <c r="Z45" s="7">
        <f t="shared" si="27"/>
        <v>-4.8575129533757298E-6</v>
      </c>
    </row>
    <row r="46" spans="1:26" s="24" customFormat="1" hidden="1" outlineLevel="2" x14ac:dyDescent="0.25">
      <c r="A46" s="26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20"/>
        <v>0</v>
      </c>
      <c r="G46" s="2"/>
      <c r="H46" s="6">
        <v>183</v>
      </c>
      <c r="I46" s="2"/>
      <c r="J46" s="7">
        <f t="shared" si="21"/>
        <v>0</v>
      </c>
      <c r="K46" s="2"/>
      <c r="L46" s="6">
        <f t="shared" si="22"/>
        <v>-183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183</v>
      </c>
      <c r="U46" s="2"/>
      <c r="V46" s="7">
        <f t="shared" si="25"/>
        <v>0.91500000000000004</v>
      </c>
      <c r="W46" s="2"/>
      <c r="X46" s="6">
        <f t="shared" si="26"/>
        <v>-183</v>
      </c>
      <c r="Y46" s="2"/>
      <c r="Z46" s="7">
        <f t="shared" si="27"/>
        <v>-1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3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600</v>
      </c>
      <c r="U47" s="1"/>
      <c r="V47" s="5">
        <f t="shared" ref="V47:V57" si="33">IF(T$12=0,0,T47/T$12)</f>
        <v>3</v>
      </c>
      <c r="W47" s="1"/>
      <c r="X47" s="1">
        <f t="shared" ref="X47:X57" si="34">+P47-T47</f>
        <v>-600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600</v>
      </c>
      <c r="U48" s="2"/>
      <c r="V48" s="7">
        <f t="shared" si="33"/>
        <v>3</v>
      </c>
      <c r="W48" s="2"/>
      <c r="X48" s="6">
        <f t="shared" si="34"/>
        <v>-600</v>
      </c>
      <c r="Y48" s="2"/>
      <c r="Z48" s="7">
        <f t="shared" si="35"/>
        <v>-1</v>
      </c>
    </row>
    <row r="49" spans="1:26" s="25" customFormat="1" outlineLevel="1" collapsed="1" x14ac:dyDescent="0.25">
      <c r="A49" s="27"/>
      <c r="B49" s="13" t="str">
        <f>CONCATENATE("     ","Insurance                                         ")</f>
        <v xml:space="preserve">     Insurance                                         </v>
      </c>
      <c r="C49" s="13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3"/>
      <c r="P49" s="1">
        <f>SUM(OSRRefP22_5x_0)</f>
        <v>338.04</v>
      </c>
      <c r="Q49" s="1"/>
      <c r="R49" s="5">
        <f t="shared" si="32"/>
        <v>0</v>
      </c>
      <c r="S49" s="1"/>
      <c r="T49" s="1">
        <f>SUM(OSRRefT22_5x_0)</f>
        <v>330</v>
      </c>
      <c r="U49" s="1"/>
      <c r="V49" s="5">
        <f t="shared" si="33"/>
        <v>1.65</v>
      </c>
      <c r="W49" s="1"/>
      <c r="X49" s="1">
        <f t="shared" si="34"/>
        <v>8.0400000000000205</v>
      </c>
      <c r="Y49" s="1"/>
      <c r="Z49" s="5">
        <f t="shared" si="35"/>
        <v>2.4363636363636424E-2</v>
      </c>
    </row>
    <row r="50" spans="1:26" s="24" customFormat="1" hidden="1" outlineLevel="2" x14ac:dyDescent="0.25">
      <c r="A50" s="26"/>
      <c r="B50" s="11" t="str">
        <f>CONCATENATE("          ", "6314", " - ", "LIABILITY INSURANCE")</f>
        <v xml:space="preserve">          6314 - LIABILITY INSURANCE</v>
      </c>
      <c r="C50" s="11"/>
      <c r="D50" s="6">
        <v>56.34</v>
      </c>
      <c r="E50" s="2"/>
      <c r="F50" s="7">
        <f t="shared" si="28"/>
        <v>0</v>
      </c>
      <c r="G50" s="2"/>
      <c r="H50" s="6">
        <v>55</v>
      </c>
      <c r="I50" s="2"/>
      <c r="J50" s="7">
        <f t="shared" si="29"/>
        <v>0</v>
      </c>
      <c r="K50" s="2"/>
      <c r="L50" s="6">
        <f t="shared" si="30"/>
        <v>1.3400000000000034</v>
      </c>
      <c r="M50" s="2"/>
      <c r="N50" s="7">
        <f t="shared" si="31"/>
        <v>2.4363636363636424E-2</v>
      </c>
      <c r="O50" s="11"/>
      <c r="P50" s="6">
        <v>338.04</v>
      </c>
      <c r="Q50" s="2"/>
      <c r="R50" s="7">
        <f t="shared" si="32"/>
        <v>0</v>
      </c>
      <c r="S50" s="2"/>
      <c r="T50" s="6">
        <v>330</v>
      </c>
      <c r="U50" s="2"/>
      <c r="V50" s="7">
        <f t="shared" si="33"/>
        <v>1.65</v>
      </c>
      <c r="W50" s="2"/>
      <c r="X50" s="6">
        <f t="shared" si="34"/>
        <v>8.0400000000000205</v>
      </c>
      <c r="Y50" s="2"/>
      <c r="Z50" s="7">
        <f t="shared" si="35"/>
        <v>2.4363636363636424E-2</v>
      </c>
    </row>
    <row r="51" spans="1:26" s="25" customFormat="1" outlineLevel="1" collapsed="1" x14ac:dyDescent="0.25">
      <c r="A51" s="27"/>
      <c r="B51" s="13" t="str">
        <f>CONCATENATE("     ","Professional Services                             ")</f>
        <v xml:space="preserve">     Professional Services  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3000</v>
      </c>
      <c r="U51" s="1"/>
      <c r="V51" s="5">
        <f t="shared" si="33"/>
        <v>15</v>
      </c>
      <c r="W51" s="1"/>
      <c r="X51" s="1">
        <f t="shared" si="34"/>
        <v>-3000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"6332", " - ", "CONSULTANT FEES")</f>
        <v xml:space="preserve">          6332 - CONSULTANT FEES</v>
      </c>
      <c r="C52" s="11"/>
      <c r="D52" s="6"/>
      <c r="E52" s="2"/>
      <c r="F52" s="7">
        <f t="shared" si="28"/>
        <v>0</v>
      </c>
      <c r="G52" s="2"/>
      <c r="H52" s="6">
        <v>500</v>
      </c>
      <c r="I52" s="2"/>
      <c r="J52" s="7">
        <f t="shared" si="29"/>
        <v>0</v>
      </c>
      <c r="K52" s="2"/>
      <c r="L52" s="6">
        <f t="shared" si="30"/>
        <v>-500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3000</v>
      </c>
      <c r="U52" s="2"/>
      <c r="V52" s="7">
        <f t="shared" si="33"/>
        <v>15</v>
      </c>
      <c r="W52" s="2"/>
      <c r="X52" s="6">
        <f t="shared" si="34"/>
        <v>-3000</v>
      </c>
      <c r="Y52" s="2"/>
      <c r="Z52" s="7">
        <f t="shared" si="35"/>
        <v>-1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SUM(OSRRefD22_7x_0)</f>
        <v>9691.9900000000016</v>
      </c>
      <c r="E53" s="1"/>
      <c r="F53" s="5">
        <f t="shared" si="28"/>
        <v>0</v>
      </c>
      <c r="G53" s="1"/>
      <c r="H53" s="1">
        <f>SUM(OSRRefH22_7x_0)</f>
        <v>13600</v>
      </c>
      <c r="I53" s="1"/>
      <c r="J53" s="5">
        <f t="shared" si="29"/>
        <v>0</v>
      </c>
      <c r="K53" s="1"/>
      <c r="L53" s="1">
        <f t="shared" si="30"/>
        <v>-3908.0099999999984</v>
      </c>
      <c r="M53" s="1"/>
      <c r="N53" s="5">
        <f t="shared" si="31"/>
        <v>-0.28735367647058813</v>
      </c>
      <c r="O53" s="13"/>
      <c r="P53" s="1">
        <f>SUM(OSRRefP22_7x_0)</f>
        <v>57354.25</v>
      </c>
      <c r="Q53" s="1"/>
      <c r="R53" s="5">
        <f t="shared" si="32"/>
        <v>0</v>
      </c>
      <c r="S53" s="1"/>
      <c r="T53" s="1">
        <f>SUM(OSRRefT22_7x_0)</f>
        <v>67000</v>
      </c>
      <c r="U53" s="1"/>
      <c r="V53" s="5">
        <f t="shared" si="33"/>
        <v>335</v>
      </c>
      <c r="W53" s="1"/>
      <c r="X53" s="1">
        <f t="shared" si="34"/>
        <v>-9645.75</v>
      </c>
      <c r="Y53" s="1"/>
      <c r="Z53" s="5">
        <f t="shared" si="35"/>
        <v>-0.14396641791044776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90.95</v>
      </c>
      <c r="E54" s="2"/>
      <c r="F54" s="7">
        <f t="shared" si="28"/>
        <v>0</v>
      </c>
      <c r="G54" s="2"/>
      <c r="H54" s="6">
        <v>1000</v>
      </c>
      <c r="I54" s="2"/>
      <c r="J54" s="7">
        <f t="shared" si="29"/>
        <v>0</v>
      </c>
      <c r="K54" s="2"/>
      <c r="L54" s="6">
        <f t="shared" si="30"/>
        <v>-909.05</v>
      </c>
      <c r="M54" s="2"/>
      <c r="N54" s="7">
        <f t="shared" si="31"/>
        <v>-0.90904999999999991</v>
      </c>
      <c r="O54" s="11"/>
      <c r="P54" s="6">
        <v>545.70000000000005</v>
      </c>
      <c r="Q54" s="2"/>
      <c r="R54" s="7">
        <f t="shared" si="32"/>
        <v>0</v>
      </c>
      <c r="S54" s="2"/>
      <c r="T54" s="6">
        <v>4000</v>
      </c>
      <c r="U54" s="2"/>
      <c r="V54" s="7">
        <f t="shared" si="33"/>
        <v>20</v>
      </c>
      <c r="W54" s="2"/>
      <c r="X54" s="6">
        <f t="shared" si="34"/>
        <v>-3454.3</v>
      </c>
      <c r="Y54" s="2"/>
      <c r="Z54" s="7">
        <f t="shared" si="35"/>
        <v>-0.86357500000000009</v>
      </c>
    </row>
    <row r="55" spans="1:26" s="24" customFormat="1" hidden="1" outlineLevel="2" x14ac:dyDescent="0.25">
      <c r="A55" s="26"/>
      <c r="B55" s="11" t="str">
        <f>CONCATENATE("          ", "6372", " - ", "COMPUTER HARDWARE MAINTENANCE")</f>
        <v xml:space="preserve">          6372 - COMPUTER HARDWARE MAINTENANCE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5000</v>
      </c>
      <c r="U55" s="2"/>
      <c r="V55" s="7">
        <f t="shared" si="33"/>
        <v>25</v>
      </c>
      <c r="W55" s="2"/>
      <c r="X55" s="6">
        <f t="shared" si="34"/>
        <v>-5000</v>
      </c>
      <c r="Y55" s="2"/>
      <c r="Z55" s="7">
        <f t="shared" si="35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9506</v>
      </c>
      <c r="E56" s="2"/>
      <c r="F56" s="7">
        <f t="shared" si="28"/>
        <v>0</v>
      </c>
      <c r="G56" s="2"/>
      <c r="H56" s="6">
        <v>11600</v>
      </c>
      <c r="I56" s="2"/>
      <c r="J56" s="7">
        <f t="shared" si="29"/>
        <v>0</v>
      </c>
      <c r="K56" s="2"/>
      <c r="L56" s="6">
        <f t="shared" si="30"/>
        <v>-2094</v>
      </c>
      <c r="M56" s="2"/>
      <c r="N56" s="7">
        <f t="shared" si="31"/>
        <v>-0.18051724137931036</v>
      </c>
      <c r="O56" s="11"/>
      <c r="P56" s="6">
        <v>56650.15</v>
      </c>
      <c r="Q56" s="2"/>
      <c r="R56" s="7">
        <f t="shared" si="32"/>
        <v>0</v>
      </c>
      <c r="S56" s="2"/>
      <c r="T56" s="6">
        <v>58000</v>
      </c>
      <c r="U56" s="2"/>
      <c r="V56" s="7">
        <f t="shared" si="33"/>
        <v>290</v>
      </c>
      <c r="W56" s="2"/>
      <c r="X56" s="6">
        <f t="shared" si="34"/>
        <v>-1349.8499999999985</v>
      </c>
      <c r="Y56" s="2"/>
      <c r="Z56" s="7">
        <f t="shared" si="35"/>
        <v>-2.327327586206894E-2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95.04</v>
      </c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95.04</v>
      </c>
      <c r="M57" s="2"/>
      <c r="N57" s="7">
        <f t="shared" si="31"/>
        <v>0</v>
      </c>
      <c r="O57" s="11"/>
      <c r="P57" s="6">
        <v>158.4</v>
      </c>
      <c r="Q57" s="2"/>
      <c r="R57" s="7">
        <f t="shared" si="32"/>
        <v>0</v>
      </c>
      <c r="S57" s="2"/>
      <c r="T57" s="6"/>
      <c r="U57" s="2"/>
      <c r="V57" s="7">
        <f t="shared" si="33"/>
        <v>0</v>
      </c>
      <c r="W57" s="2"/>
      <c r="X57" s="6">
        <f t="shared" si="34"/>
        <v>158.4</v>
      </c>
      <c r="Y57" s="2"/>
      <c r="Z57" s="7">
        <f t="shared" si="35"/>
        <v>0</v>
      </c>
    </row>
    <row r="58" spans="1:26" s="25" customFormat="1" outlineLevel="1" collapsed="1" x14ac:dyDescent="0.25">
      <c r="A58" s="27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SUM(OSRRefD22_8x_0)</f>
        <v>0</v>
      </c>
      <c r="E58" s="1"/>
      <c r="F58" s="5">
        <f t="shared" ref="F58:F64" si="36">IF(D$12=0,0,D58/D$12)</f>
        <v>0</v>
      </c>
      <c r="G58" s="1"/>
      <c r="H58" s="1">
        <f>SUM(OSRRefH22_8x_0)</f>
        <v>200</v>
      </c>
      <c r="I58" s="1"/>
      <c r="J58" s="5">
        <f t="shared" ref="J58:J64" si="37">IF(H$12=0,0,H58/H$12)</f>
        <v>0</v>
      </c>
      <c r="K58" s="1"/>
      <c r="L58" s="1">
        <f t="shared" ref="L58:L64" si="38">+D58-H58</f>
        <v>-200</v>
      </c>
      <c r="M58" s="1"/>
      <c r="N58" s="5">
        <f t="shared" ref="N58:N64" si="39">IF(H58=0,0,L58/H58)</f>
        <v>-1</v>
      </c>
      <c r="O58" s="13"/>
      <c r="P58" s="1">
        <f>SUM(OSRRefP22_8x_0)</f>
        <v>0</v>
      </c>
      <c r="Q58" s="1"/>
      <c r="R58" s="5">
        <f t="shared" ref="R58:R64" si="40">IF(P$12=0,0,P58/P$12)</f>
        <v>0</v>
      </c>
      <c r="S58" s="1"/>
      <c r="T58" s="1">
        <f>SUM(OSRRefT22_8x_0)</f>
        <v>700</v>
      </c>
      <c r="U58" s="1"/>
      <c r="V58" s="5">
        <f t="shared" ref="V58:V64" si="41">IF(T$12=0,0,T58/T$12)</f>
        <v>3.5</v>
      </c>
      <c r="W58" s="1"/>
      <c r="X58" s="1">
        <f t="shared" ref="X58:X64" si="42">+P58-T58</f>
        <v>-700</v>
      </c>
      <c r="Y58" s="1"/>
      <c r="Z58" s="5">
        <f t="shared" ref="Z58:Z64" si="43">IF(T58=0,0,X58/T58)</f>
        <v>-1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>
        <v>200</v>
      </c>
      <c r="I59" s="2"/>
      <c r="J59" s="7">
        <f t="shared" si="37"/>
        <v>0</v>
      </c>
      <c r="K59" s="2"/>
      <c r="L59" s="6">
        <f t="shared" si="38"/>
        <v>-200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700</v>
      </c>
      <c r="U59" s="2"/>
      <c r="V59" s="7">
        <f t="shared" si="41"/>
        <v>3.5</v>
      </c>
      <c r="W59" s="2"/>
      <c r="X59" s="6">
        <f t="shared" si="42"/>
        <v>-700</v>
      </c>
      <c r="Y59" s="2"/>
      <c r="Z59" s="7">
        <f t="shared" si="43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2278.9699999999998</v>
      </c>
      <c r="E60" s="1"/>
      <c r="F60" s="5">
        <f t="shared" si="36"/>
        <v>0</v>
      </c>
      <c r="G60" s="1"/>
      <c r="H60" s="1">
        <f>SUM(OSRRefH22_9x_0)</f>
        <v>400</v>
      </c>
      <c r="I60" s="1"/>
      <c r="J60" s="5">
        <f t="shared" si="37"/>
        <v>0</v>
      </c>
      <c r="K60" s="1"/>
      <c r="L60" s="1">
        <f t="shared" si="38"/>
        <v>1878.9699999999998</v>
      </c>
      <c r="M60" s="1"/>
      <c r="N60" s="5">
        <f t="shared" si="39"/>
        <v>4.6974249999999991</v>
      </c>
      <c r="O60" s="13"/>
      <c r="P60" s="1">
        <f>SUM(OSRRefP22_9x_0)</f>
        <v>21031.64</v>
      </c>
      <c r="Q60" s="1"/>
      <c r="R60" s="5">
        <f t="shared" si="40"/>
        <v>0</v>
      </c>
      <c r="S60" s="1"/>
      <c r="T60" s="1">
        <f>SUM(OSRRefT22_9x_0)</f>
        <v>2300</v>
      </c>
      <c r="U60" s="1"/>
      <c r="V60" s="5">
        <f t="shared" si="41"/>
        <v>11.5</v>
      </c>
      <c r="W60" s="1"/>
      <c r="X60" s="1">
        <f t="shared" si="42"/>
        <v>18731.64</v>
      </c>
      <c r="Y60" s="1"/>
      <c r="Z60" s="5">
        <f t="shared" si="43"/>
        <v>8.1441913043478262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2278.9699999999998</v>
      </c>
      <c r="E61" s="2"/>
      <c r="F61" s="7">
        <f t="shared" si="36"/>
        <v>0</v>
      </c>
      <c r="G61" s="2"/>
      <c r="H61" s="6">
        <v>400</v>
      </c>
      <c r="I61" s="2"/>
      <c r="J61" s="7">
        <f t="shared" si="37"/>
        <v>0</v>
      </c>
      <c r="K61" s="2"/>
      <c r="L61" s="6">
        <f t="shared" si="38"/>
        <v>1878.9699999999998</v>
      </c>
      <c r="M61" s="2"/>
      <c r="N61" s="7">
        <f t="shared" si="39"/>
        <v>4.6974249999999991</v>
      </c>
      <c r="O61" s="11"/>
      <c r="P61" s="6">
        <v>21031.64</v>
      </c>
      <c r="Q61" s="2"/>
      <c r="R61" s="7">
        <f t="shared" si="40"/>
        <v>0</v>
      </c>
      <c r="S61" s="2"/>
      <c r="T61" s="6">
        <v>2300</v>
      </c>
      <c r="U61" s="2"/>
      <c r="V61" s="7">
        <f t="shared" si="41"/>
        <v>11.5</v>
      </c>
      <c r="W61" s="2"/>
      <c r="X61" s="6">
        <f t="shared" si="42"/>
        <v>18731.64</v>
      </c>
      <c r="Y61" s="2"/>
      <c r="Z61" s="7">
        <f t="shared" si="43"/>
        <v>8.1441913043478262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944.89</v>
      </c>
      <c r="E62" s="1"/>
      <c r="F62" s="5">
        <f t="shared" si="36"/>
        <v>0</v>
      </c>
      <c r="G62" s="1"/>
      <c r="H62" s="1">
        <f>SUM(OSRRefH22_10x_0)</f>
        <v>450</v>
      </c>
      <c r="I62" s="1"/>
      <c r="J62" s="5">
        <f t="shared" si="37"/>
        <v>0</v>
      </c>
      <c r="K62" s="1"/>
      <c r="L62" s="1">
        <f t="shared" si="38"/>
        <v>494.89</v>
      </c>
      <c r="M62" s="1"/>
      <c r="N62" s="5">
        <f t="shared" si="39"/>
        <v>1.0997555555555556</v>
      </c>
      <c r="O62" s="13"/>
      <c r="P62" s="1">
        <f>SUM(OSRRefP22_10x_0)</f>
        <v>8732.1200000000008</v>
      </c>
      <c r="Q62" s="1"/>
      <c r="R62" s="5">
        <f t="shared" si="40"/>
        <v>0</v>
      </c>
      <c r="S62" s="1"/>
      <c r="T62" s="1">
        <f>SUM(OSRRefT22_10x_0)</f>
        <v>2800</v>
      </c>
      <c r="U62" s="1"/>
      <c r="V62" s="5">
        <f t="shared" si="41"/>
        <v>14</v>
      </c>
      <c r="W62" s="1"/>
      <c r="X62" s="1">
        <f t="shared" si="42"/>
        <v>5932.1200000000008</v>
      </c>
      <c r="Y62" s="1"/>
      <c r="Z62" s="5">
        <f t="shared" si="43"/>
        <v>2.118614285714286</v>
      </c>
    </row>
    <row r="63" spans="1:26" s="24" customFormat="1" hidden="1" outlineLevel="2" x14ac:dyDescent="0.25">
      <c r="A63" s="26"/>
      <c r="B63" s="11" t="str">
        <f>CONCATENATE("          ", "6303", " - ", "DATA PHONE LINES")</f>
        <v xml:space="preserve">          6303 - DATA PHONE LINES</v>
      </c>
      <c r="C63" s="11"/>
      <c r="D63" s="6">
        <v>143.97999999999999</v>
      </c>
      <c r="E63" s="2"/>
      <c r="F63" s="7">
        <f t="shared" si="36"/>
        <v>0</v>
      </c>
      <c r="G63" s="2"/>
      <c r="H63" s="6">
        <v>200</v>
      </c>
      <c r="I63" s="2"/>
      <c r="J63" s="7">
        <f t="shared" si="37"/>
        <v>0</v>
      </c>
      <c r="K63" s="2"/>
      <c r="L63" s="6">
        <f t="shared" si="38"/>
        <v>-56.02000000000001</v>
      </c>
      <c r="M63" s="2"/>
      <c r="N63" s="7">
        <f t="shared" si="39"/>
        <v>-0.28010000000000007</v>
      </c>
      <c r="O63" s="11"/>
      <c r="P63" s="6">
        <v>1026.07</v>
      </c>
      <c r="Q63" s="2"/>
      <c r="R63" s="7">
        <f t="shared" si="40"/>
        <v>0</v>
      </c>
      <c r="S63" s="2"/>
      <c r="T63" s="6">
        <v>1300</v>
      </c>
      <c r="U63" s="2"/>
      <c r="V63" s="7">
        <f t="shared" si="41"/>
        <v>6.5</v>
      </c>
      <c r="W63" s="2"/>
      <c r="X63" s="6">
        <f t="shared" si="42"/>
        <v>-273.93000000000006</v>
      </c>
      <c r="Y63" s="2"/>
      <c r="Z63" s="7">
        <f t="shared" si="43"/>
        <v>-0.21071538461538467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800.91</v>
      </c>
      <c r="E64" s="2"/>
      <c r="F64" s="7">
        <f t="shared" si="36"/>
        <v>0</v>
      </c>
      <c r="G64" s="2"/>
      <c r="H64" s="6">
        <v>250</v>
      </c>
      <c r="I64" s="2"/>
      <c r="J64" s="7">
        <f t="shared" si="37"/>
        <v>0</v>
      </c>
      <c r="K64" s="2"/>
      <c r="L64" s="6">
        <f t="shared" si="38"/>
        <v>550.91</v>
      </c>
      <c r="M64" s="2"/>
      <c r="N64" s="7">
        <f t="shared" si="39"/>
        <v>2.20364</v>
      </c>
      <c r="O64" s="11"/>
      <c r="P64" s="6">
        <v>7706.05</v>
      </c>
      <c r="Q64" s="2"/>
      <c r="R64" s="7">
        <f t="shared" si="40"/>
        <v>0</v>
      </c>
      <c r="S64" s="2"/>
      <c r="T64" s="6">
        <v>1500</v>
      </c>
      <c r="U64" s="2"/>
      <c r="V64" s="7">
        <f t="shared" si="41"/>
        <v>7.5</v>
      </c>
      <c r="W64" s="2"/>
      <c r="X64" s="6">
        <f t="shared" si="42"/>
        <v>6206.05</v>
      </c>
      <c r="Y64" s="2"/>
      <c r="Z64" s="7">
        <f t="shared" si="43"/>
        <v>4.1373666666666669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SUM(OSRRefD22_11x_0)</f>
        <v>49</v>
      </c>
      <c r="E65" s="1"/>
      <c r="F65" s="5">
        <f t="shared" ref="F65:F69" si="44">IF(D$12=0,0,D65/D$12)</f>
        <v>0</v>
      </c>
      <c r="G65" s="1"/>
      <c r="H65" s="1">
        <f>SUM(OSRRefH22_11x_0)</f>
        <v>1000</v>
      </c>
      <c r="I65" s="1"/>
      <c r="J65" s="5">
        <f t="shared" ref="J65:J69" si="45">IF(H$12=0,0,H65/H$12)</f>
        <v>0</v>
      </c>
      <c r="K65" s="1"/>
      <c r="L65" s="1">
        <f t="shared" ref="L65:L69" si="46">+D65-H65</f>
        <v>-951</v>
      </c>
      <c r="M65" s="1"/>
      <c r="N65" s="5">
        <f t="shared" ref="N65:N69" si="47">IF(H65=0,0,L65/H65)</f>
        <v>-0.95099999999999996</v>
      </c>
      <c r="O65" s="13"/>
      <c r="P65" s="1">
        <f>SUM(OSRRefP22_11x_0)</f>
        <v>483.06</v>
      </c>
      <c r="Q65" s="1"/>
      <c r="R65" s="5">
        <f t="shared" ref="R65:R69" si="48">IF(P$12=0,0,P65/P$12)</f>
        <v>0</v>
      </c>
      <c r="S65" s="1"/>
      <c r="T65" s="1">
        <f>SUM(OSRRefT22_11x_0)</f>
        <v>6000</v>
      </c>
      <c r="U65" s="1"/>
      <c r="V65" s="5">
        <f t="shared" ref="V65:V69" si="49">IF(T$12=0,0,T65/T$12)</f>
        <v>30</v>
      </c>
      <c r="W65" s="1"/>
      <c r="X65" s="1">
        <f t="shared" ref="X65:X69" si="50">+P65-T65</f>
        <v>-5516.94</v>
      </c>
      <c r="Y65" s="1"/>
      <c r="Z65" s="5">
        <f t="shared" ref="Z65:Z69" si="51">IF(T65=0,0,X65/T65)</f>
        <v>-0.91948999999999992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>
        <v>49</v>
      </c>
      <c r="E66" s="2"/>
      <c r="F66" s="7">
        <f t="shared" si="44"/>
        <v>0</v>
      </c>
      <c r="G66" s="2"/>
      <c r="H66" s="6">
        <v>1000</v>
      </c>
      <c r="I66" s="2"/>
      <c r="J66" s="7">
        <f t="shared" si="45"/>
        <v>0</v>
      </c>
      <c r="K66" s="2"/>
      <c r="L66" s="6">
        <f t="shared" si="46"/>
        <v>-951</v>
      </c>
      <c r="M66" s="2"/>
      <c r="N66" s="7">
        <f t="shared" si="47"/>
        <v>-0.95099999999999996</v>
      </c>
      <c r="O66" s="11"/>
      <c r="P66" s="6">
        <v>483.06</v>
      </c>
      <c r="Q66" s="2"/>
      <c r="R66" s="7">
        <f t="shared" si="48"/>
        <v>0</v>
      </c>
      <c r="S66" s="2"/>
      <c r="T66" s="6">
        <v>6000</v>
      </c>
      <c r="U66" s="2"/>
      <c r="V66" s="7">
        <f t="shared" si="49"/>
        <v>30</v>
      </c>
      <c r="W66" s="2"/>
      <c r="X66" s="6">
        <f t="shared" si="50"/>
        <v>-5516.94</v>
      </c>
      <c r="Y66" s="2"/>
      <c r="Z66" s="7">
        <f t="shared" si="51"/>
        <v>-0.91948999999999992</v>
      </c>
    </row>
    <row r="67" spans="1:26" s="25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SUM(OSRRefD22_12x_0)</f>
        <v>0</v>
      </c>
      <c r="E67" s="1"/>
      <c r="F67" s="5">
        <f t="shared" si="44"/>
        <v>0</v>
      </c>
      <c r="G67" s="1"/>
      <c r="H67" s="1">
        <f>SUM(OSRRefH22_12x_0)</f>
        <v>0</v>
      </c>
      <c r="I67" s="1"/>
      <c r="J67" s="5">
        <f t="shared" si="45"/>
        <v>0</v>
      </c>
      <c r="K67" s="1"/>
      <c r="L67" s="1">
        <f t="shared" si="46"/>
        <v>0</v>
      </c>
      <c r="M67" s="1"/>
      <c r="N67" s="5">
        <f t="shared" si="47"/>
        <v>0</v>
      </c>
      <c r="O67" s="13"/>
      <c r="P67" s="1">
        <f>SUM(OSRRefP22_12x_0)</f>
        <v>1383.21</v>
      </c>
      <c r="Q67" s="1"/>
      <c r="R67" s="5">
        <f t="shared" si="48"/>
        <v>0</v>
      </c>
      <c r="S67" s="1"/>
      <c r="T67" s="1">
        <f>SUM(OSRRefT22_12x_0)</f>
        <v>6000</v>
      </c>
      <c r="U67" s="1"/>
      <c r="V67" s="5">
        <f t="shared" si="49"/>
        <v>30</v>
      </c>
      <c r="W67" s="1"/>
      <c r="X67" s="1">
        <f t="shared" si="50"/>
        <v>-4616.79</v>
      </c>
      <c r="Y67" s="1"/>
      <c r="Z67" s="5">
        <f t="shared" si="51"/>
        <v>-0.76946499999999995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1359.31</v>
      </c>
      <c r="Q68" s="2"/>
      <c r="R68" s="7">
        <f t="shared" si="48"/>
        <v>0</v>
      </c>
      <c r="S68" s="2"/>
      <c r="T68" s="6">
        <v>6000</v>
      </c>
      <c r="U68" s="2"/>
      <c r="V68" s="7">
        <f t="shared" si="49"/>
        <v>30</v>
      </c>
      <c r="W68" s="2"/>
      <c r="X68" s="6">
        <f t="shared" si="50"/>
        <v>-4640.6900000000005</v>
      </c>
      <c r="Y68" s="2"/>
      <c r="Z68" s="7">
        <f t="shared" si="51"/>
        <v>-0.7734483333333334</v>
      </c>
    </row>
    <row r="69" spans="1:26" s="24" customFormat="1" hidden="1" outlineLevel="2" x14ac:dyDescent="0.25">
      <c r="A69" s="26"/>
      <c r="B69" s="11" t="str">
        <f>CONCATENATE("          ", "6294", " - ", "TRAVEL OPERATIONAL")</f>
        <v xml:space="preserve">          6294 - TRAVEL OPERATIONAL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23.9</v>
      </c>
      <c r="Q69" s="2"/>
      <c r="R69" s="7">
        <f t="shared" si="48"/>
        <v>0</v>
      </c>
      <c r="S69" s="2"/>
      <c r="T69" s="6"/>
      <c r="U69" s="2"/>
      <c r="V69" s="7">
        <f t="shared" si="49"/>
        <v>0</v>
      </c>
      <c r="W69" s="2"/>
      <c r="X69" s="6">
        <f t="shared" si="50"/>
        <v>23.9</v>
      </c>
      <c r="Y69" s="2"/>
      <c r="Z69" s="7">
        <f t="shared" si="51"/>
        <v>0</v>
      </c>
    </row>
    <row r="70" spans="1:26" s="53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+D17-D19+D71</f>
        <v>-54493.08</v>
      </c>
      <c r="E73" s="14"/>
      <c r="F73" s="20">
        <f>IF(D$12=0,0,D73/D$12)</f>
        <v>0</v>
      </c>
      <c r="G73" s="14"/>
      <c r="H73" s="22">
        <f>+H17-H19+H71</f>
        <v>-64433.765232076883</v>
      </c>
      <c r="I73" s="14"/>
      <c r="J73" s="20">
        <f>IF(H$12=0,0,H73/H$12)</f>
        <v>0</v>
      </c>
      <c r="K73" s="16"/>
      <c r="L73" s="22">
        <f>+D73-H73</f>
        <v>9940.6852320768812</v>
      </c>
      <c r="M73" s="16"/>
      <c r="N73" s="20">
        <f>IF(H73=0,0,L73/H73)</f>
        <v>-0.15427757785491228</v>
      </c>
      <c r="O73" s="28"/>
      <c r="P73" s="22">
        <f>+P17-P19+P71</f>
        <v>-360599.31000000006</v>
      </c>
      <c r="Q73" s="14"/>
      <c r="R73" s="20">
        <f>IF(P$12=0,0,P73/P$12)</f>
        <v>0</v>
      </c>
      <c r="S73" s="14"/>
      <c r="T73" s="22">
        <f>+T17-T19+T71</f>
        <v>-396902.84404461522</v>
      </c>
      <c r="U73" s="14"/>
      <c r="V73" s="20">
        <f>IF(T$12=0,0,T73/T$12)</f>
        <v>-1984.5142202230761</v>
      </c>
      <c r="W73" s="16"/>
      <c r="X73" s="22">
        <f>+P73-T73</f>
        <v>36303.534044615168</v>
      </c>
      <c r="Y73" s="16"/>
      <c r="Z73" s="20">
        <f>IF(T73=0,0,X73/T73)</f>
        <v>-9.1467054442508217E-2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-54493.08</v>
      </c>
      <c r="E77" s="14"/>
      <c r="F77" s="32">
        <f>IF(D$12=0,0,D77/D$12)</f>
        <v>0</v>
      </c>
      <c r="G77" s="14"/>
      <c r="H77" s="31">
        <f>+H73-H75</f>
        <v>-64433.765232076883</v>
      </c>
      <c r="I77" s="14"/>
      <c r="J77" s="32">
        <f>IF(H$12=0,0,H77/H$12)</f>
        <v>0</v>
      </c>
      <c r="K77" s="16"/>
      <c r="L77" s="31">
        <f>D77-H77</f>
        <v>9940.6852320768812</v>
      </c>
      <c r="M77" s="16"/>
      <c r="N77" s="32">
        <f>IF(H77=0,0,L77/H77)</f>
        <v>-0.15427757785491228</v>
      </c>
      <c r="O77" s="28"/>
      <c r="P77" s="31">
        <f>+P73-P75</f>
        <v>-360599.31000000006</v>
      </c>
      <c r="Q77" s="14"/>
      <c r="R77" s="32">
        <f>IF(P$12=0,0,P77/P$12)</f>
        <v>0</v>
      </c>
      <c r="S77" s="14"/>
      <c r="T77" s="31">
        <f>+T73-T75</f>
        <v>-396902.84404461522</v>
      </c>
      <c r="U77" s="14"/>
      <c r="V77" s="32">
        <f>IF(T$12=0,0,T77/T$12)</f>
        <v>-1984.5142202230761</v>
      </c>
      <c r="W77" s="16"/>
      <c r="X77" s="31">
        <f>P77-T77</f>
        <v>36303.534044615168</v>
      </c>
      <c r="Y77" s="16"/>
      <c r="Z77" s="32">
        <f>IF(T77=0,0,X77/T77)</f>
        <v>-9.1467054442508217E-2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5">
        <f>SUM(D77:D79)</f>
        <v>-54493.08</v>
      </c>
      <c r="E80" s="14"/>
      <c r="F80" s="34">
        <f>IF(D$12=0,0,D80/D$12)</f>
        <v>0</v>
      </c>
      <c r="G80" s="14"/>
      <c r="H80" s="35">
        <f>SUM(H77:H79)</f>
        <v>-64433.765232076883</v>
      </c>
      <c r="I80" s="14"/>
      <c r="J80" s="34">
        <f>IF(H$12=0,0,H80/H$12)</f>
        <v>0</v>
      </c>
      <c r="K80" s="16"/>
      <c r="L80" s="35">
        <f>+D80-H80</f>
        <v>9940.6852320768812</v>
      </c>
      <c r="M80" s="16"/>
      <c r="N80" s="34">
        <f>IF(H80=0,0,L80/H80)</f>
        <v>-0.15427757785491228</v>
      </c>
      <c r="O80" s="28"/>
      <c r="P80" s="35">
        <f>SUM(P77:P79)</f>
        <v>-360599.31000000006</v>
      </c>
      <c r="Q80" s="14"/>
      <c r="R80" s="34">
        <f>IF(P$12=0,0,P80/P$12)</f>
        <v>0</v>
      </c>
      <c r="S80" s="14"/>
      <c r="T80" s="35">
        <f>SUM(T77:T79)</f>
        <v>-396902.84404461522</v>
      </c>
      <c r="U80" s="14"/>
      <c r="V80" s="34">
        <f>IF(T$12=0,0,T80/T$12)</f>
        <v>-1984.5142202230761</v>
      </c>
      <c r="W80" s="16"/>
      <c r="X80" s="35">
        <f>+P80-T80</f>
        <v>36303.534044615168</v>
      </c>
      <c r="Y80" s="16"/>
      <c r="Z80" s="34">
        <f>IF(T80=0,0,X80/T80)</f>
        <v>-9.1467054442508217E-2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3">
        <v>43847.445729166669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7290.1100000000006</v>
      </c>
      <c r="E18" s="21"/>
      <c r="F18" s="30">
        <f t="shared" ref="F18:F28" si="0">IF(D$12=0,0,D18/D$12)</f>
        <v>0</v>
      </c>
      <c r="G18" s="21"/>
      <c r="H18" s="21">
        <f>SUM(OSRRefH22x_0)</f>
        <v>7260.5090453384582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29.600954661542346</v>
      </c>
      <c r="M18" s="4"/>
      <c r="N18" s="30">
        <f t="shared" ref="N18:N28" si="3">IF(H18=0,0,L18/H18)</f>
        <v>4.0769806189481107E-3</v>
      </c>
      <c r="O18" s="10"/>
      <c r="P18" s="21">
        <f>SUM(OSRRefP22x_0)</f>
        <v>49882.68</v>
      </c>
      <c r="Q18" s="21"/>
      <c r="R18" s="30">
        <f t="shared" ref="R18:R28" si="4">IF(P$12=0,0,P18/P$12)</f>
        <v>0</v>
      </c>
      <c r="S18" s="21"/>
      <c r="T18" s="21">
        <f>SUM(OSRRefT22x_0)</f>
        <v>51456.808794700002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-1574.1287947000019</v>
      </c>
      <c r="Y18" s="4"/>
      <c r="Z18" s="30">
        <f t="shared" ref="Z18:Z28" si="7">IF(T18=0,0,X18/T18)</f>
        <v>-3.0591263460981195E-2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2554.9299999999998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260.14767773846188</v>
      </c>
      <c r="M19" s="1"/>
      <c r="N19" s="5">
        <f t="shared" si="3"/>
        <v>0.1133648604552971</v>
      </c>
      <c r="O19" s="13"/>
      <c r="P19" s="1">
        <f>SUM(OSRRefP22_0x_0)</f>
        <v>16261.649999999998</v>
      </c>
      <c r="Q19" s="1"/>
      <c r="R19" s="5">
        <f t="shared" si="4"/>
        <v>0</v>
      </c>
      <c r="S19" s="1"/>
      <c r="T19" s="1">
        <f>SUM(OSRRefT22_0x_0)</f>
        <v>14509.5850947</v>
      </c>
      <c r="U19" s="1"/>
      <c r="V19" s="5">
        <f t="shared" si="5"/>
        <v>0</v>
      </c>
      <c r="W19" s="1"/>
      <c r="X19" s="1">
        <f t="shared" si="6"/>
        <v>1752.0649052999979</v>
      </c>
      <c r="Y19" s="1"/>
      <c r="Z19" s="5">
        <f t="shared" si="7"/>
        <v>0.12075224025116919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323.13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1.7264880461539747</v>
      </c>
      <c r="M20" s="2"/>
      <c r="N20" s="7">
        <f t="shared" si="3"/>
        <v>5.3717149375825755E-3</v>
      </c>
      <c r="O20" s="11"/>
      <c r="P20" s="6">
        <v>2123.8000000000002</v>
      </c>
      <c r="Q20" s="2"/>
      <c r="R20" s="7">
        <f t="shared" si="4"/>
        <v>0</v>
      </c>
      <c r="S20" s="2"/>
      <c r="T20" s="6">
        <v>2089.1228277</v>
      </c>
      <c r="U20" s="2"/>
      <c r="V20" s="7">
        <f t="shared" si="5"/>
        <v>0</v>
      </c>
      <c r="W20" s="2"/>
      <c r="X20" s="6">
        <f t="shared" si="6"/>
        <v>34.677172300000166</v>
      </c>
      <c r="Y20" s="2"/>
      <c r="Z20" s="7">
        <f t="shared" si="7"/>
        <v>1.6598915027977397E-2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426.76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142.439893384615</v>
      </c>
      <c r="M21" s="2"/>
      <c r="N21" s="7">
        <f t="shared" si="3"/>
        <v>0.50098424300783295</v>
      </c>
      <c r="O21" s="11"/>
      <c r="P21" s="6">
        <v>1520.82</v>
      </c>
      <c r="Q21" s="2"/>
      <c r="R21" s="7">
        <f t="shared" si="4"/>
        <v>0</v>
      </c>
      <c r="S21" s="2"/>
      <c r="T21" s="6">
        <v>1848.0806930000019</v>
      </c>
      <c r="U21" s="2"/>
      <c r="V21" s="7">
        <f t="shared" si="5"/>
        <v>0</v>
      </c>
      <c r="W21" s="2"/>
      <c r="X21" s="6">
        <f t="shared" si="6"/>
        <v>-327.26069300000199</v>
      </c>
      <c r="Y21" s="2"/>
      <c r="Z21" s="7">
        <f t="shared" si="7"/>
        <v>-0.17708138732230219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32.139999999999986</v>
      </c>
      <c r="M22" s="2"/>
      <c r="N22" s="7">
        <f t="shared" si="3"/>
        <v>4.847662141779787E-2</v>
      </c>
      <c r="O22" s="11"/>
      <c r="P22" s="6">
        <v>4170.84</v>
      </c>
      <c r="Q22" s="2"/>
      <c r="R22" s="7">
        <f t="shared" si="4"/>
        <v>0</v>
      </c>
      <c r="S22" s="2"/>
      <c r="T22" s="6">
        <v>3978</v>
      </c>
      <c r="U22" s="2"/>
      <c r="V22" s="7">
        <f t="shared" si="5"/>
        <v>0</v>
      </c>
      <c r="W22" s="2"/>
      <c r="X22" s="6">
        <f t="shared" si="6"/>
        <v>192.84000000000015</v>
      </c>
      <c r="Y22" s="2"/>
      <c r="Z22" s="7">
        <f t="shared" si="7"/>
        <v>4.8476621417797926E-2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16.39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5.4707640000000008</v>
      </c>
      <c r="M23" s="2"/>
      <c r="N23" s="7">
        <f t="shared" si="3"/>
        <v>0.50102076738702239</v>
      </c>
      <c r="O23" s="11"/>
      <c r="P23" s="6">
        <v>71.44</v>
      </c>
      <c r="Q23" s="2"/>
      <c r="R23" s="7">
        <f t="shared" si="4"/>
        <v>0</v>
      </c>
      <c r="S23" s="2"/>
      <c r="T23" s="6">
        <v>70.975033999999994</v>
      </c>
      <c r="U23" s="2"/>
      <c r="V23" s="7">
        <f t="shared" si="5"/>
        <v>0</v>
      </c>
      <c r="W23" s="2"/>
      <c r="X23" s="6">
        <f t="shared" si="6"/>
        <v>0.46496600000000399</v>
      </c>
      <c r="Y23" s="2"/>
      <c r="Z23" s="7">
        <f t="shared" si="7"/>
        <v>6.5511204968215168E-3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2575.56</v>
      </c>
      <c r="Q24" s="2"/>
      <c r="R24" s="7">
        <f t="shared" si="4"/>
        <v>0</v>
      </c>
      <c r="S24" s="2"/>
      <c r="T24" s="6">
        <v>2347.6357400000002</v>
      </c>
      <c r="U24" s="2"/>
      <c r="V24" s="7">
        <f t="shared" si="5"/>
        <v>0</v>
      </c>
      <c r="W24" s="2"/>
      <c r="X24" s="6">
        <f t="shared" si="6"/>
        <v>227.92425999999978</v>
      </c>
      <c r="Y24" s="2"/>
      <c r="Z24" s="7">
        <f t="shared" si="7"/>
        <v>9.7086722661668012E-2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-32.010615384615051</v>
      </c>
      <c r="M26" s="2"/>
      <c r="N26" s="7">
        <f t="shared" si="3"/>
        <v>-7.622108359962107E-2</v>
      </c>
      <c r="O26" s="11"/>
      <c r="P26" s="6">
        <v>2836.97</v>
      </c>
      <c r="Q26" s="2"/>
      <c r="R26" s="7">
        <f t="shared" si="4"/>
        <v>0</v>
      </c>
      <c r="S26" s="2"/>
      <c r="T26" s="6">
        <v>2729.8089999999979</v>
      </c>
      <c r="U26" s="2"/>
      <c r="V26" s="7">
        <f t="shared" si="5"/>
        <v>0</v>
      </c>
      <c r="W26" s="2"/>
      <c r="X26" s="6">
        <f t="shared" si="6"/>
        <v>107.16100000000188</v>
      </c>
      <c r="Y26" s="2"/>
      <c r="Z26" s="7">
        <f t="shared" si="7"/>
        <v>3.9255860025372458E-2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2104.2199999999998</v>
      </c>
      <c r="Q27" s="2"/>
      <c r="R27" s="7">
        <f t="shared" si="4"/>
        <v>0</v>
      </c>
      <c r="S27" s="2"/>
      <c r="T27" s="6">
        <v>545.96180000000038</v>
      </c>
      <c r="U27" s="2"/>
      <c r="V27" s="7">
        <f t="shared" si="5"/>
        <v>0</v>
      </c>
      <c r="W27" s="2"/>
      <c r="X27" s="6">
        <f t="shared" si="6"/>
        <v>1558.2581999999993</v>
      </c>
      <c r="Y27" s="2"/>
      <c r="Z27" s="7">
        <f t="shared" si="7"/>
        <v>2.8541524333753721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82.57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-67.430000000000007</v>
      </c>
      <c r="M28" s="2"/>
      <c r="N28" s="7">
        <f t="shared" si="3"/>
        <v>-0.4495333333333334</v>
      </c>
      <c r="O28" s="11"/>
      <c r="P28" s="6">
        <v>858</v>
      </c>
      <c r="Q28" s="2"/>
      <c r="R28" s="7">
        <f t="shared" si="4"/>
        <v>0</v>
      </c>
      <c r="S28" s="2"/>
      <c r="T28" s="6">
        <v>900</v>
      </c>
      <c r="U28" s="2"/>
      <c r="V28" s="7">
        <f t="shared" si="5"/>
        <v>0</v>
      </c>
      <c r="W28" s="2"/>
      <c r="X28" s="6">
        <f t="shared" si="6"/>
        <v>-42</v>
      </c>
      <c r="Y28" s="2"/>
      <c r="Z28" s="7">
        <f t="shared" si="7"/>
        <v>-4.6666666666666669E-2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3018.57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-887.15672307692012</v>
      </c>
      <c r="M29" s="1"/>
      <c r="N29" s="5">
        <f t="shared" ref="N29:N39" si="11">IF(H29=0,0,L29/H29)</f>
        <v>-0.22714254887193455</v>
      </c>
      <c r="O29" s="13"/>
      <c r="P29" s="1">
        <f>SUM(OSRRefP22_1x_0)</f>
        <v>24817.9</v>
      </c>
      <c r="Q29" s="1"/>
      <c r="R29" s="5">
        <f t="shared" ref="R29:R39" si="12">IF(P$12=0,0,P29/P$12)</f>
        <v>0</v>
      </c>
      <c r="S29" s="1"/>
      <c r="T29" s="1">
        <f>SUM(OSRRefT22_1x_0)</f>
        <v>25387.223700000002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-569.32370000000083</v>
      </c>
      <c r="Y29" s="1"/>
      <c r="Z29" s="5">
        <f t="shared" ref="Z29:Z39" si="15">IF(T29=0,0,X29/T29)</f>
        <v>-2.2425599062255899E-2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3018.57</v>
      </c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-887.15672307692012</v>
      </c>
      <c r="M31" s="2"/>
      <c r="N31" s="7">
        <f t="shared" si="11"/>
        <v>-0.22714254887193455</v>
      </c>
      <c r="O31" s="11"/>
      <c r="P31" s="6">
        <v>24817.9</v>
      </c>
      <c r="Q31" s="2"/>
      <c r="R31" s="7">
        <f t="shared" si="12"/>
        <v>0</v>
      </c>
      <c r="S31" s="2"/>
      <c r="T31" s="6">
        <v>25387.223700000002</v>
      </c>
      <c r="U31" s="2"/>
      <c r="V31" s="7">
        <f t="shared" si="13"/>
        <v>0</v>
      </c>
      <c r="W31" s="2"/>
      <c r="X31" s="6">
        <f t="shared" si="14"/>
        <v>-569.32370000000083</v>
      </c>
      <c r="Y31" s="2"/>
      <c r="Z31" s="7">
        <f t="shared" si="15"/>
        <v>-2.2425599062255899E-2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-109.13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390.87</v>
      </c>
      <c r="M40" s="1"/>
      <c r="N40" s="5">
        <f t="shared" ref="N40:N48" si="19">IF(H40=0,0,L40/H40)</f>
        <v>-0.78173999999999999</v>
      </c>
      <c r="O40" s="13"/>
      <c r="P40" s="1">
        <f>SUM(OSRRefP22_2x_0)</f>
        <v>-618.78</v>
      </c>
      <c r="Q40" s="1"/>
      <c r="R40" s="5">
        <f t="shared" ref="R40:R48" si="20">IF(P$12=0,0,P40/P$12)</f>
        <v>0</v>
      </c>
      <c r="S40" s="1"/>
      <c r="T40" s="1">
        <f>SUM(OSRRefT22_2x_0)</f>
        <v>-3000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2381.2200000000003</v>
      </c>
      <c r="Y40" s="1"/>
      <c r="Z40" s="5">
        <f t="shared" ref="Z40:Z48" si="23">IF(T40=0,0,X40/T40)</f>
        <v>-0.79374000000000011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>
        <v>-109.13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390.87</v>
      </c>
      <c r="M41" s="2"/>
      <c r="N41" s="7">
        <f t="shared" si="19"/>
        <v>-0.78173999999999999</v>
      </c>
      <c r="O41" s="11"/>
      <c r="P41" s="6">
        <v>-618.78</v>
      </c>
      <c r="Q41" s="2"/>
      <c r="R41" s="7">
        <f t="shared" si="20"/>
        <v>0</v>
      </c>
      <c r="S41" s="2"/>
      <c r="T41" s="6">
        <v>-3000</v>
      </c>
      <c r="U41" s="2"/>
      <c r="V41" s="7">
        <f t="shared" si="21"/>
        <v>0</v>
      </c>
      <c r="W41" s="2"/>
      <c r="X41" s="6">
        <f t="shared" si="22"/>
        <v>2381.2200000000003</v>
      </c>
      <c r="Y41" s="2"/>
      <c r="Z41" s="7">
        <f t="shared" si="23"/>
        <v>-0.79374000000000011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147.36000000000001</v>
      </c>
      <c r="Q42" s="1"/>
      <c r="R42" s="5">
        <f t="shared" si="20"/>
        <v>0</v>
      </c>
      <c r="S42" s="1"/>
      <c r="T42" s="1">
        <f>SUM(OSRRefT22_3x_0)</f>
        <v>150</v>
      </c>
      <c r="U42" s="1"/>
      <c r="V42" s="5">
        <f t="shared" si="21"/>
        <v>0</v>
      </c>
      <c r="W42" s="1"/>
      <c r="X42" s="1">
        <f t="shared" si="22"/>
        <v>-2.6399999999999864</v>
      </c>
      <c r="Y42" s="1"/>
      <c r="Z42" s="5">
        <f t="shared" si="23"/>
        <v>-1.7599999999999907E-2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147.36000000000001</v>
      </c>
      <c r="Q43" s="2"/>
      <c r="R43" s="7">
        <f t="shared" si="20"/>
        <v>0</v>
      </c>
      <c r="S43" s="2"/>
      <c r="T43" s="6">
        <v>150</v>
      </c>
      <c r="U43" s="2"/>
      <c r="V43" s="7">
        <f t="shared" si="21"/>
        <v>0</v>
      </c>
      <c r="W43" s="2"/>
      <c r="X43" s="6">
        <f t="shared" si="22"/>
        <v>-2.6399999999999864</v>
      </c>
      <c r="Y43" s="2"/>
      <c r="Z43" s="7">
        <f t="shared" si="23"/>
        <v>-1.7599999999999907E-2</v>
      </c>
    </row>
    <row r="44" spans="1:26" s="25" customFormat="1" outlineLevel="1" collapsed="1" x14ac:dyDescent="0.25">
      <c r="A44" s="27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1405.95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-94.049999999999955</v>
      </c>
      <c r="M46" s="1"/>
      <c r="N46" s="5">
        <f t="shared" si="19"/>
        <v>-6.2699999999999964E-2</v>
      </c>
      <c r="O46" s="13"/>
      <c r="P46" s="1">
        <f>SUM(OSRRefP22_5x_0)</f>
        <v>7524.86</v>
      </c>
      <c r="Q46" s="1"/>
      <c r="R46" s="5">
        <f t="shared" si="20"/>
        <v>0</v>
      </c>
      <c r="S46" s="1"/>
      <c r="T46" s="1">
        <f>SUM(OSRRefT22_5x_0)</f>
        <v>9000</v>
      </c>
      <c r="U46" s="1"/>
      <c r="V46" s="5">
        <f t="shared" si="21"/>
        <v>0</v>
      </c>
      <c r="W46" s="1"/>
      <c r="X46" s="1">
        <f t="shared" si="22"/>
        <v>-1475.1400000000003</v>
      </c>
      <c r="Y46" s="1"/>
      <c r="Z46" s="5">
        <f t="shared" si="23"/>
        <v>-0.16390444444444449</v>
      </c>
    </row>
    <row r="47" spans="1:26" s="24" customFormat="1" hidden="1" outlineLevel="2" x14ac:dyDescent="0.25">
      <c r="A47" s="26"/>
      <c r="B47" s="11" t="str">
        <f>CONCATENATE("          ", "6373", " - ", "MAINTENANCE CONTRACTS")</f>
        <v xml:space="preserve">          6373 - MAINTENANCE CONTRACTS</v>
      </c>
      <c r="C47" s="11"/>
      <c r="D47" s="6">
        <v>1405.95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-94.049999999999955</v>
      </c>
      <c r="M47" s="2"/>
      <c r="N47" s="7">
        <f t="shared" si="19"/>
        <v>-6.2699999999999964E-2</v>
      </c>
      <c r="O47" s="11"/>
      <c r="P47" s="6">
        <v>7029.75</v>
      </c>
      <c r="Q47" s="2"/>
      <c r="R47" s="7">
        <f t="shared" si="20"/>
        <v>0</v>
      </c>
      <c r="S47" s="2"/>
      <c r="T47" s="6">
        <v>9000</v>
      </c>
      <c r="U47" s="2"/>
      <c r="V47" s="7">
        <f t="shared" si="21"/>
        <v>0</v>
      </c>
      <c r="W47" s="2"/>
      <c r="X47" s="6">
        <f t="shared" si="22"/>
        <v>-1970.25</v>
      </c>
      <c r="Y47" s="2"/>
      <c r="Z47" s="7">
        <f t="shared" si="23"/>
        <v>-0.21891666666666668</v>
      </c>
    </row>
    <row r="48" spans="1:26" s="24" customFormat="1" hidden="1" outlineLevel="2" x14ac:dyDescent="0.25">
      <c r="A48" s="26"/>
      <c r="B48" s="11" t="str">
        <f>CONCATENATE("          ", "6375", " - ", "OUTSIDE REPAIRS &amp; MAINTENANCE")</f>
        <v xml:space="preserve">          6375 - OUTSIDE REPAIRS &amp; MAINTENANCE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>
        <v>495.11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495.11</v>
      </c>
      <c r="Y48" s="2"/>
      <c r="Z48" s="7">
        <f t="shared" si="23"/>
        <v>0</v>
      </c>
    </row>
    <row r="49" spans="1:26" s="25" customFormat="1" outlineLevel="1" collapsed="1" x14ac:dyDescent="0.25">
      <c r="A49" s="27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8.84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-1.1600000000000001</v>
      </c>
      <c r="M49" s="1"/>
      <c r="N49" s="5">
        <f t="shared" ref="N49:N53" si="27">IF(H49=0,0,L49/H49)</f>
        <v>-0.11600000000000002</v>
      </c>
      <c r="O49" s="13"/>
      <c r="P49" s="1">
        <f>SUM(OSRRefP22_6x_0)</f>
        <v>48.62</v>
      </c>
      <c r="Q49" s="1"/>
      <c r="R49" s="5">
        <f t="shared" ref="R49:R53" si="28">IF(P$12=0,0,P49/P$12)</f>
        <v>0</v>
      </c>
      <c r="S49" s="1"/>
      <c r="T49" s="1">
        <f>SUM(OSRRefT22_6x_0)</f>
        <v>60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-11.380000000000003</v>
      </c>
      <c r="Y49" s="1"/>
      <c r="Z49" s="5">
        <f t="shared" ref="Z49:Z53" si="31">IF(T49=0,0,X49/T49)</f>
        <v>-0.18966666666666671</v>
      </c>
    </row>
    <row r="50" spans="1:26" s="24" customFormat="1" hidden="1" outlineLevel="2" x14ac:dyDescent="0.25">
      <c r="A50" s="26"/>
      <c r="B50" s="11" t="str">
        <f>CONCATENATE("          ", "6286", " - ", "LAUNDRY EXPENSE")</f>
        <v xml:space="preserve">          6286 - LAUNDRY EXPENSE</v>
      </c>
      <c r="C50" s="11"/>
      <c r="D50" s="6">
        <v>8.84</v>
      </c>
      <c r="E50" s="2"/>
      <c r="F50" s="7">
        <f t="shared" si="24"/>
        <v>0</v>
      </c>
      <c r="G50" s="2"/>
      <c r="H50" s="6">
        <v>10</v>
      </c>
      <c r="I50" s="2"/>
      <c r="J50" s="7">
        <f t="shared" si="25"/>
        <v>0</v>
      </c>
      <c r="K50" s="2"/>
      <c r="L50" s="6">
        <f t="shared" si="26"/>
        <v>-1.1600000000000001</v>
      </c>
      <c r="M50" s="2"/>
      <c r="N50" s="7">
        <f t="shared" si="27"/>
        <v>-0.11600000000000002</v>
      </c>
      <c r="O50" s="11"/>
      <c r="P50" s="6">
        <v>48.62</v>
      </c>
      <c r="Q50" s="2"/>
      <c r="R50" s="7">
        <f t="shared" si="28"/>
        <v>0</v>
      </c>
      <c r="S50" s="2"/>
      <c r="T50" s="6">
        <v>60</v>
      </c>
      <c r="U50" s="2"/>
      <c r="V50" s="7">
        <f t="shared" si="29"/>
        <v>0</v>
      </c>
      <c r="W50" s="2"/>
      <c r="X50" s="6">
        <f t="shared" si="30"/>
        <v>-11.380000000000003</v>
      </c>
      <c r="Y50" s="2"/>
      <c r="Z50" s="7">
        <f t="shared" si="31"/>
        <v>-0.18966666666666671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313.08999999999997</v>
      </c>
      <c r="E51" s="1"/>
      <c r="F51" s="5">
        <f t="shared" si="24"/>
        <v>0</v>
      </c>
      <c r="G51" s="1"/>
      <c r="H51" s="1">
        <f>SUM(OSRRefH22_7x_0)</f>
        <v>10</v>
      </c>
      <c r="I51" s="1"/>
      <c r="J51" s="5">
        <f t="shared" si="25"/>
        <v>0</v>
      </c>
      <c r="K51" s="1"/>
      <c r="L51" s="1">
        <f t="shared" si="26"/>
        <v>303.08999999999997</v>
      </c>
      <c r="M51" s="1"/>
      <c r="N51" s="5">
        <f t="shared" si="27"/>
        <v>30.308999999999997</v>
      </c>
      <c r="O51" s="13"/>
      <c r="P51" s="1">
        <f>SUM(OSRRefP22_7x_0)</f>
        <v>1058.01</v>
      </c>
      <c r="Q51" s="1"/>
      <c r="R51" s="5">
        <f t="shared" si="28"/>
        <v>0</v>
      </c>
      <c r="S51" s="1"/>
      <c r="T51" s="1">
        <f>SUM(OSRRefT22_7x_0)</f>
        <v>460</v>
      </c>
      <c r="U51" s="1"/>
      <c r="V51" s="5">
        <f t="shared" si="29"/>
        <v>0</v>
      </c>
      <c r="W51" s="1"/>
      <c r="X51" s="1">
        <f t="shared" si="30"/>
        <v>598.01</v>
      </c>
      <c r="Y51" s="1"/>
      <c r="Z51" s="5">
        <f t="shared" si="31"/>
        <v>1.3000217391304347</v>
      </c>
    </row>
    <row r="52" spans="1:26" s="24" customFormat="1" hidden="1" outlineLevel="2" x14ac:dyDescent="0.25">
      <c r="A52" s="26"/>
      <c r="B52" s="11" t="str">
        <f>CONCATENATE("          ", "6234", " - ", "EXPENDABLE SUPPLIES &amp; EQUIPMEN")</f>
        <v xml:space="preserve">          6234 - EXPENDABLE SUPPLIES &amp; EQUIPMEN</v>
      </c>
      <c r="C52" s="11"/>
      <c r="D52" s="6">
        <v>313.08999999999997</v>
      </c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313.08999999999997</v>
      </c>
      <c r="M52" s="2"/>
      <c r="N52" s="7">
        <f t="shared" si="27"/>
        <v>0</v>
      </c>
      <c r="O52" s="11"/>
      <c r="P52" s="6">
        <v>1006.59</v>
      </c>
      <c r="Q52" s="2"/>
      <c r="R52" s="7">
        <f t="shared" si="28"/>
        <v>0</v>
      </c>
      <c r="S52" s="2"/>
      <c r="T52" s="6">
        <v>400</v>
      </c>
      <c r="U52" s="2"/>
      <c r="V52" s="7">
        <f t="shared" si="29"/>
        <v>0</v>
      </c>
      <c r="W52" s="2"/>
      <c r="X52" s="6">
        <f t="shared" si="30"/>
        <v>606.59</v>
      </c>
      <c r="Y52" s="2"/>
      <c r="Z52" s="7">
        <f t="shared" si="31"/>
        <v>1.516475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24"/>
        <v>0</v>
      </c>
      <c r="G53" s="2"/>
      <c r="H53" s="6">
        <v>10</v>
      </c>
      <c r="I53" s="2"/>
      <c r="J53" s="7">
        <f t="shared" si="25"/>
        <v>0</v>
      </c>
      <c r="K53" s="2"/>
      <c r="L53" s="6">
        <f t="shared" si="26"/>
        <v>-10</v>
      </c>
      <c r="M53" s="2"/>
      <c r="N53" s="7">
        <f t="shared" si="27"/>
        <v>-1</v>
      </c>
      <c r="O53" s="11"/>
      <c r="P53" s="6">
        <v>51.42</v>
      </c>
      <c r="Q53" s="2"/>
      <c r="R53" s="7">
        <f t="shared" si="28"/>
        <v>0</v>
      </c>
      <c r="S53" s="2"/>
      <c r="T53" s="6">
        <v>60</v>
      </c>
      <c r="U53" s="2"/>
      <c r="V53" s="7">
        <f t="shared" si="29"/>
        <v>0</v>
      </c>
      <c r="W53" s="2"/>
      <c r="X53" s="6">
        <f t="shared" si="30"/>
        <v>-8.5799999999999983</v>
      </c>
      <c r="Y53" s="2"/>
      <c r="Z53" s="7">
        <f t="shared" si="31"/>
        <v>-0.14299999999999996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73.3</v>
      </c>
      <c r="E54" s="1"/>
      <c r="F54" s="5">
        <f t="shared" ref="F54:F57" si="32">IF(D$12=0,0,D54/D$12)</f>
        <v>0</v>
      </c>
      <c r="G54" s="1"/>
      <c r="H54" s="1">
        <f>SUM(OSRRefH22_8x_0)</f>
        <v>15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58.3</v>
      </c>
      <c r="M54" s="1"/>
      <c r="N54" s="5">
        <f t="shared" ref="N54:N57" si="35">IF(H54=0,0,L54/H54)</f>
        <v>3.8866666666666663</v>
      </c>
      <c r="O54" s="13"/>
      <c r="P54" s="1">
        <f>SUM(OSRRefP22_8x_0)</f>
        <v>386.2</v>
      </c>
      <c r="Q54" s="1"/>
      <c r="R54" s="5">
        <f t="shared" ref="R54:R57" si="36">IF(P$12=0,0,P54/P$12)</f>
        <v>0</v>
      </c>
      <c r="S54" s="1"/>
      <c r="T54" s="1">
        <f>SUM(OSRRefT22_8x_0)</f>
        <v>390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-3.8000000000000114</v>
      </c>
      <c r="Y54" s="1"/>
      <c r="Z54" s="5">
        <f t="shared" ref="Z54:Z57" si="39">IF(T54=0,0,X54/T54)</f>
        <v>-9.7435897435897735E-3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73.3</v>
      </c>
      <c r="E55" s="2"/>
      <c r="F55" s="7">
        <f t="shared" si="32"/>
        <v>0</v>
      </c>
      <c r="G55" s="2"/>
      <c r="H55" s="6">
        <v>15</v>
      </c>
      <c r="I55" s="2"/>
      <c r="J55" s="7">
        <f t="shared" si="33"/>
        <v>0</v>
      </c>
      <c r="K55" s="2"/>
      <c r="L55" s="6">
        <f t="shared" si="34"/>
        <v>58.3</v>
      </c>
      <c r="M55" s="2"/>
      <c r="N55" s="7">
        <f t="shared" si="35"/>
        <v>3.8866666666666663</v>
      </c>
      <c r="O55" s="11"/>
      <c r="P55" s="6">
        <v>386.2</v>
      </c>
      <c r="Q55" s="2"/>
      <c r="R55" s="7">
        <f t="shared" si="36"/>
        <v>0</v>
      </c>
      <c r="S55" s="2"/>
      <c r="T55" s="6">
        <v>390</v>
      </c>
      <c r="U55" s="2"/>
      <c r="V55" s="7">
        <f t="shared" si="37"/>
        <v>0</v>
      </c>
      <c r="W55" s="2"/>
      <c r="X55" s="6">
        <f t="shared" si="38"/>
        <v>-3.8000000000000114</v>
      </c>
      <c r="Y55" s="2"/>
      <c r="Z55" s="7">
        <f t="shared" si="39"/>
        <v>-9.7435897435897735E-3</v>
      </c>
    </row>
    <row r="56" spans="1:26" s="25" customFormat="1" outlineLevel="1" collapsed="1" x14ac:dyDescent="0.25">
      <c r="A56" s="27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6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256.86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256.86</v>
      </c>
      <c r="Y57" s="2"/>
      <c r="Z57" s="7">
        <f t="shared" si="39"/>
        <v>0</v>
      </c>
    </row>
    <row r="58" spans="1:26" s="53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2">
        <f>+D16-D18+D59</f>
        <v>-7290.1100000000006</v>
      </c>
      <c r="E61" s="14"/>
      <c r="F61" s="20">
        <f>IF(D$12=0,0,D61/D$12)</f>
        <v>0</v>
      </c>
      <c r="G61" s="14"/>
      <c r="H61" s="22">
        <f>+H16-H18+H59</f>
        <v>-7260.5090453384582</v>
      </c>
      <c r="I61" s="14"/>
      <c r="J61" s="20">
        <f>IF(H$12=0,0,H61/H$12)</f>
        <v>0</v>
      </c>
      <c r="K61" s="16"/>
      <c r="L61" s="22">
        <f>+D61-H61</f>
        <v>-29.600954661542346</v>
      </c>
      <c r="M61" s="16"/>
      <c r="N61" s="20">
        <f>IF(H61=0,0,L61/H61)</f>
        <v>4.0769806189481107E-3</v>
      </c>
      <c r="O61" s="28"/>
      <c r="P61" s="22">
        <f>+P16-P18+P59</f>
        <v>-49882.68</v>
      </c>
      <c r="Q61" s="14"/>
      <c r="R61" s="20">
        <f>IF(P$12=0,0,P61/P$12)</f>
        <v>0</v>
      </c>
      <c r="S61" s="14"/>
      <c r="T61" s="22">
        <f>+T16-T18+T59</f>
        <v>-51456.808794700002</v>
      </c>
      <c r="U61" s="14"/>
      <c r="V61" s="20">
        <f>IF(T$12=0,0,T61/T$12)</f>
        <v>0</v>
      </c>
      <c r="W61" s="16"/>
      <c r="X61" s="22">
        <f>+P61-T61</f>
        <v>1574.1287947000019</v>
      </c>
      <c r="Y61" s="16"/>
      <c r="Z61" s="20">
        <f>IF(T61=0,0,X61/T61)</f>
        <v>-3.0591263460981195E-2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1">
        <f>+D61-D63</f>
        <v>-7290.1100000000006</v>
      </c>
      <c r="E65" s="14"/>
      <c r="F65" s="32">
        <f>IF(D$12=0,0,D65/D$12)</f>
        <v>0</v>
      </c>
      <c r="G65" s="14"/>
      <c r="H65" s="31">
        <f>+H61-H63</f>
        <v>-7260.5090453384582</v>
      </c>
      <c r="I65" s="14"/>
      <c r="J65" s="32">
        <f>IF(H$12=0,0,H65/H$12)</f>
        <v>0</v>
      </c>
      <c r="K65" s="16"/>
      <c r="L65" s="31">
        <f>D65-H65</f>
        <v>-29.600954661542346</v>
      </c>
      <c r="M65" s="16"/>
      <c r="N65" s="32">
        <f>IF(H65=0,0,L65/H65)</f>
        <v>4.0769806189481107E-3</v>
      </c>
      <c r="O65" s="28"/>
      <c r="P65" s="31">
        <f>+P61-P63</f>
        <v>-49882.68</v>
      </c>
      <c r="Q65" s="14"/>
      <c r="R65" s="32">
        <f>IF(P$12=0,0,P65/P$12)</f>
        <v>0</v>
      </c>
      <c r="S65" s="14"/>
      <c r="T65" s="31">
        <f>+T61-T63</f>
        <v>-51456.808794700002</v>
      </c>
      <c r="U65" s="14"/>
      <c r="V65" s="32">
        <f>IF(T$12=0,0,T65/T$12)</f>
        <v>0</v>
      </c>
      <c r="W65" s="16"/>
      <c r="X65" s="31">
        <f>P65-T65</f>
        <v>1574.1287947000019</v>
      </c>
      <c r="Y65" s="16"/>
      <c r="Z65" s="32">
        <f>IF(T65=0,0,X65/T65)</f>
        <v>-3.0591263460981195E-2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5">
        <f>SUM(D65:D67)</f>
        <v>-7290.1100000000006</v>
      </c>
      <c r="E68" s="14"/>
      <c r="F68" s="34">
        <f>IF(D$12=0,0,D68/D$12)</f>
        <v>0</v>
      </c>
      <c r="G68" s="14"/>
      <c r="H68" s="35">
        <f>SUM(H65:H67)</f>
        <v>-7260.5090453384582</v>
      </c>
      <c r="I68" s="14"/>
      <c r="J68" s="34">
        <f>IF(H$12=0,0,H68/H$12)</f>
        <v>0</v>
      </c>
      <c r="K68" s="16"/>
      <c r="L68" s="35">
        <f>+D68-H68</f>
        <v>-29.600954661542346</v>
      </c>
      <c r="M68" s="16"/>
      <c r="N68" s="34">
        <f>IF(H68=0,0,L68/H68)</f>
        <v>4.0769806189481107E-3</v>
      </c>
      <c r="O68" s="28"/>
      <c r="P68" s="35">
        <f>SUM(P65:P67)</f>
        <v>-49882.68</v>
      </c>
      <c r="Q68" s="14"/>
      <c r="R68" s="34">
        <f>IF(P$12=0,0,P68/P$12)</f>
        <v>0</v>
      </c>
      <c r="S68" s="14"/>
      <c r="T68" s="35">
        <f>SUM(T65:T67)</f>
        <v>-51456.808794700002</v>
      </c>
      <c r="U68" s="14"/>
      <c r="V68" s="34">
        <f>IF(T$12=0,0,T68/T$12)</f>
        <v>0</v>
      </c>
      <c r="W68" s="16"/>
      <c r="X68" s="35">
        <f>+P68-T68</f>
        <v>1574.1287947000019</v>
      </c>
      <c r="Y68" s="16"/>
      <c r="Z68" s="34">
        <f>IF(T68=0,0,X68/T68)</f>
        <v>-3.0591263460981195E-2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3">
        <v>43847.445744131946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5" t="s">
        <v>314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6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7117.0700000000006</v>
      </c>
      <c r="E18" s="21"/>
      <c r="F18" s="30">
        <f t="shared" ref="F18:F28" si="0">IF(D$12=0,0,D18/D$12)</f>
        <v>0</v>
      </c>
      <c r="G18" s="21"/>
      <c r="H18" s="21">
        <f>SUM(OSRRefH22x_0)</f>
        <v>14514.563089515999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-7397.4930895159987</v>
      </c>
      <c r="M18" s="4"/>
      <c r="N18" s="30">
        <f t="shared" ref="N18:N28" si="3">IF(H18=0,0,L18/H18)</f>
        <v>-0.50966005961690131</v>
      </c>
      <c r="O18" s="10"/>
      <c r="P18" s="21">
        <f>SUM(OSRRefP22x_0)</f>
        <v>43721.52</v>
      </c>
      <c r="Q18" s="21"/>
      <c r="R18" s="30">
        <f t="shared" ref="R18:R28" si="4">IF(P$12=0,0,P18/P$12)</f>
        <v>0</v>
      </c>
      <c r="S18" s="21"/>
      <c r="T18" s="21">
        <f>SUM(OSRRefT22x_0)</f>
        <v>91773.234431854013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-48051.714431854016</v>
      </c>
      <c r="Y18" s="4"/>
      <c r="Z18" s="30">
        <f t="shared" ref="Z18:Z28" si="7">IF(T18=0,0,X18/T18)</f>
        <v>-0.52359181551495493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1680.1399999999999</v>
      </c>
      <c r="E19" s="1"/>
      <c r="F19" s="5">
        <f t="shared" si="0"/>
        <v>0</v>
      </c>
      <c r="G19" s="1"/>
      <c r="H19" s="1">
        <f>SUM(OSRRefH22_0x_0)</f>
        <v>5677.2236095160006</v>
      </c>
      <c r="I19" s="1"/>
      <c r="J19" s="5">
        <f t="shared" si="1"/>
        <v>0</v>
      </c>
      <c r="K19" s="1"/>
      <c r="L19" s="1">
        <f t="shared" si="2"/>
        <v>-3997.0836095160007</v>
      </c>
      <c r="M19" s="1"/>
      <c r="N19" s="5">
        <f t="shared" si="3"/>
        <v>-0.70405604648303843</v>
      </c>
      <c r="O19" s="13"/>
      <c r="P19" s="1">
        <f>SUM(OSRRefP22_0x_0)</f>
        <v>11213.02</v>
      </c>
      <c r="Q19" s="1"/>
      <c r="R19" s="5">
        <f t="shared" si="4"/>
        <v>0</v>
      </c>
      <c r="S19" s="1"/>
      <c r="T19" s="1">
        <f>SUM(OSRRefT22_0x_0)</f>
        <v>34855.027811854001</v>
      </c>
      <c r="U19" s="1"/>
      <c r="V19" s="5">
        <f t="shared" si="5"/>
        <v>0</v>
      </c>
      <c r="W19" s="1"/>
      <c r="X19" s="1">
        <f t="shared" si="6"/>
        <v>-23642.007811854</v>
      </c>
      <c r="Y19" s="1"/>
      <c r="Z19" s="5">
        <f t="shared" si="7"/>
        <v>-0.67829547976471516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344.33</v>
      </c>
      <c r="E20" s="2"/>
      <c r="F20" s="7">
        <f t="shared" si="0"/>
        <v>0</v>
      </c>
      <c r="G20" s="2"/>
      <c r="H20" s="6">
        <v>1220.223187116</v>
      </c>
      <c r="I20" s="2"/>
      <c r="J20" s="7">
        <f t="shared" si="1"/>
        <v>0</v>
      </c>
      <c r="K20" s="2"/>
      <c r="L20" s="6">
        <f t="shared" si="2"/>
        <v>-875.89318711600004</v>
      </c>
      <c r="M20" s="2"/>
      <c r="N20" s="7">
        <f t="shared" si="3"/>
        <v>-0.71781391827684848</v>
      </c>
      <c r="O20" s="11"/>
      <c r="P20" s="6">
        <v>3142.54</v>
      </c>
      <c r="Q20" s="2"/>
      <c r="R20" s="7">
        <f t="shared" si="4"/>
        <v>0</v>
      </c>
      <c r="S20" s="2"/>
      <c r="T20" s="6">
        <v>7005.0550662539999</v>
      </c>
      <c r="U20" s="2"/>
      <c r="V20" s="7">
        <f t="shared" si="5"/>
        <v>0</v>
      </c>
      <c r="W20" s="2"/>
      <c r="X20" s="6">
        <f t="shared" si="6"/>
        <v>-3862.515066254</v>
      </c>
      <c r="Y20" s="2"/>
      <c r="Z20" s="7">
        <f t="shared" si="7"/>
        <v>-0.55138967927050231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48.37</v>
      </c>
      <c r="E21" s="2"/>
      <c r="F21" s="7">
        <f t="shared" si="0"/>
        <v>0</v>
      </c>
      <c r="G21" s="2"/>
      <c r="H21" s="6">
        <v>54.210882480000002</v>
      </c>
      <c r="I21" s="2"/>
      <c r="J21" s="7">
        <f t="shared" si="1"/>
        <v>0</v>
      </c>
      <c r="K21" s="2"/>
      <c r="L21" s="6">
        <f t="shared" si="2"/>
        <v>-5.8408824800000048</v>
      </c>
      <c r="M21" s="2"/>
      <c r="N21" s="7">
        <f t="shared" si="3"/>
        <v>-0.1077437262187141</v>
      </c>
      <c r="O21" s="11"/>
      <c r="P21" s="6">
        <v>111.24</v>
      </c>
      <c r="Q21" s="2"/>
      <c r="R21" s="7">
        <f t="shared" si="4"/>
        <v>0</v>
      </c>
      <c r="S21" s="2"/>
      <c r="T21" s="6">
        <v>339.90123612000002</v>
      </c>
      <c r="U21" s="2"/>
      <c r="V21" s="7">
        <f t="shared" si="5"/>
        <v>0</v>
      </c>
      <c r="W21" s="2"/>
      <c r="X21" s="6">
        <f t="shared" si="6"/>
        <v>-228.66123612000001</v>
      </c>
      <c r="Y21" s="2"/>
      <c r="Z21" s="7">
        <f t="shared" si="7"/>
        <v>-0.67272846292113098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-1888.0900000000001</v>
      </c>
      <c r="M22" s="2"/>
      <c r="N22" s="7">
        <f t="shared" si="3"/>
        <v>-0.72927385090768637</v>
      </c>
      <c r="O22" s="11"/>
      <c r="P22" s="6">
        <v>4205.46</v>
      </c>
      <c r="Q22" s="2"/>
      <c r="R22" s="7">
        <f t="shared" si="4"/>
        <v>0</v>
      </c>
      <c r="S22" s="2"/>
      <c r="T22" s="6">
        <v>15840</v>
      </c>
      <c r="U22" s="2"/>
      <c r="V22" s="7">
        <f t="shared" si="5"/>
        <v>0</v>
      </c>
      <c r="W22" s="2"/>
      <c r="X22" s="6">
        <f t="shared" si="6"/>
        <v>-11634.54</v>
      </c>
      <c r="Y22" s="2"/>
      <c r="Z22" s="7">
        <f t="shared" si="7"/>
        <v>-0.73450378787878789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36.99</v>
      </c>
      <c r="E23" s="2"/>
      <c r="F23" s="7">
        <f t="shared" si="0"/>
        <v>0</v>
      </c>
      <c r="G23" s="2"/>
      <c r="H23" s="6">
        <v>41.455380720000001</v>
      </c>
      <c r="I23" s="2"/>
      <c r="J23" s="7">
        <f t="shared" si="1"/>
        <v>0</v>
      </c>
      <c r="K23" s="2"/>
      <c r="L23" s="6">
        <f t="shared" si="2"/>
        <v>-4.4653807199999989</v>
      </c>
      <c r="M23" s="2"/>
      <c r="N23" s="7">
        <f t="shared" si="3"/>
        <v>-0.10771534701756319</v>
      </c>
      <c r="O23" s="11"/>
      <c r="P23" s="6">
        <v>161.22999999999999</v>
      </c>
      <c r="Q23" s="2"/>
      <c r="R23" s="7">
        <f t="shared" si="4"/>
        <v>0</v>
      </c>
      <c r="S23" s="2"/>
      <c r="T23" s="6">
        <v>259.92447468</v>
      </c>
      <c r="U23" s="2"/>
      <c r="V23" s="7">
        <f t="shared" si="5"/>
        <v>0</v>
      </c>
      <c r="W23" s="2"/>
      <c r="X23" s="6">
        <f t="shared" si="6"/>
        <v>-98.694474680000013</v>
      </c>
      <c r="Y23" s="2"/>
      <c r="Z23" s="7">
        <f t="shared" si="7"/>
        <v>-0.37970443068705029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3898.6768548</v>
      </c>
      <c r="U24" s="2"/>
      <c r="V24" s="7">
        <f t="shared" si="5"/>
        <v>0</v>
      </c>
      <c r="W24" s="2"/>
      <c r="X24" s="6">
        <f t="shared" si="6"/>
        <v>-3898.6768548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1201.2</v>
      </c>
      <c r="Q26" s="2"/>
      <c r="R26" s="7">
        <f t="shared" si="4"/>
        <v>0</v>
      </c>
      <c r="S26" s="2"/>
      <c r="T26" s="6">
        <v>3605.6725900000001</v>
      </c>
      <c r="U26" s="2"/>
      <c r="V26" s="7">
        <f t="shared" si="5"/>
        <v>0</v>
      </c>
      <c r="W26" s="2"/>
      <c r="X26" s="6">
        <f t="shared" si="6"/>
        <v>-2404.4725900000003</v>
      </c>
      <c r="Y26" s="2"/>
      <c r="Z26" s="7">
        <f t="shared" si="7"/>
        <v>-0.66685827123310726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617.81885999999997</v>
      </c>
      <c r="I27" s="2"/>
      <c r="J27" s="7">
        <f t="shared" si="1"/>
        <v>0</v>
      </c>
      <c r="K27" s="2"/>
      <c r="L27" s="6">
        <f t="shared" si="2"/>
        <v>-396.41886</v>
      </c>
      <c r="M27" s="2"/>
      <c r="N27" s="7">
        <f t="shared" si="3"/>
        <v>-0.6416425358073401</v>
      </c>
      <c r="O27" s="11"/>
      <c r="P27" s="6">
        <v>1439.1</v>
      </c>
      <c r="Q27" s="2"/>
      <c r="R27" s="7">
        <f t="shared" si="4"/>
        <v>0</v>
      </c>
      <c r="S27" s="2"/>
      <c r="T27" s="6">
        <v>3905.7975900000001</v>
      </c>
      <c r="U27" s="2"/>
      <c r="V27" s="7">
        <f t="shared" si="5"/>
        <v>0</v>
      </c>
      <c r="W27" s="2"/>
      <c r="X27" s="6">
        <f t="shared" si="6"/>
        <v>-2466.6975900000002</v>
      </c>
      <c r="Y27" s="2"/>
      <c r="Z27" s="7">
        <f t="shared" si="7"/>
        <v>-0.63154772697783357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143.34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143.34</v>
      </c>
      <c r="M28" s="2"/>
      <c r="N28" s="7">
        <f t="shared" si="3"/>
        <v>0</v>
      </c>
      <c r="O28" s="11"/>
      <c r="P28" s="6">
        <v>952.25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952.25</v>
      </c>
      <c r="Y28" s="2"/>
      <c r="Z28" s="7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9662.1400000000012</v>
      </c>
      <c r="E29" s="1"/>
      <c r="F29" s="5">
        <f t="shared" ref="F29:F39" si="8">IF(D$12=0,0,D29/D$12)</f>
        <v>0</v>
      </c>
      <c r="G29" s="1"/>
      <c r="H29" s="1">
        <f>SUM(OSRRefH22_1x_0)</f>
        <v>15123.339480000001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-5461.1994799999993</v>
      </c>
      <c r="M29" s="1"/>
      <c r="N29" s="5">
        <f t="shared" ref="N29:N39" si="11">IF(H29=0,0,L29/H29)</f>
        <v>-0.36111068505882665</v>
      </c>
      <c r="O29" s="13"/>
      <c r="P29" s="1">
        <f>SUM(OSRRefP22_1x_0)</f>
        <v>63883</v>
      </c>
      <c r="Q29" s="1"/>
      <c r="R29" s="5">
        <f t="shared" ref="R29:R39" si="12">IF(P$12=0,0,P29/P$12)</f>
        <v>0</v>
      </c>
      <c r="S29" s="1"/>
      <c r="T29" s="1">
        <f>SUM(OSRRefT22_1x_0)</f>
        <v>94634.206619999997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-30751.206619999997</v>
      </c>
      <c r="Y29" s="1"/>
      <c r="Z29" s="5">
        <f t="shared" ref="Z29:Z39" si="15">IF(T29=0,0,X29/T29)</f>
        <v>-0.32494811039606725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40800.106619999999</v>
      </c>
      <c r="U30" s="2"/>
      <c r="V30" s="7">
        <f t="shared" si="13"/>
        <v>0</v>
      </c>
      <c r="W30" s="2"/>
      <c r="X30" s="6">
        <f t="shared" si="14"/>
        <v>-40800.106619999999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>
        <v>4706.25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709.84999999999991</v>
      </c>
      <c r="M33" s="2"/>
      <c r="N33" s="7">
        <f t="shared" si="11"/>
        <v>0.17762236012411167</v>
      </c>
      <c r="O33" s="11"/>
      <c r="P33" s="6">
        <v>31837.500000000004</v>
      </c>
      <c r="Q33" s="2"/>
      <c r="R33" s="7">
        <f t="shared" si="12"/>
        <v>0</v>
      </c>
      <c r="S33" s="2"/>
      <c r="T33" s="6">
        <v>25976.6</v>
      </c>
      <c r="U33" s="2"/>
      <c r="V33" s="7">
        <f t="shared" si="13"/>
        <v>0</v>
      </c>
      <c r="W33" s="2"/>
      <c r="X33" s="6">
        <f t="shared" si="14"/>
        <v>5860.9000000000051</v>
      </c>
      <c r="Y33" s="2"/>
      <c r="Z33" s="7">
        <f t="shared" si="15"/>
        <v>0.22562229083097887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4096.95</v>
      </c>
      <c r="E36" s="2"/>
      <c r="F36" s="7">
        <f t="shared" si="8"/>
        <v>0</v>
      </c>
      <c r="G36" s="2"/>
      <c r="H36" s="6">
        <v>4850</v>
      </c>
      <c r="I36" s="2"/>
      <c r="J36" s="7">
        <f t="shared" si="9"/>
        <v>0</v>
      </c>
      <c r="K36" s="2"/>
      <c r="L36" s="6">
        <f t="shared" si="10"/>
        <v>-753.05000000000018</v>
      </c>
      <c r="M36" s="2"/>
      <c r="N36" s="7">
        <f t="shared" si="11"/>
        <v>-0.15526804123711344</v>
      </c>
      <c r="O36" s="11"/>
      <c r="P36" s="6">
        <v>24965.43</v>
      </c>
      <c r="Q36" s="2"/>
      <c r="R36" s="7">
        <f t="shared" si="12"/>
        <v>0</v>
      </c>
      <c r="S36" s="2"/>
      <c r="T36" s="6">
        <v>19420</v>
      </c>
      <c r="U36" s="2"/>
      <c r="V36" s="7">
        <f t="shared" si="13"/>
        <v>0</v>
      </c>
      <c r="W36" s="2"/>
      <c r="X36" s="6">
        <f t="shared" si="14"/>
        <v>5545.43</v>
      </c>
      <c r="Y36" s="2"/>
      <c r="Z36" s="7">
        <f t="shared" si="15"/>
        <v>0.28555252317198765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858.94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858.94</v>
      </c>
      <c r="M37" s="2"/>
      <c r="N37" s="7">
        <f t="shared" si="11"/>
        <v>0</v>
      </c>
      <c r="O37" s="11"/>
      <c r="P37" s="6">
        <v>4718.6400000000003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-3718.8599999999997</v>
      </c>
      <c r="Y37" s="2"/>
      <c r="Z37" s="7">
        <f t="shared" si="15"/>
        <v>-0.44075377777777774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-4952.43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4047.5699999999997</v>
      </c>
      <c r="M40" s="1"/>
      <c r="N40" s="5">
        <f t="shared" ref="N40:N52" si="19">IF(H40=0,0,L40/H40)</f>
        <v>-0.44972999999999996</v>
      </c>
      <c r="O40" s="13"/>
      <c r="P40" s="1">
        <f>SUM(OSRRefP22_2x_0)</f>
        <v>-35574.36</v>
      </c>
      <c r="Q40" s="1"/>
      <c r="R40" s="5">
        <f t="shared" ref="R40:R52" si="20">IF(P$12=0,0,P40/P$12)</f>
        <v>0</v>
      </c>
      <c r="S40" s="1"/>
      <c r="T40" s="1">
        <f>SUM(OSRRefT22_2x_0)</f>
        <v>-54000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18425.64</v>
      </c>
      <c r="Y40" s="1"/>
      <c r="Z40" s="5">
        <f t="shared" ref="Z40:Z52" si="23">IF(T40=0,0,X40/T40)</f>
        <v>-0.34121555555555555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>
        <v>-4952.43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4047.5699999999997</v>
      </c>
      <c r="M41" s="2"/>
      <c r="N41" s="7">
        <f t="shared" si="19"/>
        <v>-0.44972999999999996</v>
      </c>
      <c r="O41" s="11"/>
      <c r="P41" s="6">
        <v>-35574.36</v>
      </c>
      <c r="Q41" s="2"/>
      <c r="R41" s="7">
        <f t="shared" si="20"/>
        <v>0</v>
      </c>
      <c r="S41" s="2"/>
      <c r="T41" s="6">
        <v>-54000</v>
      </c>
      <c r="U41" s="2"/>
      <c r="V41" s="7">
        <f t="shared" si="21"/>
        <v>0</v>
      </c>
      <c r="W41" s="2"/>
      <c r="X41" s="6">
        <f t="shared" si="22"/>
        <v>18425.64</v>
      </c>
      <c r="Y41" s="2"/>
      <c r="Z41" s="7">
        <f t="shared" si="23"/>
        <v>-0.34121555555555555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1774.02</v>
      </c>
      <c r="Q42" s="1"/>
      <c r="R42" s="5">
        <f t="shared" si="20"/>
        <v>0</v>
      </c>
      <c r="S42" s="1"/>
      <c r="T42" s="1">
        <f>SUM(OSRRefT22_3x_0)</f>
        <v>1734</v>
      </c>
      <c r="U42" s="1"/>
      <c r="V42" s="5">
        <f t="shared" si="21"/>
        <v>0</v>
      </c>
      <c r="W42" s="1"/>
      <c r="X42" s="1">
        <f t="shared" si="22"/>
        <v>40.019999999999982</v>
      </c>
      <c r="Y42" s="1"/>
      <c r="Z42" s="5">
        <f t="shared" si="23"/>
        <v>2.3079584775086495E-2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1774.02</v>
      </c>
      <c r="Q43" s="2"/>
      <c r="R43" s="7">
        <f t="shared" si="20"/>
        <v>0</v>
      </c>
      <c r="S43" s="2"/>
      <c r="T43" s="6">
        <v>1734</v>
      </c>
      <c r="U43" s="2"/>
      <c r="V43" s="7">
        <f t="shared" si="21"/>
        <v>0</v>
      </c>
      <c r="W43" s="2"/>
      <c r="X43" s="6">
        <f t="shared" si="22"/>
        <v>40.019999999999982</v>
      </c>
      <c r="Y43" s="2"/>
      <c r="Z43" s="7">
        <f t="shared" si="23"/>
        <v>2.3079584775086495E-2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1200</v>
      </c>
      <c r="U44" s="1"/>
      <c r="V44" s="5">
        <f t="shared" si="21"/>
        <v>0</v>
      </c>
      <c r="W44" s="1"/>
      <c r="X44" s="1">
        <f t="shared" si="22"/>
        <v>-1200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1200</v>
      </c>
      <c r="U45" s="2"/>
      <c r="V45" s="7">
        <f t="shared" si="21"/>
        <v>0</v>
      </c>
      <c r="W45" s="2"/>
      <c r="X45" s="6">
        <f t="shared" si="22"/>
        <v>-1200</v>
      </c>
      <c r="Y45" s="2"/>
      <c r="Z45" s="7">
        <f t="shared" si="23"/>
        <v>-1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853.59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853.59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>
        <v>173.21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173.21</v>
      </c>
      <c r="M47" s="2"/>
      <c r="N47" s="7">
        <f t="shared" si="19"/>
        <v>0</v>
      </c>
      <c r="O47" s="11"/>
      <c r="P47" s="6">
        <v>853.59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853.59</v>
      </c>
      <c r="Y47" s="2"/>
      <c r="Z47" s="7">
        <f t="shared" si="23"/>
        <v>0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2400</v>
      </c>
      <c r="U48" s="1"/>
      <c r="V48" s="5">
        <f t="shared" si="21"/>
        <v>0</v>
      </c>
      <c r="W48" s="1"/>
      <c r="X48" s="1">
        <f t="shared" si="22"/>
        <v>-2400</v>
      </c>
      <c r="Y48" s="1"/>
      <c r="Z48" s="5">
        <f t="shared" si="23"/>
        <v>-1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2400</v>
      </c>
      <c r="U49" s="2"/>
      <c r="V49" s="7">
        <f t="shared" si="21"/>
        <v>0</v>
      </c>
      <c r="W49" s="2"/>
      <c r="X49" s="6">
        <f t="shared" si="22"/>
        <v>-2400</v>
      </c>
      <c r="Y49" s="2"/>
      <c r="Z49" s="7">
        <f t="shared" si="23"/>
        <v>-1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185.99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-789.01</v>
      </c>
      <c r="M50" s="1"/>
      <c r="N50" s="5">
        <f t="shared" si="19"/>
        <v>-0.80924102564102562</v>
      </c>
      <c r="O50" s="13"/>
      <c r="P50" s="1">
        <f>SUM(OSRRefP22_7x_0)</f>
        <v>1012.1300000000001</v>
      </c>
      <c r="Q50" s="1"/>
      <c r="R50" s="5">
        <f t="shared" si="20"/>
        <v>0</v>
      </c>
      <c r="S50" s="1"/>
      <c r="T50" s="1">
        <f>SUM(OSRRefT22_7x_0)</f>
        <v>5850</v>
      </c>
      <c r="U50" s="1"/>
      <c r="V50" s="5">
        <f t="shared" si="21"/>
        <v>0</v>
      </c>
      <c r="W50" s="1"/>
      <c r="X50" s="1">
        <f t="shared" si="22"/>
        <v>-4837.87</v>
      </c>
      <c r="Y50" s="1"/>
      <c r="Z50" s="5">
        <f t="shared" si="23"/>
        <v>-0.82698632478632472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>
        <v>185.99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-789.01</v>
      </c>
      <c r="M51" s="2"/>
      <c r="N51" s="7">
        <f t="shared" si="19"/>
        <v>-0.80924102564102562</v>
      </c>
      <c r="O51" s="11"/>
      <c r="P51" s="6">
        <v>665.71</v>
      </c>
      <c r="Q51" s="2"/>
      <c r="R51" s="7">
        <f t="shared" si="20"/>
        <v>0</v>
      </c>
      <c r="S51" s="2"/>
      <c r="T51" s="6">
        <v>5850</v>
      </c>
      <c r="U51" s="2"/>
      <c r="V51" s="7">
        <f t="shared" si="21"/>
        <v>0</v>
      </c>
      <c r="W51" s="2"/>
      <c r="X51" s="6">
        <f t="shared" si="22"/>
        <v>-5184.29</v>
      </c>
      <c r="Y51" s="2"/>
      <c r="Z51" s="7">
        <f t="shared" si="23"/>
        <v>-0.8862034188034188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5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72.349999999999994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-77.650000000000006</v>
      </c>
      <c r="M53" s="1"/>
      <c r="N53" s="5">
        <f t="shared" ref="N53:N58" si="27">IF(H53=0,0,L53/H53)</f>
        <v>-0.51766666666666672</v>
      </c>
      <c r="O53" s="13"/>
      <c r="P53" s="1">
        <f>SUM(OSRRefP22_8x_0)</f>
        <v>441.8</v>
      </c>
      <c r="Q53" s="1"/>
      <c r="R53" s="5">
        <f t="shared" ref="R53:R58" si="28">IF(P$12=0,0,P53/P$12)</f>
        <v>0</v>
      </c>
      <c r="S53" s="1"/>
      <c r="T53" s="1">
        <f>SUM(OSRRefT22_8x_0)</f>
        <v>900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-458.2</v>
      </c>
      <c r="Y53" s="1"/>
      <c r="Z53" s="5">
        <f t="shared" ref="Z53:Z58" si="31">IF(T53=0,0,X53/T53)</f>
        <v>-0.50911111111111107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6">
        <v>72.349999999999994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-77.650000000000006</v>
      </c>
      <c r="M54" s="2"/>
      <c r="N54" s="7">
        <f t="shared" si="27"/>
        <v>-0.51766666666666672</v>
      </c>
      <c r="O54" s="11"/>
      <c r="P54" s="6">
        <v>441.8</v>
      </c>
      <c r="Q54" s="2"/>
      <c r="R54" s="7">
        <f t="shared" si="28"/>
        <v>0</v>
      </c>
      <c r="S54" s="2"/>
      <c r="T54" s="6">
        <v>900</v>
      </c>
      <c r="U54" s="2"/>
      <c r="V54" s="7">
        <f t="shared" si="29"/>
        <v>0</v>
      </c>
      <c r="W54" s="2"/>
      <c r="X54" s="6">
        <f t="shared" si="30"/>
        <v>-458.2</v>
      </c>
      <c r="Y54" s="2"/>
      <c r="Z54" s="7">
        <f t="shared" si="31"/>
        <v>-0.50911111111111107</v>
      </c>
    </row>
    <row r="55" spans="1:26" s="25" customFormat="1" outlineLevel="1" collapsed="1" x14ac:dyDescent="0.25">
      <c r="A55" s="27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1200</v>
      </c>
      <c r="U55" s="1"/>
      <c r="V55" s="5">
        <f t="shared" si="29"/>
        <v>0</v>
      </c>
      <c r="W55" s="1"/>
      <c r="X55" s="1">
        <f t="shared" si="30"/>
        <v>-1200</v>
      </c>
      <c r="Y55" s="1"/>
      <c r="Z55" s="5">
        <f t="shared" si="31"/>
        <v>-1</v>
      </c>
    </row>
    <row r="56" spans="1:26" s="24" customFormat="1" hidden="1" outlineLevel="2" x14ac:dyDescent="0.25">
      <c r="A56" s="26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1200</v>
      </c>
      <c r="U56" s="2"/>
      <c r="V56" s="7">
        <f t="shared" si="29"/>
        <v>0</v>
      </c>
      <c r="W56" s="2"/>
      <c r="X56" s="6">
        <f t="shared" si="30"/>
        <v>-1200</v>
      </c>
      <c r="Y56" s="2"/>
      <c r="Z56" s="7">
        <f t="shared" si="31"/>
        <v>-1</v>
      </c>
    </row>
    <row r="57" spans="1:26" s="25" customFormat="1" outlineLevel="1" collapsed="1" x14ac:dyDescent="0.25">
      <c r="A57" s="27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118.32</v>
      </c>
      <c r="Q57" s="1"/>
      <c r="R57" s="5">
        <f t="shared" si="28"/>
        <v>0</v>
      </c>
      <c r="S57" s="1"/>
      <c r="T57" s="1">
        <f>SUM(OSRRefT22_10x_0)</f>
        <v>3000</v>
      </c>
      <c r="U57" s="1"/>
      <c r="V57" s="5">
        <f t="shared" si="29"/>
        <v>0</v>
      </c>
      <c r="W57" s="1"/>
      <c r="X57" s="1">
        <f t="shared" si="30"/>
        <v>-2881.68</v>
      </c>
      <c r="Y57" s="1"/>
      <c r="Z57" s="5">
        <f t="shared" si="31"/>
        <v>-0.96055999999999997</v>
      </c>
    </row>
    <row r="58" spans="1:26" s="24" customFormat="1" hidden="1" outlineLevel="2" x14ac:dyDescent="0.25">
      <c r="A58" s="26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118.32</v>
      </c>
      <c r="Q58" s="2"/>
      <c r="R58" s="7">
        <f t="shared" si="28"/>
        <v>0</v>
      </c>
      <c r="S58" s="2"/>
      <c r="T58" s="6">
        <v>3000</v>
      </c>
      <c r="U58" s="2"/>
      <c r="V58" s="7">
        <f t="shared" si="29"/>
        <v>0</v>
      </c>
      <c r="W58" s="2"/>
      <c r="X58" s="6">
        <f t="shared" si="30"/>
        <v>-2881.68</v>
      </c>
      <c r="Y58" s="2"/>
      <c r="Z58" s="7">
        <f t="shared" si="31"/>
        <v>-0.96055999999999997</v>
      </c>
    </row>
    <row r="59" spans="1:26" s="53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-7117.0700000000006</v>
      </c>
      <c r="E62" s="14"/>
      <c r="F62" s="20">
        <f>IF(D$12=0,0,D62/D$12)</f>
        <v>0</v>
      </c>
      <c r="G62" s="14"/>
      <c r="H62" s="22">
        <f>+H16-H18+H60</f>
        <v>-14514.563089515999</v>
      </c>
      <c r="I62" s="14"/>
      <c r="J62" s="20">
        <f>IF(H$12=0,0,H62/H$12)</f>
        <v>0</v>
      </c>
      <c r="K62" s="16"/>
      <c r="L62" s="22">
        <f>+D62-H62</f>
        <v>7397.4930895159987</v>
      </c>
      <c r="M62" s="16"/>
      <c r="N62" s="20">
        <f>IF(H62=0,0,L62/H62)</f>
        <v>-0.50966005961690131</v>
      </c>
      <c r="O62" s="28"/>
      <c r="P62" s="22">
        <f>+P16-P18+P60</f>
        <v>-43721.52</v>
      </c>
      <c r="Q62" s="14"/>
      <c r="R62" s="20">
        <f>IF(P$12=0,0,P62/P$12)</f>
        <v>0</v>
      </c>
      <c r="S62" s="14"/>
      <c r="T62" s="22">
        <f>+T16-T18+T60</f>
        <v>-91773.234431854013</v>
      </c>
      <c r="U62" s="14"/>
      <c r="V62" s="20">
        <f>IF(T$12=0,0,T62/T$12)</f>
        <v>0</v>
      </c>
      <c r="W62" s="16"/>
      <c r="X62" s="22">
        <f>+P62-T62</f>
        <v>48051.714431854016</v>
      </c>
      <c r="Y62" s="16"/>
      <c r="Z62" s="20">
        <f>IF(T62=0,0,X62/T62)</f>
        <v>-0.52359181551495493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1">
        <f>+D62-D64</f>
        <v>-7117.0700000000006</v>
      </c>
      <c r="E66" s="14"/>
      <c r="F66" s="32">
        <f>IF(D$12=0,0,D66/D$12)</f>
        <v>0</v>
      </c>
      <c r="G66" s="14"/>
      <c r="H66" s="31">
        <f>+H62-H64</f>
        <v>-14514.563089515999</v>
      </c>
      <c r="I66" s="14"/>
      <c r="J66" s="32">
        <f>IF(H$12=0,0,H66/H$12)</f>
        <v>0</v>
      </c>
      <c r="K66" s="16"/>
      <c r="L66" s="31">
        <f>D66-H66</f>
        <v>7397.4930895159987</v>
      </c>
      <c r="M66" s="16"/>
      <c r="N66" s="32">
        <f>IF(H66=0,0,L66/H66)</f>
        <v>-0.50966005961690131</v>
      </c>
      <c r="O66" s="28"/>
      <c r="P66" s="31">
        <f>+P62-P64</f>
        <v>-43721.52</v>
      </c>
      <c r="Q66" s="14"/>
      <c r="R66" s="32">
        <f>IF(P$12=0,0,P66/P$12)</f>
        <v>0</v>
      </c>
      <c r="S66" s="14"/>
      <c r="T66" s="31">
        <f>+T62-T64</f>
        <v>-91773.234431854013</v>
      </c>
      <c r="U66" s="14"/>
      <c r="V66" s="32">
        <f>IF(T$12=0,0,T66/T$12)</f>
        <v>0</v>
      </c>
      <c r="W66" s="16"/>
      <c r="X66" s="31">
        <f>P66-T66</f>
        <v>48051.714431854016</v>
      </c>
      <c r="Y66" s="16"/>
      <c r="Z66" s="32">
        <f>IF(T66=0,0,X66/T66)</f>
        <v>-0.52359181551495493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5">
        <f>SUM(D66:D68)</f>
        <v>-7117.0700000000006</v>
      </c>
      <c r="E69" s="14"/>
      <c r="F69" s="34">
        <f>IF(D$12=0,0,D69/D$12)</f>
        <v>0</v>
      </c>
      <c r="G69" s="14"/>
      <c r="H69" s="35">
        <f>SUM(H66:H68)</f>
        <v>-14514.563089515999</v>
      </c>
      <c r="I69" s="14"/>
      <c r="J69" s="34">
        <f>IF(H$12=0,0,H69/H$12)</f>
        <v>0</v>
      </c>
      <c r="K69" s="16"/>
      <c r="L69" s="35">
        <f>+D69-H69</f>
        <v>7397.4930895159987</v>
      </c>
      <c r="M69" s="16"/>
      <c r="N69" s="34">
        <f>IF(H69=0,0,L69/H69)</f>
        <v>-0.50966005961690131</v>
      </c>
      <c r="O69" s="28"/>
      <c r="P69" s="35">
        <f>SUM(P66:P68)</f>
        <v>-43721.52</v>
      </c>
      <c r="Q69" s="14"/>
      <c r="R69" s="34">
        <f>IF(P$12=0,0,P69/P$12)</f>
        <v>0</v>
      </c>
      <c r="S69" s="14"/>
      <c r="T69" s="35">
        <f>SUM(T66:T68)</f>
        <v>-91773.234431854013</v>
      </c>
      <c r="U69" s="14"/>
      <c r="V69" s="34">
        <f>IF(T$12=0,0,T69/T$12)</f>
        <v>0</v>
      </c>
      <c r="W69" s="16"/>
      <c r="X69" s="35">
        <f>+P69-T69</f>
        <v>48051.714431854016</v>
      </c>
      <c r="Y69" s="16"/>
      <c r="Z69" s="34">
        <f>IF(T69=0,0,X69/T69)</f>
        <v>-0.52359181551495493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63">
        <v>43847.445758680558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5" t="s">
        <v>314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6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651972.68000000017</v>
      </c>
      <c r="E12" s="4"/>
      <c r="F12" s="12"/>
      <c r="G12" s="4"/>
      <c r="H12" s="4">
        <f>SUM(OSRRefH13x_0)</f>
        <v>809005.02398000006</v>
      </c>
      <c r="I12" s="4"/>
      <c r="J12" s="12"/>
      <c r="K12" s="4"/>
      <c r="L12" s="4">
        <f t="shared" ref="L12:L107" si="0">+D12-H12</f>
        <v>-157032.34397999989</v>
      </c>
      <c r="M12" s="4"/>
      <c r="N12" s="12">
        <f t="shared" ref="N12:N107" si="1">IF(H12=0,0,L12/H12)</f>
        <v>-0.19410552385380736</v>
      </c>
      <c r="O12" s="10"/>
      <c r="P12" s="4">
        <f>SUM(OSRRefP13x_0)</f>
        <v>7141977.129999999</v>
      </c>
      <c r="Q12" s="4"/>
      <c r="R12" s="12"/>
      <c r="S12" s="4"/>
      <c r="T12" s="4">
        <f>SUM(OSRRefT13x_0)</f>
        <v>7469918.16928</v>
      </c>
      <c r="U12" s="4"/>
      <c r="V12" s="12"/>
      <c r="W12" s="4"/>
      <c r="X12" s="4">
        <f t="shared" ref="X12:X107" si="2">+P12-T12</f>
        <v>-327941.03928000107</v>
      </c>
      <c r="Y12" s="4"/>
      <c r="Z12" s="12">
        <f t="shared" ref="Z12:Z107" si="3">IF(T12=0,0,X12/T12)</f>
        <v>-4.3901557131998704E-2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526238.02398000006</v>
      </c>
      <c r="I13" s="2"/>
      <c r="J13" s="19"/>
      <c r="K13" s="2"/>
      <c r="L13" s="2">
        <f t="shared" si="0"/>
        <v>-526238.02398000006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2883215.16928</v>
      </c>
      <c r="U13" s="2"/>
      <c r="V13" s="19"/>
      <c r="W13" s="2"/>
      <c r="X13" s="2">
        <f t="shared" si="2"/>
        <v>-2883215.16928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/>
      <c r="I14" s="2"/>
      <c r="J14" s="19"/>
      <c r="K14" s="2"/>
      <c r="L14" s="2">
        <f t="shared" si="0"/>
        <v>36689.949999999997</v>
      </c>
      <c r="M14" s="2"/>
      <c r="N14" s="19">
        <f t="shared" si="1"/>
        <v>0</v>
      </c>
      <c r="O14" s="11"/>
      <c r="P14" s="2">
        <f>--1540034.38</f>
        <v>1540034.38</v>
      </c>
      <c r="Q14" s="2"/>
      <c r="R14" s="19"/>
      <c r="S14" s="2"/>
      <c r="T14" s="2"/>
      <c r="U14" s="2"/>
      <c r="V14" s="19"/>
      <c r="W14" s="2"/>
      <c r="X14" s="2">
        <f t="shared" si="2"/>
        <v>1540034.38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/>
      <c r="I15" s="2"/>
      <c r="J15" s="19"/>
      <c r="K15" s="2"/>
      <c r="L15" s="2">
        <f t="shared" si="0"/>
        <v>10615.68</v>
      </c>
      <c r="M15" s="2"/>
      <c r="N15" s="19">
        <f t="shared" si="1"/>
        <v>0</v>
      </c>
      <c r="O15" s="11"/>
      <c r="P15" s="2">
        <f>--681094.97</f>
        <v>681094.97</v>
      </c>
      <c r="Q15" s="2"/>
      <c r="R15" s="19"/>
      <c r="S15" s="2"/>
      <c r="T15" s="2"/>
      <c r="U15" s="2"/>
      <c r="V15" s="19"/>
      <c r="W15" s="2"/>
      <c r="X15" s="2">
        <f t="shared" si="2"/>
        <v>681094.97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/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/>
      <c r="U16" s="2"/>
      <c r="V16" s="19"/>
      <c r="W16" s="2"/>
      <c r="X16" s="2">
        <f t="shared" si="2"/>
        <v>16430.669999999998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/>
      <c r="I18" s="2"/>
      <c r="J18" s="19"/>
      <c r="K18" s="2"/>
      <c r="L18" s="2">
        <f t="shared" si="0"/>
        <v>3.62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/>
      <c r="I19" s="2"/>
      <c r="J19" s="19"/>
      <c r="K19" s="2"/>
      <c r="L19" s="2">
        <f t="shared" si="0"/>
        <v>167.6</v>
      </c>
      <c r="M19" s="2"/>
      <c r="N19" s="19">
        <f t="shared" si="1"/>
        <v>0</v>
      </c>
      <c r="O19" s="11"/>
      <c r="P19" s="2">
        <f>--1280.32</f>
        <v>1280.32</v>
      </c>
      <c r="Q19" s="2"/>
      <c r="R19" s="19"/>
      <c r="S19" s="2"/>
      <c r="T19" s="2"/>
      <c r="U19" s="2"/>
      <c r="V19" s="19"/>
      <c r="W19" s="2"/>
      <c r="X19" s="2">
        <f t="shared" si="2"/>
        <v>1280.32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/>
      <c r="I20" s="2"/>
      <c r="J20" s="19"/>
      <c r="K20" s="2"/>
      <c r="L20" s="2">
        <f t="shared" si="0"/>
        <v>109.34</v>
      </c>
      <c r="M20" s="2"/>
      <c r="N20" s="19">
        <f t="shared" si="1"/>
        <v>0</v>
      </c>
      <c r="O20" s="11"/>
      <c r="P20" s="2">
        <f>--992.69</f>
        <v>992.69</v>
      </c>
      <c r="Q20" s="2"/>
      <c r="R20" s="19"/>
      <c r="S20" s="2"/>
      <c r="T20" s="2"/>
      <c r="U20" s="2"/>
      <c r="V20" s="19"/>
      <c r="W20" s="2"/>
      <c r="X20" s="2">
        <f t="shared" si="2"/>
        <v>992.69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--242.14</f>
        <v>242.14</v>
      </c>
      <c r="Q21" s="2"/>
      <c r="R21" s="19"/>
      <c r="S21" s="2"/>
      <c r="T21" s="2"/>
      <c r="U21" s="2"/>
      <c r="V21" s="19"/>
      <c r="W21" s="2"/>
      <c r="X21" s="2">
        <f t="shared" si="2"/>
        <v>242.14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/>
      <c r="I22" s="2"/>
      <c r="J22" s="19"/>
      <c r="K22" s="2"/>
      <c r="L22" s="2">
        <f t="shared" si="0"/>
        <v>157.74</v>
      </c>
      <c r="M22" s="2"/>
      <c r="N22" s="19">
        <f t="shared" si="1"/>
        <v>0</v>
      </c>
      <c r="O22" s="11"/>
      <c r="P22" s="2">
        <f>--2890.39</f>
        <v>2890.39</v>
      </c>
      <c r="Q22" s="2"/>
      <c r="R22" s="19"/>
      <c r="S22" s="2"/>
      <c r="T22" s="2"/>
      <c r="U22" s="2"/>
      <c r="V22" s="19"/>
      <c r="W22" s="2"/>
      <c r="X22" s="2">
        <f t="shared" si="2"/>
        <v>2890.39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/>
      <c r="I24" s="2"/>
      <c r="J24" s="19"/>
      <c r="K24" s="2"/>
      <c r="L24" s="2">
        <f t="shared" si="0"/>
        <v>5588.38</v>
      </c>
      <c r="M24" s="2"/>
      <c r="N24" s="19">
        <f t="shared" si="1"/>
        <v>0</v>
      </c>
      <c r="O24" s="11"/>
      <c r="P24" s="2">
        <f>--35133.1</f>
        <v>35133.1</v>
      </c>
      <c r="Q24" s="2"/>
      <c r="R24" s="19"/>
      <c r="S24" s="2"/>
      <c r="T24" s="2"/>
      <c r="U24" s="2"/>
      <c r="V24" s="19"/>
      <c r="W24" s="2"/>
      <c r="X24" s="2">
        <f t="shared" si="2"/>
        <v>35133.1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/>
      <c r="I25" s="2"/>
      <c r="J25" s="19"/>
      <c r="K25" s="2"/>
      <c r="L25" s="2">
        <f t="shared" si="0"/>
        <v>6254.22</v>
      </c>
      <c r="M25" s="2"/>
      <c r="N25" s="19">
        <f t="shared" si="1"/>
        <v>0</v>
      </c>
      <c r="O25" s="11"/>
      <c r="P25" s="2">
        <f>--49928.17</f>
        <v>49928.17</v>
      </c>
      <c r="Q25" s="2"/>
      <c r="R25" s="19"/>
      <c r="S25" s="2"/>
      <c r="T25" s="2"/>
      <c r="U25" s="2"/>
      <c r="V25" s="19"/>
      <c r="W25" s="2"/>
      <c r="X25" s="2">
        <f t="shared" si="2"/>
        <v>49928.17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/>
      <c r="I26" s="2"/>
      <c r="J26" s="19"/>
      <c r="K26" s="2"/>
      <c r="L26" s="2">
        <f t="shared" si="0"/>
        <v>10568.39</v>
      </c>
      <c r="M26" s="2"/>
      <c r="N26" s="19">
        <f t="shared" si="1"/>
        <v>0</v>
      </c>
      <c r="O26" s="11"/>
      <c r="P26" s="2">
        <f>--165357.47</f>
        <v>165357.47</v>
      </c>
      <c r="Q26" s="2"/>
      <c r="R26" s="19"/>
      <c r="S26" s="2"/>
      <c r="T26" s="2"/>
      <c r="U26" s="2"/>
      <c r="V26" s="19"/>
      <c r="W26" s="2"/>
      <c r="X26" s="2">
        <f t="shared" si="2"/>
        <v>165357.47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/>
      <c r="I27" s="2"/>
      <c r="J27" s="19"/>
      <c r="K27" s="2"/>
      <c r="L27" s="2">
        <f t="shared" si="0"/>
        <v>13684.86</v>
      </c>
      <c r="M27" s="2"/>
      <c r="N27" s="19">
        <f t="shared" si="1"/>
        <v>0</v>
      </c>
      <c r="O27" s="11"/>
      <c r="P27" s="2">
        <f>--189637.57</f>
        <v>189637.57</v>
      </c>
      <c r="Q27" s="2"/>
      <c r="R27" s="19"/>
      <c r="S27" s="2"/>
      <c r="T27" s="2"/>
      <c r="U27" s="2"/>
      <c r="V27" s="19"/>
      <c r="W27" s="2"/>
      <c r="X27" s="2">
        <f t="shared" si="2"/>
        <v>189637.57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/>
      <c r="I28" s="2"/>
      <c r="J28" s="19"/>
      <c r="K28" s="2"/>
      <c r="L28" s="2">
        <f t="shared" si="0"/>
        <v>26.89</v>
      </c>
      <c r="M28" s="2"/>
      <c r="N28" s="19">
        <f t="shared" si="1"/>
        <v>0</v>
      </c>
      <c r="O28" s="11"/>
      <c r="P28" s="2">
        <f>--306.94</f>
        <v>306.94</v>
      </c>
      <c r="Q28" s="2"/>
      <c r="R28" s="19"/>
      <c r="S28" s="2"/>
      <c r="T28" s="2"/>
      <c r="U28" s="2"/>
      <c r="V28" s="19"/>
      <c r="W28" s="2"/>
      <c r="X28" s="2">
        <f t="shared" si="2"/>
        <v>306.94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--28638.41</f>
        <v>28638.41</v>
      </c>
      <c r="E29" s="2"/>
      <c r="F29" s="19"/>
      <c r="G29" s="2"/>
      <c r="H29" s="2"/>
      <c r="I29" s="2"/>
      <c r="J29" s="19"/>
      <c r="K29" s="2"/>
      <c r="L29" s="2">
        <f t="shared" si="0"/>
        <v>28638.41</v>
      </c>
      <c r="M29" s="2"/>
      <c r="N29" s="19">
        <f t="shared" si="1"/>
        <v>0</v>
      </c>
      <c r="O29" s="11"/>
      <c r="P29" s="2">
        <f>--190815.22</f>
        <v>190815.22</v>
      </c>
      <c r="Q29" s="2"/>
      <c r="R29" s="19"/>
      <c r="S29" s="2"/>
      <c r="T29" s="2"/>
      <c r="U29" s="2"/>
      <c r="V29" s="19"/>
      <c r="W29" s="2"/>
      <c r="X29" s="2">
        <f t="shared" si="2"/>
        <v>190815.22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/>
      <c r="I30" s="2"/>
      <c r="J30" s="19"/>
      <c r="K30" s="2"/>
      <c r="L30" s="2">
        <f t="shared" si="0"/>
        <v>22.41</v>
      </c>
      <c r="M30" s="2"/>
      <c r="N30" s="19">
        <f t="shared" si="1"/>
        <v>0</v>
      </c>
      <c r="O30" s="11"/>
      <c r="P30" s="2">
        <f>--131.02</f>
        <v>131.02000000000001</v>
      </c>
      <c r="Q30" s="2"/>
      <c r="R30" s="19"/>
      <c r="S30" s="2"/>
      <c r="T30" s="2"/>
      <c r="U30" s="2"/>
      <c r="V30" s="19"/>
      <c r="W30" s="2"/>
      <c r="X30" s="2">
        <f t="shared" si="2"/>
        <v>131.02000000000001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--830.01</f>
        <v>830.01</v>
      </c>
      <c r="E31" s="2"/>
      <c r="F31" s="19"/>
      <c r="G31" s="2"/>
      <c r="H31" s="2"/>
      <c r="I31" s="2"/>
      <c r="J31" s="19"/>
      <c r="K31" s="2"/>
      <c r="L31" s="2">
        <f t="shared" si="0"/>
        <v>830.01</v>
      </c>
      <c r="M31" s="2"/>
      <c r="N31" s="19">
        <f t="shared" si="1"/>
        <v>0</v>
      </c>
      <c r="O31" s="11"/>
      <c r="P31" s="2">
        <f>--7473.43</f>
        <v>7473.43</v>
      </c>
      <c r="Q31" s="2"/>
      <c r="R31" s="19"/>
      <c r="S31" s="2"/>
      <c r="T31" s="2"/>
      <c r="U31" s="2"/>
      <c r="V31" s="19"/>
      <c r="W31" s="2"/>
      <c r="X31" s="2">
        <f t="shared" si="2"/>
        <v>7473.43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/>
      <c r="I32" s="2"/>
      <c r="J32" s="19"/>
      <c r="K32" s="2"/>
      <c r="L32" s="2">
        <f t="shared" si="0"/>
        <v>133.49</v>
      </c>
      <c r="M32" s="2"/>
      <c r="N32" s="19">
        <f t="shared" si="1"/>
        <v>0</v>
      </c>
      <c r="O32" s="11"/>
      <c r="P32" s="2">
        <f>--1267.09</f>
        <v>1267.0899999999999</v>
      </c>
      <c r="Q32" s="2"/>
      <c r="R32" s="19"/>
      <c r="S32" s="2"/>
      <c r="T32" s="2"/>
      <c r="U32" s="2"/>
      <c r="V32" s="19"/>
      <c r="W32" s="2"/>
      <c r="X32" s="2">
        <f t="shared" si="2"/>
        <v>1267.0899999999999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/>
      <c r="I33" s="2"/>
      <c r="J33" s="19"/>
      <c r="K33" s="2"/>
      <c r="L33" s="2">
        <f t="shared" si="0"/>
        <v>19.09</v>
      </c>
      <c r="M33" s="2"/>
      <c r="N33" s="19">
        <f t="shared" si="1"/>
        <v>0</v>
      </c>
      <c r="O33" s="11"/>
      <c r="P33" s="2">
        <f>--396.26</f>
        <v>396.26</v>
      </c>
      <c r="Q33" s="2"/>
      <c r="R33" s="19"/>
      <c r="S33" s="2"/>
      <c r="T33" s="2"/>
      <c r="U33" s="2"/>
      <c r="V33" s="19"/>
      <c r="W33" s="2"/>
      <c r="X33" s="2">
        <f t="shared" si="2"/>
        <v>396.26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/>
      <c r="I34" s="2"/>
      <c r="J34" s="19"/>
      <c r="K34" s="2"/>
      <c r="L34" s="2">
        <f t="shared" si="0"/>
        <v>193654.24</v>
      </c>
      <c r="M34" s="2"/>
      <c r="N34" s="19">
        <f t="shared" si="1"/>
        <v>0</v>
      </c>
      <c r="O34" s="11"/>
      <c r="P34" s="2">
        <f>--1291791.18</f>
        <v>1291791.18</v>
      </c>
      <c r="Q34" s="2"/>
      <c r="R34" s="19"/>
      <c r="S34" s="2"/>
      <c r="T34" s="2"/>
      <c r="U34" s="2"/>
      <c r="V34" s="19"/>
      <c r="W34" s="2"/>
      <c r="X34" s="2">
        <f t="shared" si="2"/>
        <v>1291791.18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/>
      <c r="I35" s="2"/>
      <c r="J35" s="19"/>
      <c r="K35" s="2"/>
      <c r="L35" s="2">
        <f t="shared" si="0"/>
        <v>37979.160000000003</v>
      </c>
      <c r="M35" s="2"/>
      <c r="N35" s="19">
        <f t="shared" si="1"/>
        <v>0</v>
      </c>
      <c r="O35" s="11"/>
      <c r="P35" s="2">
        <f>--296126.81</f>
        <v>296126.81</v>
      </c>
      <c r="Q35" s="2"/>
      <c r="R35" s="19"/>
      <c r="S35" s="2"/>
      <c r="T35" s="2"/>
      <c r="U35" s="2"/>
      <c r="V35" s="19"/>
      <c r="W35" s="2"/>
      <c r="X35" s="2">
        <f t="shared" si="2"/>
        <v>296126.81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/>
      <c r="I36" s="2"/>
      <c r="J36" s="19"/>
      <c r="K36" s="2"/>
      <c r="L36" s="2">
        <f t="shared" si="0"/>
        <v>44973.91</v>
      </c>
      <c r="M36" s="2"/>
      <c r="N36" s="19">
        <f t="shared" si="1"/>
        <v>0</v>
      </c>
      <c r="O36" s="11"/>
      <c r="P36" s="2">
        <f>--199952.1</f>
        <v>199952.1</v>
      </c>
      <c r="Q36" s="2"/>
      <c r="R36" s="19"/>
      <c r="S36" s="2"/>
      <c r="T36" s="2"/>
      <c r="U36" s="2"/>
      <c r="V36" s="19"/>
      <c r="W36" s="2"/>
      <c r="X36" s="2">
        <f t="shared" si="2"/>
        <v>199952.1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/>
      <c r="I37" s="2"/>
      <c r="J37" s="19"/>
      <c r="K37" s="2"/>
      <c r="L37" s="2">
        <f t="shared" si="0"/>
        <v>9497.44</v>
      </c>
      <c r="M37" s="2"/>
      <c r="N37" s="19">
        <f t="shared" si="1"/>
        <v>0</v>
      </c>
      <c r="O37" s="11"/>
      <c r="P37" s="2">
        <f>--14320.46</f>
        <v>14320.46</v>
      </c>
      <c r="Q37" s="2"/>
      <c r="R37" s="19"/>
      <c r="S37" s="2"/>
      <c r="T37" s="2"/>
      <c r="U37" s="2"/>
      <c r="V37" s="19"/>
      <c r="W37" s="2"/>
      <c r="X37" s="2">
        <f t="shared" si="2"/>
        <v>14320.46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/>
      <c r="I38" s="2"/>
      <c r="J38" s="19"/>
      <c r="K38" s="2"/>
      <c r="L38" s="2">
        <f t="shared" si="0"/>
        <v>5438.42</v>
      </c>
      <c r="M38" s="2"/>
      <c r="N38" s="19">
        <f t="shared" si="1"/>
        <v>0</v>
      </c>
      <c r="O38" s="11"/>
      <c r="P38" s="2">
        <f>--46736.2</f>
        <v>46736.2</v>
      </c>
      <c r="Q38" s="2"/>
      <c r="R38" s="19"/>
      <c r="S38" s="2"/>
      <c r="T38" s="2"/>
      <c r="U38" s="2"/>
      <c r="V38" s="19"/>
      <c r="W38" s="2"/>
      <c r="X38" s="2">
        <f t="shared" si="2"/>
        <v>46736.2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/>
      <c r="I39" s="2"/>
      <c r="J39" s="19"/>
      <c r="K39" s="2"/>
      <c r="L39" s="2">
        <f t="shared" si="0"/>
        <v>6487.38</v>
      </c>
      <c r="M39" s="2"/>
      <c r="N39" s="19">
        <f t="shared" si="1"/>
        <v>0</v>
      </c>
      <c r="O39" s="11"/>
      <c r="P39" s="2">
        <f>--61005.82</f>
        <v>61005.82</v>
      </c>
      <c r="Q39" s="2"/>
      <c r="R39" s="19"/>
      <c r="S39" s="2"/>
      <c r="T39" s="2"/>
      <c r="U39" s="2"/>
      <c r="V39" s="19"/>
      <c r="W39" s="2"/>
      <c r="X39" s="2">
        <f t="shared" si="2"/>
        <v>61005.82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/>
      <c r="I40" s="2"/>
      <c r="J40" s="19"/>
      <c r="K40" s="2"/>
      <c r="L40" s="2">
        <f t="shared" si="0"/>
        <v>115.39</v>
      </c>
      <c r="M40" s="2"/>
      <c r="N40" s="19">
        <f t="shared" si="1"/>
        <v>0</v>
      </c>
      <c r="O40" s="11"/>
      <c r="P40" s="2">
        <f>--1793.94</f>
        <v>1793.94</v>
      </c>
      <c r="Q40" s="2"/>
      <c r="R40" s="19"/>
      <c r="S40" s="2"/>
      <c r="T40" s="2"/>
      <c r="U40" s="2"/>
      <c r="V40" s="19"/>
      <c r="W40" s="2"/>
      <c r="X40" s="2">
        <f t="shared" si="2"/>
        <v>1793.94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--16373.97</f>
        <v>16373.97</v>
      </c>
      <c r="E41" s="2"/>
      <c r="F41" s="19"/>
      <c r="G41" s="2"/>
      <c r="H41" s="2"/>
      <c r="I41" s="2"/>
      <c r="J41" s="19"/>
      <c r="K41" s="2"/>
      <c r="L41" s="2">
        <f t="shared" si="0"/>
        <v>16373.97</v>
      </c>
      <c r="M41" s="2"/>
      <c r="N41" s="19">
        <f t="shared" si="1"/>
        <v>0</v>
      </c>
      <c r="O41" s="11"/>
      <c r="P41" s="2">
        <f>--108371.16</f>
        <v>108371.16</v>
      </c>
      <c r="Q41" s="2"/>
      <c r="R41" s="19"/>
      <c r="S41" s="2"/>
      <c r="T41" s="2"/>
      <c r="U41" s="2"/>
      <c r="V41" s="19"/>
      <c r="W41" s="2"/>
      <c r="X41" s="2">
        <f t="shared" si="2"/>
        <v>108371.16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--310.76</f>
        <v>310.76</v>
      </c>
      <c r="E42" s="2"/>
      <c r="F42" s="19"/>
      <c r="G42" s="2"/>
      <c r="H42" s="2"/>
      <c r="I42" s="2"/>
      <c r="J42" s="19"/>
      <c r="K42" s="2"/>
      <c r="L42" s="2">
        <f t="shared" si="0"/>
        <v>310.76</v>
      </c>
      <c r="M42" s="2"/>
      <c r="N42" s="19">
        <f t="shared" si="1"/>
        <v>0</v>
      </c>
      <c r="O42" s="11"/>
      <c r="P42" s="2">
        <f>--2534.43</f>
        <v>2534.4299999999998</v>
      </c>
      <c r="Q42" s="2"/>
      <c r="R42" s="19"/>
      <c r="S42" s="2"/>
      <c r="T42" s="2"/>
      <c r="U42" s="2"/>
      <c r="V42" s="19"/>
      <c r="W42" s="2"/>
      <c r="X42" s="2">
        <f t="shared" si="2"/>
        <v>2534.4299999999998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--19</f>
        <v>19</v>
      </c>
      <c r="E43" s="2"/>
      <c r="F43" s="19"/>
      <c r="G43" s="2"/>
      <c r="H43" s="2"/>
      <c r="I43" s="2"/>
      <c r="J43" s="19"/>
      <c r="K43" s="2"/>
      <c r="L43" s="2">
        <f t="shared" si="0"/>
        <v>19</v>
      </c>
      <c r="M43" s="2"/>
      <c r="N43" s="19">
        <f t="shared" si="1"/>
        <v>0</v>
      </c>
      <c r="O43" s="11"/>
      <c r="P43" s="2">
        <f>--181</f>
        <v>181</v>
      </c>
      <c r="Q43" s="2"/>
      <c r="R43" s="19"/>
      <c r="S43" s="2"/>
      <c r="T43" s="2"/>
      <c r="U43" s="2"/>
      <c r="V43" s="19"/>
      <c r="W43" s="2"/>
      <c r="X43" s="2">
        <f t="shared" si="2"/>
        <v>181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--129.88</f>
        <v>129.88</v>
      </c>
      <c r="E44" s="2"/>
      <c r="F44" s="19"/>
      <c r="G44" s="2"/>
      <c r="H44" s="2"/>
      <c r="I44" s="2"/>
      <c r="J44" s="19"/>
      <c r="K44" s="2"/>
      <c r="L44" s="2">
        <f t="shared" si="0"/>
        <v>129.88</v>
      </c>
      <c r="M44" s="2"/>
      <c r="N44" s="19">
        <f t="shared" si="1"/>
        <v>0</v>
      </c>
      <c r="O44" s="11"/>
      <c r="P44" s="2">
        <f>--699.48</f>
        <v>699.48</v>
      </c>
      <c r="Q44" s="2"/>
      <c r="R44" s="19"/>
      <c r="S44" s="2"/>
      <c r="T44" s="2"/>
      <c r="U44" s="2"/>
      <c r="V44" s="19"/>
      <c r="W44" s="2"/>
      <c r="X44" s="2">
        <f t="shared" si="2"/>
        <v>699.48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--58.98</f>
        <v>58.98</v>
      </c>
      <c r="E45" s="2"/>
      <c r="F45" s="19"/>
      <c r="G45" s="2"/>
      <c r="H45" s="2"/>
      <c r="I45" s="2"/>
      <c r="J45" s="19"/>
      <c r="K45" s="2"/>
      <c r="L45" s="2">
        <f t="shared" si="0"/>
        <v>58.98</v>
      </c>
      <c r="M45" s="2"/>
      <c r="N45" s="19">
        <f t="shared" si="1"/>
        <v>0</v>
      </c>
      <c r="O45" s="11"/>
      <c r="P45" s="2">
        <f>--698.77</f>
        <v>698.77</v>
      </c>
      <c r="Q45" s="2"/>
      <c r="R45" s="19"/>
      <c r="S45" s="2"/>
      <c r="T45" s="2"/>
      <c r="U45" s="2"/>
      <c r="V45" s="19"/>
      <c r="W45" s="2"/>
      <c r="X45" s="2">
        <f t="shared" si="2"/>
        <v>698.77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--218.75</f>
        <v>218.75</v>
      </c>
      <c r="E46" s="2"/>
      <c r="F46" s="19"/>
      <c r="G46" s="2"/>
      <c r="H46" s="2"/>
      <c r="I46" s="2"/>
      <c r="J46" s="19"/>
      <c r="K46" s="2"/>
      <c r="L46" s="2">
        <f t="shared" si="0"/>
        <v>218.75</v>
      </c>
      <c r="M46" s="2"/>
      <c r="N46" s="19">
        <f t="shared" si="1"/>
        <v>0</v>
      </c>
      <c r="O46" s="11"/>
      <c r="P46" s="2">
        <f>--7659.37</f>
        <v>7659.37</v>
      </c>
      <c r="Q46" s="2"/>
      <c r="R46" s="19"/>
      <c r="S46" s="2"/>
      <c r="T46" s="2"/>
      <c r="U46" s="2"/>
      <c r="V46" s="19"/>
      <c r="W46" s="2"/>
      <c r="X46" s="2">
        <f t="shared" si="2"/>
        <v>7659.37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--20.89</f>
        <v>20.89</v>
      </c>
      <c r="E47" s="2"/>
      <c r="F47" s="19"/>
      <c r="G47" s="2"/>
      <c r="H47" s="2"/>
      <c r="I47" s="2"/>
      <c r="J47" s="19"/>
      <c r="K47" s="2"/>
      <c r="L47" s="2">
        <f t="shared" si="0"/>
        <v>20.89</v>
      </c>
      <c r="M47" s="2"/>
      <c r="N47" s="19">
        <f t="shared" si="1"/>
        <v>0</v>
      </c>
      <c r="O47" s="11"/>
      <c r="P47" s="2">
        <f>--297.33</f>
        <v>297.33</v>
      </c>
      <c r="Q47" s="2"/>
      <c r="R47" s="19"/>
      <c r="S47" s="2"/>
      <c r="T47" s="2"/>
      <c r="U47" s="2"/>
      <c r="V47" s="19"/>
      <c r="W47" s="2"/>
      <c r="X47" s="2">
        <f t="shared" si="2"/>
        <v>297.33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--87.99</f>
        <v>87.99</v>
      </c>
      <c r="E48" s="2"/>
      <c r="F48" s="19"/>
      <c r="G48" s="2"/>
      <c r="H48" s="2">
        <v>282767</v>
      </c>
      <c r="I48" s="2"/>
      <c r="J48" s="19"/>
      <c r="K48" s="2"/>
      <c r="L48" s="2">
        <f t="shared" si="0"/>
        <v>-282679.01</v>
      </c>
      <c r="M48" s="2"/>
      <c r="N48" s="19">
        <f t="shared" si="1"/>
        <v>-0.99968882507506185</v>
      </c>
      <c r="O48" s="11"/>
      <c r="P48" s="2">
        <f>--335928.55</f>
        <v>335928.55</v>
      </c>
      <c r="Q48" s="2"/>
      <c r="R48" s="19"/>
      <c r="S48" s="2"/>
      <c r="T48" s="2">
        <v>4586703</v>
      </c>
      <c r="U48" s="2"/>
      <c r="V48" s="19"/>
      <c r="W48" s="2"/>
      <c r="X48" s="2">
        <f t="shared" si="2"/>
        <v>-4250774.45</v>
      </c>
      <c r="Y48" s="2"/>
      <c r="Z48" s="19">
        <f t="shared" si="3"/>
        <v>-0.92676034397692642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--2606.82</f>
        <v>2606.8200000000002</v>
      </c>
      <c r="E49" s="2"/>
      <c r="F49" s="19"/>
      <c r="G49" s="2"/>
      <c r="H49" s="2"/>
      <c r="I49" s="2"/>
      <c r="J49" s="19"/>
      <c r="K49" s="2"/>
      <c r="L49" s="2">
        <f t="shared" si="0"/>
        <v>2606.8200000000002</v>
      </c>
      <c r="M49" s="2"/>
      <c r="N49" s="19">
        <f t="shared" si="1"/>
        <v>0</v>
      </c>
      <c r="O49" s="11"/>
      <c r="P49" s="2">
        <f>--95287.57</f>
        <v>95287.57</v>
      </c>
      <c r="Q49" s="2"/>
      <c r="R49" s="19"/>
      <c r="S49" s="2"/>
      <c r="T49" s="2"/>
      <c r="U49" s="2"/>
      <c r="V49" s="19"/>
      <c r="W49" s="2"/>
      <c r="X49" s="2">
        <f t="shared" si="2"/>
        <v>95287.57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--595.75</f>
        <v>595.75</v>
      </c>
      <c r="E50" s="2"/>
      <c r="F50" s="19"/>
      <c r="G50" s="2"/>
      <c r="H50" s="2"/>
      <c r="I50" s="2"/>
      <c r="J50" s="19"/>
      <c r="K50" s="2"/>
      <c r="L50" s="2">
        <f t="shared" si="0"/>
        <v>595.75</v>
      </c>
      <c r="M50" s="2"/>
      <c r="N50" s="19">
        <f t="shared" si="1"/>
        <v>0</v>
      </c>
      <c r="O50" s="11"/>
      <c r="P50" s="2">
        <f>--38202.59</f>
        <v>38202.589999999997</v>
      </c>
      <c r="Q50" s="2"/>
      <c r="R50" s="19"/>
      <c r="S50" s="2"/>
      <c r="T50" s="2"/>
      <c r="U50" s="2"/>
      <c r="V50" s="19"/>
      <c r="W50" s="2"/>
      <c r="X50" s="2">
        <f t="shared" si="2"/>
        <v>38202.589999999997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--329.98</f>
        <v>329.98</v>
      </c>
      <c r="Q51" s="2"/>
      <c r="R51" s="19"/>
      <c r="S51" s="2"/>
      <c r="T51" s="2"/>
      <c r="U51" s="2"/>
      <c r="V51" s="19"/>
      <c r="W51" s="2"/>
      <c r="X51" s="2">
        <f t="shared" si="2"/>
        <v>329.98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--12189.74</f>
        <v>12189.74</v>
      </c>
      <c r="E52" s="2"/>
      <c r="F52" s="19"/>
      <c r="G52" s="2"/>
      <c r="H52" s="2"/>
      <c r="I52" s="2"/>
      <c r="J52" s="19"/>
      <c r="K52" s="2"/>
      <c r="L52" s="2">
        <f t="shared" si="0"/>
        <v>12189.74</v>
      </c>
      <c r="M52" s="2"/>
      <c r="N52" s="19">
        <f t="shared" si="1"/>
        <v>0</v>
      </c>
      <c r="O52" s="11"/>
      <c r="P52" s="2">
        <f>--332888.83</f>
        <v>332888.83</v>
      </c>
      <c r="Q52" s="2"/>
      <c r="R52" s="19"/>
      <c r="S52" s="2"/>
      <c r="T52" s="2"/>
      <c r="U52" s="2"/>
      <c r="V52" s="19"/>
      <c r="W52" s="2"/>
      <c r="X52" s="2">
        <f t="shared" si="2"/>
        <v>332888.83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--431.78</f>
        <v>431.78</v>
      </c>
      <c r="E53" s="2"/>
      <c r="F53" s="19"/>
      <c r="G53" s="2"/>
      <c r="H53" s="2"/>
      <c r="I53" s="2"/>
      <c r="J53" s="19"/>
      <c r="K53" s="2"/>
      <c r="L53" s="2">
        <f t="shared" si="0"/>
        <v>431.78</v>
      </c>
      <c r="M53" s="2"/>
      <c r="N53" s="19">
        <f t="shared" si="1"/>
        <v>0</v>
      </c>
      <c r="O53" s="11"/>
      <c r="P53" s="2">
        <f>--8023.97</f>
        <v>8023.97</v>
      </c>
      <c r="Q53" s="2"/>
      <c r="R53" s="19"/>
      <c r="S53" s="2"/>
      <c r="T53" s="2"/>
      <c r="U53" s="2"/>
      <c r="V53" s="19"/>
      <c r="W53" s="2"/>
      <c r="X53" s="2">
        <f t="shared" si="2"/>
        <v>8023.97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/>
      <c r="U54" s="2"/>
      <c r="V54" s="19"/>
      <c r="W54" s="2"/>
      <c r="X54" s="2">
        <f t="shared" si="2"/>
        <v>1146.72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--6.95</f>
        <v>6.95</v>
      </c>
      <c r="E55" s="2"/>
      <c r="F55" s="19"/>
      <c r="G55" s="2"/>
      <c r="H55" s="2"/>
      <c r="I55" s="2"/>
      <c r="J55" s="19"/>
      <c r="K55" s="2"/>
      <c r="L55" s="2">
        <f t="shared" si="0"/>
        <v>6.95</v>
      </c>
      <c r="M55" s="2"/>
      <c r="N55" s="19">
        <f t="shared" si="1"/>
        <v>0</v>
      </c>
      <c r="O55" s="11"/>
      <c r="P55" s="2">
        <f>--41.91</f>
        <v>41.91</v>
      </c>
      <c r="Q55" s="2"/>
      <c r="R55" s="19"/>
      <c r="S55" s="2"/>
      <c r="T55" s="2"/>
      <c r="U55" s="2"/>
      <c r="V55" s="19"/>
      <c r="W55" s="2"/>
      <c r="X55" s="2">
        <f t="shared" si="2"/>
        <v>41.91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--124.18</f>
        <v>124.18</v>
      </c>
      <c r="Q56" s="2"/>
      <c r="R56" s="19"/>
      <c r="S56" s="2"/>
      <c r="T56" s="2"/>
      <c r="U56" s="2"/>
      <c r="V56" s="19"/>
      <c r="W56" s="2"/>
      <c r="X56" s="2">
        <f t="shared" si="2"/>
        <v>124.18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--38.73</f>
        <v>38.729999999999997</v>
      </c>
      <c r="E57" s="2"/>
      <c r="F57" s="19"/>
      <c r="G57" s="2"/>
      <c r="H57" s="2"/>
      <c r="I57" s="2"/>
      <c r="J57" s="19"/>
      <c r="K57" s="2"/>
      <c r="L57" s="2">
        <f t="shared" si="0"/>
        <v>38.729999999999997</v>
      </c>
      <c r="M57" s="2"/>
      <c r="N57" s="19">
        <f t="shared" si="1"/>
        <v>0</v>
      </c>
      <c r="O57" s="11"/>
      <c r="P57" s="2">
        <f>--1509.11</f>
        <v>1509.11</v>
      </c>
      <c r="Q57" s="2"/>
      <c r="R57" s="19"/>
      <c r="S57" s="2"/>
      <c r="T57" s="2"/>
      <c r="U57" s="2"/>
      <c r="V57" s="19"/>
      <c r="W57" s="2"/>
      <c r="X57" s="2">
        <f t="shared" si="2"/>
        <v>1509.11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 t="shared" ref="D58:D59" si="4"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--2603.4</f>
        <v>2603.4</v>
      </c>
      <c r="Q58" s="2"/>
      <c r="R58" s="19"/>
      <c r="S58" s="2"/>
      <c r="T58" s="2"/>
      <c r="U58" s="2"/>
      <c r="V58" s="19"/>
      <c r="W58" s="2"/>
      <c r="X58" s="2">
        <f t="shared" si="2"/>
        <v>2603.4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 t="shared" si="4"/>
        <v>0</v>
      </c>
      <c r="E59" s="2"/>
      <c r="F59" s="19"/>
      <c r="G59" s="2"/>
      <c r="H59" s="2"/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--348.72</f>
        <v>348.72</v>
      </c>
      <c r="Q59" s="2"/>
      <c r="R59" s="19"/>
      <c r="S59" s="2"/>
      <c r="T59" s="2"/>
      <c r="U59" s="2"/>
      <c r="V59" s="19"/>
      <c r="W59" s="2"/>
      <c r="X59" s="2">
        <f t="shared" si="2"/>
        <v>348.72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--4058.22</f>
        <v>4058.22</v>
      </c>
      <c r="E60" s="2"/>
      <c r="F60" s="19"/>
      <c r="G60" s="2"/>
      <c r="H60" s="2"/>
      <c r="I60" s="2"/>
      <c r="J60" s="19"/>
      <c r="K60" s="2"/>
      <c r="L60" s="2">
        <f t="shared" si="0"/>
        <v>4058.22</v>
      </c>
      <c r="M60" s="2"/>
      <c r="N60" s="19">
        <f t="shared" si="1"/>
        <v>0</v>
      </c>
      <c r="O60" s="11"/>
      <c r="P60" s="2">
        <f>--39085.73</f>
        <v>39085.730000000003</v>
      </c>
      <c r="Q60" s="2"/>
      <c r="R60" s="19"/>
      <c r="S60" s="2"/>
      <c r="T60" s="2"/>
      <c r="U60" s="2"/>
      <c r="V60" s="19"/>
      <c r="W60" s="2"/>
      <c r="X60" s="2">
        <f t="shared" si="2"/>
        <v>39085.730000000003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--85222.13</f>
        <v>85222.13</v>
      </c>
      <c r="E61" s="2"/>
      <c r="F61" s="19"/>
      <c r="G61" s="2"/>
      <c r="H61" s="2"/>
      <c r="I61" s="2"/>
      <c r="J61" s="19"/>
      <c r="K61" s="2"/>
      <c r="L61" s="2">
        <f t="shared" si="0"/>
        <v>85222.13</v>
      </c>
      <c r="M61" s="2"/>
      <c r="N61" s="19">
        <f t="shared" si="1"/>
        <v>0</v>
      </c>
      <c r="O61" s="11"/>
      <c r="P61" s="2">
        <f>--750566.92</f>
        <v>750566.92</v>
      </c>
      <c r="Q61" s="2"/>
      <c r="R61" s="19"/>
      <c r="S61" s="2"/>
      <c r="T61" s="2"/>
      <c r="U61" s="2"/>
      <c r="V61" s="19"/>
      <c r="W61" s="2"/>
      <c r="X61" s="2">
        <f t="shared" si="2"/>
        <v>750566.92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--1305.22</f>
        <v>1305.22</v>
      </c>
      <c r="E62" s="2"/>
      <c r="F62" s="19"/>
      <c r="G62" s="2"/>
      <c r="H62" s="2"/>
      <c r="I62" s="2"/>
      <c r="J62" s="19"/>
      <c r="K62" s="2"/>
      <c r="L62" s="2">
        <f t="shared" si="0"/>
        <v>1305.22</v>
      </c>
      <c r="M62" s="2"/>
      <c r="N62" s="19">
        <f t="shared" si="1"/>
        <v>0</v>
      </c>
      <c r="O62" s="11"/>
      <c r="P62" s="2">
        <f>--12121.78</f>
        <v>12121.78</v>
      </c>
      <c r="Q62" s="2"/>
      <c r="R62" s="19"/>
      <c r="S62" s="2"/>
      <c r="T62" s="2"/>
      <c r="U62" s="2"/>
      <c r="V62" s="19"/>
      <c r="W62" s="2"/>
      <c r="X62" s="2">
        <f t="shared" si="2"/>
        <v>12121.78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--0.39</f>
        <v>0.39</v>
      </c>
      <c r="Q63" s="2"/>
      <c r="R63" s="19"/>
      <c r="S63" s="2"/>
      <c r="T63" s="2"/>
      <c r="U63" s="2"/>
      <c r="V63" s="19"/>
      <c r="W63" s="2"/>
      <c r="X63" s="2">
        <f t="shared" si="2"/>
        <v>0.39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--3.59</f>
        <v>3.59</v>
      </c>
      <c r="E64" s="2"/>
      <c r="F64" s="19"/>
      <c r="G64" s="2"/>
      <c r="H64" s="2"/>
      <c r="I64" s="2"/>
      <c r="J64" s="19"/>
      <c r="K64" s="2"/>
      <c r="L64" s="2">
        <f t="shared" si="0"/>
        <v>3.59</v>
      </c>
      <c r="M64" s="2"/>
      <c r="N64" s="19">
        <f t="shared" si="1"/>
        <v>0</v>
      </c>
      <c r="O64" s="11"/>
      <c r="P64" s="2">
        <f>--118.32</f>
        <v>118.32</v>
      </c>
      <c r="Q64" s="2"/>
      <c r="R64" s="19"/>
      <c r="S64" s="2"/>
      <c r="T64" s="2"/>
      <c r="U64" s="2"/>
      <c r="V64" s="19"/>
      <c r="W64" s="2"/>
      <c r="X64" s="2">
        <f t="shared" si="2"/>
        <v>118.32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--749.29</f>
        <v>749.29</v>
      </c>
      <c r="E65" s="2"/>
      <c r="F65" s="19"/>
      <c r="G65" s="2"/>
      <c r="H65" s="2"/>
      <c r="I65" s="2"/>
      <c r="J65" s="19"/>
      <c r="K65" s="2"/>
      <c r="L65" s="2">
        <f t="shared" si="0"/>
        <v>749.29</v>
      </c>
      <c r="M65" s="2"/>
      <c r="N65" s="19">
        <f t="shared" si="1"/>
        <v>0</v>
      </c>
      <c r="O65" s="11"/>
      <c r="P65" s="2">
        <f>--7063.17</f>
        <v>7063.17</v>
      </c>
      <c r="Q65" s="2"/>
      <c r="R65" s="19"/>
      <c r="S65" s="2"/>
      <c r="T65" s="2"/>
      <c r="U65" s="2"/>
      <c r="V65" s="19"/>
      <c r="W65" s="2"/>
      <c r="X65" s="2">
        <f t="shared" si="2"/>
        <v>7063.17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--18815.05</f>
        <v>18815.05</v>
      </c>
      <c r="E66" s="2"/>
      <c r="F66" s="19"/>
      <c r="G66" s="2"/>
      <c r="H66" s="2"/>
      <c r="I66" s="2"/>
      <c r="J66" s="19"/>
      <c r="K66" s="2"/>
      <c r="L66" s="2">
        <f t="shared" si="0"/>
        <v>18815.05</v>
      </c>
      <c r="M66" s="2"/>
      <c r="N66" s="19">
        <f t="shared" si="1"/>
        <v>0</v>
      </c>
      <c r="O66" s="11"/>
      <c r="P66" s="2">
        <f>--38823.84</f>
        <v>38823.839999999997</v>
      </c>
      <c r="Q66" s="2"/>
      <c r="R66" s="19"/>
      <c r="S66" s="2"/>
      <c r="T66" s="2"/>
      <c r="U66" s="2"/>
      <c r="V66" s="19"/>
      <c r="W66" s="2"/>
      <c r="X66" s="2">
        <f t="shared" si="2"/>
        <v>38823.839999999997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--699.6</f>
        <v>699.6</v>
      </c>
      <c r="E67" s="2"/>
      <c r="F67" s="19"/>
      <c r="G67" s="2"/>
      <c r="H67" s="2"/>
      <c r="I67" s="2"/>
      <c r="J67" s="19"/>
      <c r="K67" s="2"/>
      <c r="L67" s="2">
        <f t="shared" si="0"/>
        <v>699.6</v>
      </c>
      <c r="M67" s="2"/>
      <c r="N67" s="19">
        <f t="shared" si="1"/>
        <v>0</v>
      </c>
      <c r="O67" s="11"/>
      <c r="P67" s="2">
        <f>--2529.88</f>
        <v>2529.88</v>
      </c>
      <c r="Q67" s="2"/>
      <c r="R67" s="19"/>
      <c r="S67" s="2"/>
      <c r="T67" s="2"/>
      <c r="U67" s="2"/>
      <c r="V67" s="19"/>
      <c r="W67" s="2"/>
      <c r="X67" s="2">
        <f t="shared" si="2"/>
        <v>2529.88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--2554.55</f>
        <v>2554.5500000000002</v>
      </c>
      <c r="E68" s="2"/>
      <c r="F68" s="19"/>
      <c r="G68" s="2"/>
      <c r="H68" s="2"/>
      <c r="I68" s="2"/>
      <c r="J68" s="19"/>
      <c r="K68" s="2"/>
      <c r="L68" s="2">
        <f t="shared" si="0"/>
        <v>2554.5500000000002</v>
      </c>
      <c r="M68" s="2"/>
      <c r="N68" s="19">
        <f t="shared" si="1"/>
        <v>0</v>
      </c>
      <c r="O68" s="11"/>
      <c r="P68" s="2">
        <f>--10487.38</f>
        <v>10487.38</v>
      </c>
      <c r="Q68" s="2"/>
      <c r="R68" s="19"/>
      <c r="S68" s="2"/>
      <c r="T68" s="2"/>
      <c r="U68" s="2"/>
      <c r="V68" s="19"/>
      <c r="W68" s="2"/>
      <c r="X68" s="2">
        <f t="shared" si="2"/>
        <v>10487.38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--351.29</f>
        <v>351.29</v>
      </c>
      <c r="E69" s="2"/>
      <c r="F69" s="19"/>
      <c r="G69" s="2"/>
      <c r="H69" s="2"/>
      <c r="I69" s="2"/>
      <c r="J69" s="19"/>
      <c r="K69" s="2"/>
      <c r="L69" s="2">
        <f t="shared" si="0"/>
        <v>351.29</v>
      </c>
      <c r="M69" s="2"/>
      <c r="N69" s="19">
        <f t="shared" si="1"/>
        <v>0</v>
      </c>
      <c r="O69" s="11"/>
      <c r="P69" s="2">
        <f>--592.85</f>
        <v>592.85</v>
      </c>
      <c r="Q69" s="2"/>
      <c r="R69" s="19"/>
      <c r="S69" s="2"/>
      <c r="T69" s="2"/>
      <c r="U69" s="2"/>
      <c r="V69" s="19"/>
      <c r="W69" s="2"/>
      <c r="X69" s="2">
        <f t="shared" si="2"/>
        <v>592.85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--27126.9</f>
        <v>27126.9</v>
      </c>
      <c r="E71" s="2"/>
      <c r="F71" s="19"/>
      <c r="G71" s="2"/>
      <c r="H71" s="2"/>
      <c r="I71" s="2"/>
      <c r="J71" s="19"/>
      <c r="K71" s="2"/>
      <c r="L71" s="2">
        <f t="shared" si="0"/>
        <v>27126.9</v>
      </c>
      <c r="M71" s="2"/>
      <c r="N71" s="19">
        <f t="shared" si="1"/>
        <v>0</v>
      </c>
      <c r="O71" s="11"/>
      <c r="P71" s="2">
        <f>--146467.95</f>
        <v>146467.95000000001</v>
      </c>
      <c r="Q71" s="2"/>
      <c r="R71" s="19"/>
      <c r="S71" s="2"/>
      <c r="T71" s="2"/>
      <c r="U71" s="2"/>
      <c r="V71" s="19"/>
      <c r="W71" s="2"/>
      <c r="X71" s="2">
        <f t="shared" si="2"/>
        <v>146467.95000000001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--57.5</f>
        <v>57.5</v>
      </c>
      <c r="E72" s="2"/>
      <c r="F72" s="19"/>
      <c r="G72" s="2"/>
      <c r="H72" s="2"/>
      <c r="I72" s="2"/>
      <c r="J72" s="19"/>
      <c r="K72" s="2"/>
      <c r="L72" s="2">
        <f t="shared" si="0"/>
        <v>57.5</v>
      </c>
      <c r="M72" s="2"/>
      <c r="N72" s="19">
        <f t="shared" si="1"/>
        <v>0</v>
      </c>
      <c r="O72" s="11"/>
      <c r="P72" s="2">
        <f>--307.4</f>
        <v>307.39999999999998</v>
      </c>
      <c r="Q72" s="2"/>
      <c r="R72" s="19"/>
      <c r="S72" s="2"/>
      <c r="T72" s="2"/>
      <c r="U72" s="2"/>
      <c r="V72" s="19"/>
      <c r="W72" s="2"/>
      <c r="X72" s="2">
        <f t="shared" si="2"/>
        <v>307.39999999999998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--75965.55</f>
        <v>75965.55</v>
      </c>
      <c r="E73" s="2"/>
      <c r="F73" s="19"/>
      <c r="G73" s="2"/>
      <c r="H73" s="2"/>
      <c r="I73" s="2"/>
      <c r="J73" s="19"/>
      <c r="K73" s="2"/>
      <c r="L73" s="2">
        <f t="shared" si="0"/>
        <v>75965.55</v>
      </c>
      <c r="M73" s="2"/>
      <c r="N73" s="19">
        <f t="shared" si="1"/>
        <v>0</v>
      </c>
      <c r="O73" s="11"/>
      <c r="P73" s="2">
        <f>--576438.65</f>
        <v>576438.65</v>
      </c>
      <c r="Q73" s="2"/>
      <c r="R73" s="19"/>
      <c r="S73" s="2"/>
      <c r="T73" s="2"/>
      <c r="U73" s="2"/>
      <c r="V73" s="19"/>
      <c r="W73" s="2"/>
      <c r="X73" s="2">
        <f t="shared" si="2"/>
        <v>576438.65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--2733</f>
        <v>2733</v>
      </c>
      <c r="E74" s="2"/>
      <c r="F74" s="19"/>
      <c r="G74" s="2"/>
      <c r="H74" s="2"/>
      <c r="I74" s="2"/>
      <c r="J74" s="19"/>
      <c r="K74" s="2"/>
      <c r="L74" s="2">
        <f t="shared" si="0"/>
        <v>2733</v>
      </c>
      <c r="M74" s="2"/>
      <c r="N74" s="19">
        <f t="shared" si="1"/>
        <v>0</v>
      </c>
      <c r="O74" s="11"/>
      <c r="P74" s="2">
        <f>--9560</f>
        <v>9560</v>
      </c>
      <c r="Q74" s="2"/>
      <c r="R74" s="19"/>
      <c r="S74" s="2"/>
      <c r="T74" s="2"/>
      <c r="U74" s="2"/>
      <c r="V74" s="19"/>
      <c r="W74" s="2"/>
      <c r="X74" s="2">
        <f t="shared" si="2"/>
        <v>9560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/>
      <c r="U75" s="2"/>
      <c r="V75" s="19"/>
      <c r="W75" s="2"/>
      <c r="X75" s="2">
        <f t="shared" si="2"/>
        <v>-30.97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-631.8</f>
        <v>-631.79999999999995</v>
      </c>
      <c r="E76" s="2"/>
      <c r="F76" s="19"/>
      <c r="G76" s="2"/>
      <c r="H76" s="2"/>
      <c r="I76" s="2"/>
      <c r="J76" s="19"/>
      <c r="K76" s="2"/>
      <c r="L76" s="2">
        <f t="shared" si="0"/>
        <v>-631.79999999999995</v>
      </c>
      <c r="M76" s="2"/>
      <c r="N76" s="19">
        <f t="shared" si="1"/>
        <v>0</v>
      </c>
      <c r="O76" s="11"/>
      <c r="P76" s="2">
        <f>-78730.37</f>
        <v>-78730.37</v>
      </c>
      <c r="Q76" s="2"/>
      <c r="R76" s="19"/>
      <c r="S76" s="2"/>
      <c r="T76" s="2"/>
      <c r="U76" s="2"/>
      <c r="V76" s="19"/>
      <c r="W76" s="2"/>
      <c r="X76" s="2">
        <f t="shared" si="2"/>
        <v>-78730.37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-166.15</f>
        <v>-166.15</v>
      </c>
      <c r="E77" s="2"/>
      <c r="F77" s="19"/>
      <c r="G77" s="2"/>
      <c r="H77" s="2"/>
      <c r="I77" s="2"/>
      <c r="J77" s="19"/>
      <c r="K77" s="2"/>
      <c r="L77" s="2">
        <f t="shared" si="0"/>
        <v>-166.15</v>
      </c>
      <c r="M77" s="2"/>
      <c r="N77" s="19">
        <f t="shared" si="1"/>
        <v>0</v>
      </c>
      <c r="O77" s="11"/>
      <c r="P77" s="2">
        <f>-27208.35</f>
        <v>-27208.35</v>
      </c>
      <c r="Q77" s="2"/>
      <c r="R77" s="19"/>
      <c r="S77" s="2"/>
      <c r="T77" s="2"/>
      <c r="U77" s="2"/>
      <c r="V77" s="19"/>
      <c r="W77" s="2"/>
      <c r="X77" s="2">
        <f t="shared" si="2"/>
        <v>-27208.35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80" si="5"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5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-11369.46</f>
        <v>-11369.46</v>
      </c>
      <c r="Q79" s="2"/>
      <c r="R79" s="19"/>
      <c r="S79" s="2"/>
      <c r="T79" s="2"/>
      <c r="U79" s="2"/>
      <c r="V79" s="19"/>
      <c r="W79" s="2"/>
      <c r="X79" s="2">
        <f t="shared" si="2"/>
        <v>-11369.46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 t="shared" si="5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-102.71</f>
        <v>-102.71</v>
      </c>
      <c r="Q80" s="2"/>
      <c r="R80" s="19"/>
      <c r="S80" s="2"/>
      <c r="T80" s="2"/>
      <c r="U80" s="2"/>
      <c r="V80" s="19"/>
      <c r="W80" s="2"/>
      <c r="X80" s="2">
        <f t="shared" si="2"/>
        <v>-102.71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>-11.94</f>
        <v>-11.94</v>
      </c>
      <c r="E81" s="2"/>
      <c r="F81" s="19"/>
      <c r="G81" s="2"/>
      <c r="H81" s="2"/>
      <c r="I81" s="2"/>
      <c r="J81" s="19"/>
      <c r="K81" s="2"/>
      <c r="L81" s="2">
        <f t="shared" si="0"/>
        <v>-11.94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/>
      <c r="U81" s="2"/>
      <c r="V81" s="19"/>
      <c r="W81" s="2"/>
      <c r="X81" s="2">
        <f t="shared" si="2"/>
        <v>-11.94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ref="D82:D83" si="6"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/>
      <c r="U82" s="2"/>
      <c r="V82" s="19"/>
      <c r="W82" s="2"/>
      <c r="X82" s="2">
        <f t="shared" si="2"/>
        <v>-2.98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6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-32.75</f>
        <v>-32.75</v>
      </c>
      <c r="Q83" s="2"/>
      <c r="R83" s="19"/>
      <c r="S83" s="2"/>
      <c r="T83" s="2"/>
      <c r="U83" s="2"/>
      <c r="V83" s="19"/>
      <c r="W83" s="2"/>
      <c r="X83" s="2">
        <f t="shared" si="2"/>
        <v>-32.75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-15.51</f>
        <v>-15.51</v>
      </c>
      <c r="E84" s="2"/>
      <c r="F84" s="19"/>
      <c r="G84" s="2"/>
      <c r="H84" s="2"/>
      <c r="I84" s="2"/>
      <c r="J84" s="19"/>
      <c r="K84" s="2"/>
      <c r="L84" s="2">
        <f t="shared" si="0"/>
        <v>-15.51</v>
      </c>
      <c r="M84" s="2"/>
      <c r="N84" s="19">
        <f t="shared" si="1"/>
        <v>0</v>
      </c>
      <c r="O84" s="11"/>
      <c r="P84" s="2">
        <f>-80.97</f>
        <v>-80.97</v>
      </c>
      <c r="Q84" s="2"/>
      <c r="R84" s="19"/>
      <c r="S84" s="2"/>
      <c r="T84" s="2"/>
      <c r="U84" s="2"/>
      <c r="V84" s="19"/>
      <c r="W84" s="2"/>
      <c r="X84" s="2">
        <f t="shared" si="2"/>
        <v>-80.97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-41.65</f>
        <v>-41.65</v>
      </c>
      <c r="E85" s="2"/>
      <c r="F85" s="19"/>
      <c r="G85" s="2"/>
      <c r="H85" s="2"/>
      <c r="I85" s="2"/>
      <c r="J85" s="19"/>
      <c r="K85" s="2"/>
      <c r="L85" s="2">
        <f t="shared" si="0"/>
        <v>-41.65</v>
      </c>
      <c r="M85" s="2"/>
      <c r="N85" s="19">
        <f t="shared" si="1"/>
        <v>0</v>
      </c>
      <c r="O85" s="11"/>
      <c r="P85" s="2">
        <f>-531.36</f>
        <v>-531.36</v>
      </c>
      <c r="Q85" s="2"/>
      <c r="R85" s="19"/>
      <c r="S85" s="2"/>
      <c r="T85" s="2"/>
      <c r="U85" s="2"/>
      <c r="V85" s="19"/>
      <c r="W85" s="2"/>
      <c r="X85" s="2">
        <f t="shared" si="2"/>
        <v>-531.36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-204.76</f>
        <v>-204.76</v>
      </c>
      <c r="E86" s="2"/>
      <c r="F86" s="19"/>
      <c r="G86" s="2"/>
      <c r="H86" s="2"/>
      <c r="I86" s="2"/>
      <c r="J86" s="19"/>
      <c r="K86" s="2"/>
      <c r="L86" s="2">
        <f t="shared" si="0"/>
        <v>-204.76</v>
      </c>
      <c r="M86" s="2"/>
      <c r="N86" s="19">
        <f t="shared" si="1"/>
        <v>0</v>
      </c>
      <c r="O86" s="11"/>
      <c r="P86" s="2">
        <f>-5948.58</f>
        <v>-5948.58</v>
      </c>
      <c r="Q86" s="2"/>
      <c r="R86" s="19"/>
      <c r="S86" s="2"/>
      <c r="T86" s="2"/>
      <c r="U86" s="2"/>
      <c r="V86" s="19"/>
      <c r="W86" s="2"/>
      <c r="X86" s="2">
        <f t="shared" si="2"/>
        <v>-5948.58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-277.33</f>
        <v>-277.33</v>
      </c>
      <c r="E87" s="2"/>
      <c r="F87" s="19"/>
      <c r="G87" s="2"/>
      <c r="H87" s="2"/>
      <c r="I87" s="2"/>
      <c r="J87" s="19"/>
      <c r="K87" s="2"/>
      <c r="L87" s="2">
        <f t="shared" si="0"/>
        <v>-277.33</v>
      </c>
      <c r="M87" s="2"/>
      <c r="N87" s="19">
        <f t="shared" si="1"/>
        <v>0</v>
      </c>
      <c r="O87" s="11"/>
      <c r="P87" s="2">
        <f>-3148.62</f>
        <v>-3148.62</v>
      </c>
      <c r="Q87" s="2"/>
      <c r="R87" s="19"/>
      <c r="S87" s="2"/>
      <c r="T87" s="2"/>
      <c r="U87" s="2"/>
      <c r="V87" s="19"/>
      <c r="W87" s="2"/>
      <c r="X87" s="2">
        <f t="shared" si="2"/>
        <v>-3148.62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-1.29</f>
        <v>-1.29</v>
      </c>
      <c r="Q88" s="2"/>
      <c r="R88" s="19"/>
      <c r="S88" s="2"/>
      <c r="T88" s="2"/>
      <c r="U88" s="2"/>
      <c r="V88" s="19"/>
      <c r="W88" s="2"/>
      <c r="X88" s="2">
        <f t="shared" si="2"/>
        <v>-1.29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-8212.91</f>
        <v>-8212.91</v>
      </c>
      <c r="E89" s="2"/>
      <c r="F89" s="19"/>
      <c r="G89" s="2"/>
      <c r="H89" s="2"/>
      <c r="I89" s="2"/>
      <c r="J89" s="19"/>
      <c r="K89" s="2"/>
      <c r="L89" s="2">
        <f t="shared" si="0"/>
        <v>-8212.91</v>
      </c>
      <c r="M89" s="2"/>
      <c r="N89" s="19">
        <f t="shared" si="1"/>
        <v>0</v>
      </c>
      <c r="O89" s="11"/>
      <c r="P89" s="2">
        <f>-49321.94</f>
        <v>-49321.94</v>
      </c>
      <c r="Q89" s="2"/>
      <c r="R89" s="19"/>
      <c r="S89" s="2"/>
      <c r="T89" s="2"/>
      <c r="U89" s="2"/>
      <c r="V89" s="19"/>
      <c r="W89" s="2"/>
      <c r="X89" s="2">
        <f t="shared" si="2"/>
        <v>-49321.94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-939.28</f>
        <v>-939.28</v>
      </c>
      <c r="E90" s="2"/>
      <c r="F90" s="19"/>
      <c r="G90" s="2"/>
      <c r="H90" s="2"/>
      <c r="I90" s="2"/>
      <c r="J90" s="19"/>
      <c r="K90" s="2"/>
      <c r="L90" s="2">
        <f t="shared" si="0"/>
        <v>-939.28</v>
      </c>
      <c r="M90" s="2"/>
      <c r="N90" s="19">
        <f t="shared" si="1"/>
        <v>0</v>
      </c>
      <c r="O90" s="11"/>
      <c r="P90" s="2">
        <f>-4148.87</f>
        <v>-4148.87</v>
      </c>
      <c r="Q90" s="2"/>
      <c r="R90" s="19"/>
      <c r="S90" s="2"/>
      <c r="T90" s="2"/>
      <c r="U90" s="2"/>
      <c r="V90" s="19"/>
      <c r="W90" s="2"/>
      <c r="X90" s="2">
        <f t="shared" si="2"/>
        <v>-4148.87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-1097.55</f>
        <v>-1097.55</v>
      </c>
      <c r="E91" s="2"/>
      <c r="F91" s="19"/>
      <c r="G91" s="2"/>
      <c r="H91" s="2"/>
      <c r="I91" s="2"/>
      <c r="J91" s="19"/>
      <c r="K91" s="2"/>
      <c r="L91" s="2">
        <f t="shared" si="0"/>
        <v>-1097.55</v>
      </c>
      <c r="M91" s="2"/>
      <c r="N91" s="19">
        <f t="shared" si="1"/>
        <v>0</v>
      </c>
      <c r="O91" s="11"/>
      <c r="P91" s="2">
        <f>-2789.42</f>
        <v>-2789.42</v>
      </c>
      <c r="Q91" s="2"/>
      <c r="R91" s="19"/>
      <c r="S91" s="2"/>
      <c r="T91" s="2"/>
      <c r="U91" s="2"/>
      <c r="V91" s="19"/>
      <c r="W91" s="2"/>
      <c r="X91" s="2">
        <f t="shared" si="2"/>
        <v>-2789.42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-558.63</f>
        <v>-558.63</v>
      </c>
      <c r="E92" s="2"/>
      <c r="F92" s="19"/>
      <c r="G92" s="2"/>
      <c r="H92" s="2"/>
      <c r="I92" s="2"/>
      <c r="J92" s="19"/>
      <c r="K92" s="2"/>
      <c r="L92" s="2">
        <f t="shared" si="0"/>
        <v>-558.63</v>
      </c>
      <c r="M92" s="2"/>
      <c r="N92" s="19">
        <f t="shared" si="1"/>
        <v>0</v>
      </c>
      <c r="O92" s="11"/>
      <c r="P92" s="2">
        <f>-879.47</f>
        <v>-879.47</v>
      </c>
      <c r="Q92" s="2"/>
      <c r="R92" s="19"/>
      <c r="S92" s="2"/>
      <c r="T92" s="2"/>
      <c r="U92" s="2"/>
      <c r="V92" s="19"/>
      <c r="W92" s="2"/>
      <c r="X92" s="2">
        <f t="shared" si="2"/>
        <v>-879.47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-202.71</f>
        <v>-202.71</v>
      </c>
      <c r="E93" s="2"/>
      <c r="F93" s="19"/>
      <c r="G93" s="2"/>
      <c r="H93" s="2"/>
      <c r="I93" s="2"/>
      <c r="J93" s="19"/>
      <c r="K93" s="2"/>
      <c r="L93" s="2">
        <f t="shared" si="0"/>
        <v>-202.71</v>
      </c>
      <c r="M93" s="2"/>
      <c r="N93" s="19">
        <f t="shared" si="1"/>
        <v>0</v>
      </c>
      <c r="O93" s="11"/>
      <c r="P93" s="2">
        <f>-1731.77</f>
        <v>-1731.77</v>
      </c>
      <c r="Q93" s="2"/>
      <c r="R93" s="19"/>
      <c r="S93" s="2"/>
      <c r="T93" s="2"/>
      <c r="U93" s="2"/>
      <c r="V93" s="19"/>
      <c r="W93" s="2"/>
      <c r="X93" s="2">
        <f t="shared" si="2"/>
        <v>-1731.77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-91.96</f>
        <v>-91.96</v>
      </c>
      <c r="Q94" s="2"/>
      <c r="R94" s="19"/>
      <c r="S94" s="2"/>
      <c r="T94" s="2"/>
      <c r="U94" s="2"/>
      <c r="V94" s="19"/>
      <c r="W94" s="2"/>
      <c r="X94" s="2">
        <f t="shared" si="2"/>
        <v>-91.96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>-9.99</f>
        <v>-9.99</v>
      </c>
      <c r="E95" s="2"/>
      <c r="F95" s="19"/>
      <c r="G95" s="2"/>
      <c r="H95" s="2"/>
      <c r="I95" s="2"/>
      <c r="J95" s="19"/>
      <c r="K95" s="2"/>
      <c r="L95" s="2">
        <f t="shared" si="0"/>
        <v>-9.99</v>
      </c>
      <c r="M95" s="2"/>
      <c r="N95" s="19">
        <f t="shared" si="1"/>
        <v>0</v>
      </c>
      <c r="O95" s="11"/>
      <c r="P95" s="2">
        <f>-54.97</f>
        <v>-54.97</v>
      </c>
      <c r="Q95" s="2"/>
      <c r="R95" s="19"/>
      <c r="S95" s="2"/>
      <c r="T95" s="2"/>
      <c r="U95" s="2"/>
      <c r="V95" s="19"/>
      <c r="W95" s="2"/>
      <c r="X95" s="2">
        <f t="shared" si="2"/>
        <v>-54.97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 t="shared" ref="D96:D98" si="7"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-419.05</f>
        <v>-419.05</v>
      </c>
      <c r="Q96" s="2"/>
      <c r="R96" s="19"/>
      <c r="S96" s="2"/>
      <c r="T96" s="2"/>
      <c r="U96" s="2"/>
      <c r="V96" s="19"/>
      <c r="W96" s="2"/>
      <c r="X96" s="2">
        <f t="shared" si="2"/>
        <v>-419.05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 t="shared" si="7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/>
      <c r="U97" s="2"/>
      <c r="V97" s="19"/>
      <c r="W97" s="2"/>
      <c r="X97" s="2">
        <f t="shared" si="2"/>
        <v>0.99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 t="shared" si="7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-12310.98</f>
        <v>-12310.98</v>
      </c>
      <c r="Q98" s="2"/>
      <c r="R98" s="19"/>
      <c r="S98" s="2"/>
      <c r="T98" s="2"/>
      <c r="U98" s="2"/>
      <c r="V98" s="19"/>
      <c r="W98" s="2"/>
      <c r="X98" s="2">
        <f t="shared" si="2"/>
        <v>-12310.98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-14.1</f>
        <v>-14.1</v>
      </c>
      <c r="E99" s="2"/>
      <c r="F99" s="19"/>
      <c r="G99" s="2"/>
      <c r="H99" s="2"/>
      <c r="I99" s="2"/>
      <c r="J99" s="19"/>
      <c r="K99" s="2"/>
      <c r="L99" s="2">
        <f t="shared" si="0"/>
        <v>-14.1</v>
      </c>
      <c r="M99" s="2"/>
      <c r="N99" s="19">
        <f t="shared" si="1"/>
        <v>0</v>
      </c>
      <c r="O99" s="11"/>
      <c r="P99" s="2">
        <f>-697.9</f>
        <v>-697.9</v>
      </c>
      <c r="Q99" s="2"/>
      <c r="R99" s="19"/>
      <c r="S99" s="2"/>
      <c r="T99" s="2"/>
      <c r="U99" s="2"/>
      <c r="V99" s="19"/>
      <c r="W99" s="2"/>
      <c r="X99" s="2">
        <f t="shared" si="2"/>
        <v>-697.9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/>
      <c r="U100" s="2"/>
      <c r="V100" s="19"/>
      <c r="W100" s="2"/>
      <c r="X100" s="2">
        <f t="shared" si="2"/>
        <v>-184.99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-226.45</f>
        <v>-226.45</v>
      </c>
      <c r="E101" s="2"/>
      <c r="F101" s="19"/>
      <c r="G101" s="2"/>
      <c r="H101" s="2"/>
      <c r="I101" s="2"/>
      <c r="J101" s="19"/>
      <c r="K101" s="2"/>
      <c r="L101" s="2">
        <f t="shared" si="0"/>
        <v>-226.45</v>
      </c>
      <c r="M101" s="2"/>
      <c r="N101" s="19">
        <f t="shared" si="1"/>
        <v>0</v>
      </c>
      <c r="O101" s="11"/>
      <c r="P101" s="2">
        <f>-13430.32</f>
        <v>-13430.32</v>
      </c>
      <c r="Q101" s="2"/>
      <c r="R101" s="19"/>
      <c r="S101" s="2"/>
      <c r="T101" s="2"/>
      <c r="U101" s="2"/>
      <c r="V101" s="19"/>
      <c r="W101" s="2"/>
      <c r="X101" s="2">
        <f t="shared" si="2"/>
        <v>-13430.32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 t="shared" ref="D102:D103" si="8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-387.96</f>
        <v>-387.96</v>
      </c>
      <c r="Q102" s="2"/>
      <c r="R102" s="19"/>
      <c r="S102" s="2"/>
      <c r="T102" s="2"/>
      <c r="U102" s="2"/>
      <c r="V102" s="19"/>
      <c r="W102" s="2"/>
      <c r="X102" s="2">
        <f t="shared" si="2"/>
        <v>-387.96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"4327", " - ", "SALES RETURN NON TAXABLE-SCHOO")</f>
        <v xml:space="preserve">          4327 - SALES RETURN NON TAXABLE-SCHOO</v>
      </c>
      <c r="C103" s="11"/>
      <c r="D103" s="2">
        <f t="shared" si="8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-21.87</f>
        <v>-21.87</v>
      </c>
      <c r="Q103" s="2"/>
      <c r="R103" s="19"/>
      <c r="S103" s="2"/>
      <c r="T103" s="2"/>
      <c r="U103" s="2"/>
      <c r="V103" s="19"/>
      <c r="W103" s="2"/>
      <c r="X103" s="2">
        <f t="shared" si="2"/>
        <v>-21.87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-391.5</f>
        <v>-391.5</v>
      </c>
      <c r="E104" s="2"/>
      <c r="F104" s="19"/>
      <c r="G104" s="2"/>
      <c r="H104" s="2"/>
      <c r="I104" s="2"/>
      <c r="J104" s="19"/>
      <c r="K104" s="2"/>
      <c r="L104" s="2">
        <f t="shared" si="0"/>
        <v>-391.5</v>
      </c>
      <c r="M104" s="2"/>
      <c r="N104" s="19">
        <f t="shared" si="1"/>
        <v>0</v>
      </c>
      <c r="O104" s="11"/>
      <c r="P104" s="2">
        <f>-714.9</f>
        <v>-714.9</v>
      </c>
      <c r="Q104" s="2"/>
      <c r="R104" s="19"/>
      <c r="S104" s="2"/>
      <c r="T104" s="2"/>
      <c r="U104" s="2"/>
      <c r="V104" s="19"/>
      <c r="W104" s="2"/>
      <c r="X104" s="2">
        <f t="shared" si="2"/>
        <v>-714.9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>-9.95</f>
        <v>-9.9499999999999993</v>
      </c>
      <c r="E105" s="2"/>
      <c r="F105" s="19"/>
      <c r="G105" s="2"/>
      <c r="H105" s="2"/>
      <c r="I105" s="2"/>
      <c r="J105" s="19"/>
      <c r="K105" s="2"/>
      <c r="L105" s="2">
        <f t="shared" si="0"/>
        <v>-9.9499999999999993</v>
      </c>
      <c r="M105" s="2"/>
      <c r="N105" s="19">
        <f t="shared" si="1"/>
        <v>0</v>
      </c>
      <c r="O105" s="11"/>
      <c r="P105" s="2">
        <f>-20.85</f>
        <v>-20.85</v>
      </c>
      <c r="Q105" s="2"/>
      <c r="R105" s="19"/>
      <c r="S105" s="2"/>
      <c r="T105" s="2"/>
      <c r="U105" s="2"/>
      <c r="V105" s="19"/>
      <c r="W105" s="2"/>
      <c r="X105" s="2">
        <f t="shared" si="2"/>
        <v>-20.85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 t="shared" ref="D106:D107" si="9"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-109.8</f>
        <v>-109.8</v>
      </c>
      <c r="Q106" s="2"/>
      <c r="R106" s="19"/>
      <c r="S106" s="2"/>
      <c r="T106" s="2"/>
      <c r="U106" s="2"/>
      <c r="V106" s="19"/>
      <c r="W106" s="2"/>
      <c r="X106" s="2">
        <f t="shared" si="2"/>
        <v>-109.8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 t="shared" si="9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-8.15</f>
        <v>-8.15</v>
      </c>
      <c r="Q107" s="2"/>
      <c r="R107" s="19"/>
      <c r="S107" s="2"/>
      <c r="T107" s="2"/>
      <c r="U107" s="2"/>
      <c r="V107" s="19"/>
      <c r="W107" s="2"/>
      <c r="X107" s="2">
        <f t="shared" si="2"/>
        <v>-8.15</v>
      </c>
      <c r="Y107" s="2"/>
      <c r="Z107" s="19">
        <f t="shared" si="3"/>
        <v>0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8" t="s">
        <v>8</v>
      </c>
      <c r="C109" s="10"/>
      <c r="D109" s="4">
        <f>SUM(OSRRefD16x_0)</f>
        <v>289567.02000000014</v>
      </c>
      <c r="E109" s="4"/>
      <c r="F109" s="12">
        <f t="shared" ref="F109:F162" si="10">IF(D$12=0,0,D109/D$12)</f>
        <v>0.44413980659435004</v>
      </c>
      <c r="G109" s="4"/>
      <c r="H109" s="4">
        <f>SUM(OSRRefH16x_0)</f>
        <v>365336.75766999996</v>
      </c>
      <c r="I109" s="4"/>
      <c r="J109" s="12">
        <f t="shared" ref="J109:J162" si="11">IF(H$12=0,0,H109/H$12)</f>
        <v>0.45158774895201603</v>
      </c>
      <c r="K109" s="4"/>
      <c r="L109" s="4">
        <f t="shared" ref="L109:L162" si="12">+D109-H109</f>
        <v>-75769.737669999828</v>
      </c>
      <c r="M109" s="4"/>
      <c r="N109" s="12">
        <f t="shared" ref="N109:N162" si="13">IF(H109=0,0,L109/H109)</f>
        <v>-0.20739697300987392</v>
      </c>
      <c r="O109" s="10"/>
      <c r="P109" s="4">
        <f>SUM(OSRRefP16x_0)</f>
        <v>3994685.4999999995</v>
      </c>
      <c r="Q109" s="4"/>
      <c r="R109" s="12">
        <f t="shared" ref="R109:R162" si="14">IF(P$12=0,0,P109/P$12)</f>
        <v>0.55932487983198009</v>
      </c>
      <c r="S109" s="4"/>
      <c r="T109" s="4">
        <f>SUM(OSRRefT16x_0)</f>
        <v>4132135.8078599996</v>
      </c>
      <c r="U109" s="4"/>
      <c r="V109" s="12">
        <f t="shared" ref="V109:V162" si="15">IF(T$12=0,0,T109/T$12)</f>
        <v>0.55317015718503948</v>
      </c>
      <c r="W109" s="4"/>
      <c r="X109" s="4">
        <f t="shared" ref="X109:X162" si="16">+P109-T109</f>
        <v>-137450.30786000006</v>
      </c>
      <c r="Y109" s="4"/>
      <c r="Z109" s="12">
        <f t="shared" ref="Z109:Z162" si="17">IF(T109=0,0,X109/T109)</f>
        <v>-3.3263744042136043E-2</v>
      </c>
    </row>
    <row r="110" spans="1:26" s="24" customFormat="1" hidden="1" outlineLevel="1" x14ac:dyDescent="0.25">
      <c r="A110" s="44"/>
      <c r="B110" s="11" t="str">
        <f>CONCATENATE("          ", "5000", " - ", "PURCHASES @ COST")</f>
        <v xml:space="preserve">          5000 - PURCHASES @ COST</v>
      </c>
      <c r="C110" s="11"/>
      <c r="D110" s="2"/>
      <c r="E110" s="2"/>
      <c r="F110" s="19">
        <f t="shared" si="10"/>
        <v>0</v>
      </c>
      <c r="G110" s="2"/>
      <c r="H110" s="2">
        <v>365336.75766999996</v>
      </c>
      <c r="I110" s="2"/>
      <c r="J110" s="19">
        <f t="shared" si="11"/>
        <v>0.45158774895201603</v>
      </c>
      <c r="K110" s="2"/>
      <c r="L110" s="2">
        <f t="shared" si="12"/>
        <v>-365336.75766999996</v>
      </c>
      <c r="M110" s="2"/>
      <c r="N110" s="19">
        <f t="shared" si="13"/>
        <v>-1</v>
      </c>
      <c r="O110" s="11"/>
      <c r="P110" s="2"/>
      <c r="Q110" s="2"/>
      <c r="R110" s="19">
        <f t="shared" si="14"/>
        <v>0</v>
      </c>
      <c r="S110" s="2"/>
      <c r="T110" s="2">
        <v>4132135.8078599996</v>
      </c>
      <c r="U110" s="2"/>
      <c r="V110" s="19">
        <f t="shared" si="15"/>
        <v>0.55317015718503948</v>
      </c>
      <c r="W110" s="2"/>
      <c r="X110" s="2">
        <f t="shared" si="16"/>
        <v>-4132135.8078599996</v>
      </c>
      <c r="Y110" s="2"/>
      <c r="Z110" s="19">
        <f t="shared" si="17"/>
        <v>-1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155219.06</v>
      </c>
      <c r="E111" s="2"/>
      <c r="F111" s="19">
        <f t="shared" si="10"/>
        <v>0.23807601876814832</v>
      </c>
      <c r="G111" s="2"/>
      <c r="H111" s="2"/>
      <c r="I111" s="2"/>
      <c r="J111" s="19">
        <f t="shared" si="11"/>
        <v>0</v>
      </c>
      <c r="K111" s="2"/>
      <c r="L111" s="2">
        <f t="shared" si="12"/>
        <v>155219.06</v>
      </c>
      <c r="M111" s="2"/>
      <c r="N111" s="19">
        <f t="shared" si="13"/>
        <v>0</v>
      </c>
      <c r="O111" s="11"/>
      <c r="P111" s="2">
        <v>1737069.75</v>
      </c>
      <c r="Q111" s="2"/>
      <c r="R111" s="19">
        <f t="shared" si="14"/>
        <v>0.24321973010854492</v>
      </c>
      <c r="S111" s="2"/>
      <c r="T111" s="2"/>
      <c r="U111" s="2"/>
      <c r="V111" s="19">
        <f t="shared" si="15"/>
        <v>0</v>
      </c>
      <c r="W111" s="2"/>
      <c r="X111" s="2">
        <f t="shared" si="16"/>
        <v>1737069.75</v>
      </c>
      <c r="Y111" s="2"/>
      <c r="Z111" s="19">
        <f t="shared" si="17"/>
        <v>0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40274.950000000004</v>
      </c>
      <c r="E112" s="2"/>
      <c r="F112" s="19">
        <f t="shared" si="10"/>
        <v>6.1773984149151764E-2</v>
      </c>
      <c r="G112" s="2"/>
      <c r="H112" s="2"/>
      <c r="I112" s="2"/>
      <c r="J112" s="19">
        <f t="shared" si="11"/>
        <v>0</v>
      </c>
      <c r="K112" s="2"/>
      <c r="L112" s="2">
        <f t="shared" si="12"/>
        <v>40274.950000000004</v>
      </c>
      <c r="M112" s="2"/>
      <c r="N112" s="19">
        <f t="shared" si="13"/>
        <v>0</v>
      </c>
      <c r="O112" s="11"/>
      <c r="P112" s="2">
        <v>252522.85</v>
      </c>
      <c r="Q112" s="2"/>
      <c r="R112" s="19">
        <f t="shared" si="14"/>
        <v>3.5357555114433704E-2</v>
      </c>
      <c r="S112" s="2"/>
      <c r="T112" s="2"/>
      <c r="U112" s="2"/>
      <c r="V112" s="19">
        <f t="shared" si="15"/>
        <v>0</v>
      </c>
      <c r="W112" s="2"/>
      <c r="X112" s="2">
        <f t="shared" si="16"/>
        <v>252522.85</v>
      </c>
      <c r="Y112" s="2"/>
      <c r="Z112" s="19">
        <f t="shared" si="17"/>
        <v>0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10"/>
        <v>0</v>
      </c>
      <c r="G113" s="2"/>
      <c r="H113" s="2"/>
      <c r="I113" s="2"/>
      <c r="J113" s="19">
        <f t="shared" si="11"/>
        <v>0</v>
      </c>
      <c r="K113" s="2"/>
      <c r="L113" s="2">
        <f t="shared" si="12"/>
        <v>0</v>
      </c>
      <c r="M113" s="2"/>
      <c r="N113" s="19">
        <f t="shared" si="13"/>
        <v>0</v>
      </c>
      <c r="O113" s="11"/>
      <c r="P113" s="2">
        <v>-78.400000000000006</v>
      </c>
      <c r="Q113" s="2"/>
      <c r="R113" s="19">
        <f t="shared" si="14"/>
        <v>-1.0977352429578561E-5</v>
      </c>
      <c r="S113" s="2"/>
      <c r="T113" s="2"/>
      <c r="U113" s="2"/>
      <c r="V113" s="19">
        <f t="shared" si="15"/>
        <v>0</v>
      </c>
      <c r="W113" s="2"/>
      <c r="X113" s="2">
        <f t="shared" si="16"/>
        <v>-78.400000000000006</v>
      </c>
      <c r="Y113" s="2"/>
      <c r="Z113" s="19">
        <f t="shared" si="17"/>
        <v>0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31572.300000000003</v>
      </c>
      <c r="E114" s="2"/>
      <c r="F114" s="19">
        <f t="shared" si="10"/>
        <v>4.8425802136371716E-2</v>
      </c>
      <c r="G114" s="2"/>
      <c r="H114" s="2"/>
      <c r="I114" s="2"/>
      <c r="J114" s="19">
        <f t="shared" si="11"/>
        <v>0</v>
      </c>
      <c r="K114" s="2"/>
      <c r="L114" s="2">
        <f t="shared" si="12"/>
        <v>31572.300000000003</v>
      </c>
      <c r="M114" s="2"/>
      <c r="N114" s="19">
        <f t="shared" si="13"/>
        <v>0</v>
      </c>
      <c r="O114" s="11"/>
      <c r="P114" s="2">
        <v>354352.27</v>
      </c>
      <c r="Q114" s="2"/>
      <c r="R114" s="19">
        <f t="shared" si="14"/>
        <v>4.9615430510346663E-2</v>
      </c>
      <c r="S114" s="2"/>
      <c r="T114" s="2"/>
      <c r="U114" s="2"/>
      <c r="V114" s="19">
        <f t="shared" si="15"/>
        <v>0</v>
      </c>
      <c r="W114" s="2"/>
      <c r="X114" s="2">
        <f t="shared" si="16"/>
        <v>354352.27</v>
      </c>
      <c r="Y114" s="2"/>
      <c r="Z114" s="19">
        <f t="shared" si="17"/>
        <v>0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>
        <v>1161</v>
      </c>
      <c r="E115" s="2"/>
      <c r="F115" s="19">
        <f t="shared" si="10"/>
        <v>1.780749463305732E-3</v>
      </c>
      <c r="G115" s="2"/>
      <c r="H115" s="2"/>
      <c r="I115" s="2"/>
      <c r="J115" s="19">
        <f t="shared" si="11"/>
        <v>0</v>
      </c>
      <c r="K115" s="2"/>
      <c r="L115" s="2">
        <f t="shared" si="12"/>
        <v>1161</v>
      </c>
      <c r="M115" s="2"/>
      <c r="N115" s="19">
        <f t="shared" si="13"/>
        <v>0</v>
      </c>
      <c r="O115" s="11"/>
      <c r="P115" s="2">
        <v>4902</v>
      </c>
      <c r="Q115" s="2"/>
      <c r="R115" s="19">
        <f t="shared" si="14"/>
        <v>6.8636456134941451E-4</v>
      </c>
      <c r="S115" s="2"/>
      <c r="T115" s="2"/>
      <c r="U115" s="2"/>
      <c r="V115" s="19">
        <f t="shared" si="15"/>
        <v>0</v>
      </c>
      <c r="W115" s="2"/>
      <c r="X115" s="2">
        <f t="shared" si="16"/>
        <v>4902</v>
      </c>
      <c r="Y115" s="2"/>
      <c r="Z115" s="19">
        <f t="shared" si="17"/>
        <v>0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37.17</v>
      </c>
      <c r="E116" s="2"/>
      <c r="F116" s="19">
        <f t="shared" si="10"/>
        <v>5.7011591344594365E-5</v>
      </c>
      <c r="G116" s="2"/>
      <c r="H116" s="2"/>
      <c r="I116" s="2"/>
      <c r="J116" s="19">
        <f t="shared" si="11"/>
        <v>0</v>
      </c>
      <c r="K116" s="2"/>
      <c r="L116" s="2">
        <f t="shared" si="12"/>
        <v>37.17</v>
      </c>
      <c r="M116" s="2"/>
      <c r="N116" s="19">
        <f t="shared" si="13"/>
        <v>0</v>
      </c>
      <c r="O116" s="11"/>
      <c r="P116" s="2">
        <v>735.31</v>
      </c>
      <c r="Q116" s="2"/>
      <c r="R116" s="19">
        <f t="shared" si="14"/>
        <v>1.0295608437491594E-4</v>
      </c>
      <c r="S116" s="2"/>
      <c r="T116" s="2"/>
      <c r="U116" s="2"/>
      <c r="V116" s="19">
        <f t="shared" si="15"/>
        <v>0</v>
      </c>
      <c r="W116" s="2"/>
      <c r="X116" s="2">
        <f t="shared" si="16"/>
        <v>735.31</v>
      </c>
      <c r="Y116" s="2"/>
      <c r="Z116" s="19">
        <f t="shared" si="17"/>
        <v>0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>
        <v>56.98</v>
      </c>
      <c r="E117" s="2"/>
      <c r="F117" s="19">
        <f t="shared" si="10"/>
        <v>8.739630010263617E-5</v>
      </c>
      <c r="G117" s="2"/>
      <c r="H117" s="2"/>
      <c r="I117" s="2"/>
      <c r="J117" s="19">
        <f t="shared" si="11"/>
        <v>0</v>
      </c>
      <c r="K117" s="2"/>
      <c r="L117" s="2">
        <f t="shared" si="12"/>
        <v>56.98</v>
      </c>
      <c r="M117" s="2"/>
      <c r="N117" s="19">
        <f t="shared" si="13"/>
        <v>0</v>
      </c>
      <c r="O117" s="11"/>
      <c r="P117" s="2">
        <v>513.79</v>
      </c>
      <c r="Q117" s="2"/>
      <c r="R117" s="19">
        <f t="shared" si="14"/>
        <v>7.1939463071341435E-5</v>
      </c>
      <c r="S117" s="2"/>
      <c r="T117" s="2"/>
      <c r="U117" s="2"/>
      <c r="V117" s="19">
        <f t="shared" si="15"/>
        <v>0</v>
      </c>
      <c r="W117" s="2"/>
      <c r="X117" s="2">
        <f t="shared" si="16"/>
        <v>513.79</v>
      </c>
      <c r="Y117" s="2"/>
      <c r="Z117" s="19">
        <f t="shared" si="17"/>
        <v>0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10"/>
        <v>0</v>
      </c>
      <c r="G118" s="2"/>
      <c r="H118" s="2"/>
      <c r="I118" s="2"/>
      <c r="J118" s="19">
        <f t="shared" si="11"/>
        <v>0</v>
      </c>
      <c r="K118" s="2"/>
      <c r="L118" s="2">
        <f t="shared" si="12"/>
        <v>0</v>
      </c>
      <c r="M118" s="2"/>
      <c r="N118" s="19">
        <f t="shared" si="13"/>
        <v>0</v>
      </c>
      <c r="O118" s="11"/>
      <c r="P118" s="2">
        <v>0</v>
      </c>
      <c r="Q118" s="2"/>
      <c r="R118" s="19">
        <f t="shared" si="14"/>
        <v>0</v>
      </c>
      <c r="S118" s="2"/>
      <c r="T118" s="2"/>
      <c r="U118" s="2"/>
      <c r="V118" s="19">
        <f t="shared" si="15"/>
        <v>0</v>
      </c>
      <c r="W118" s="2"/>
      <c r="X118" s="2">
        <f t="shared" si="16"/>
        <v>0</v>
      </c>
      <c r="Y118" s="2"/>
      <c r="Z118" s="19">
        <f t="shared" si="17"/>
        <v>0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196.31</v>
      </c>
      <c r="E119" s="2"/>
      <c r="F119" s="19">
        <f t="shared" si="10"/>
        <v>3.0110157376533008E-4</v>
      </c>
      <c r="G119" s="2"/>
      <c r="H119" s="2"/>
      <c r="I119" s="2"/>
      <c r="J119" s="19">
        <f t="shared" si="11"/>
        <v>0</v>
      </c>
      <c r="K119" s="2"/>
      <c r="L119" s="2">
        <f t="shared" si="12"/>
        <v>196.31</v>
      </c>
      <c r="M119" s="2"/>
      <c r="N119" s="19">
        <f t="shared" si="13"/>
        <v>0</v>
      </c>
      <c r="O119" s="11"/>
      <c r="P119" s="2">
        <v>998.4</v>
      </c>
      <c r="Q119" s="2"/>
      <c r="R119" s="19">
        <f t="shared" si="14"/>
        <v>1.3979322277667391E-4</v>
      </c>
      <c r="S119" s="2"/>
      <c r="T119" s="2"/>
      <c r="U119" s="2"/>
      <c r="V119" s="19">
        <f t="shared" si="15"/>
        <v>0</v>
      </c>
      <c r="W119" s="2"/>
      <c r="X119" s="2">
        <f t="shared" si="16"/>
        <v>998.4</v>
      </c>
      <c r="Y119" s="2"/>
      <c r="Z119" s="19">
        <f t="shared" si="17"/>
        <v>0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>
        <v>0</v>
      </c>
      <c r="E120" s="2"/>
      <c r="F120" s="19">
        <f t="shared" si="10"/>
        <v>0</v>
      </c>
      <c r="G120" s="2"/>
      <c r="H120" s="2"/>
      <c r="I120" s="2"/>
      <c r="J120" s="19">
        <f t="shared" si="11"/>
        <v>0</v>
      </c>
      <c r="K120" s="2"/>
      <c r="L120" s="2">
        <f t="shared" si="12"/>
        <v>0</v>
      </c>
      <c r="M120" s="2"/>
      <c r="N120" s="19">
        <f t="shared" si="13"/>
        <v>0</v>
      </c>
      <c r="O120" s="11"/>
      <c r="P120" s="2">
        <v>22098.390000000003</v>
      </c>
      <c r="Q120" s="2"/>
      <c r="R120" s="19">
        <f t="shared" si="14"/>
        <v>3.0941558055647268E-3</v>
      </c>
      <c r="S120" s="2"/>
      <c r="T120" s="2"/>
      <c r="U120" s="2"/>
      <c r="V120" s="19">
        <f t="shared" si="15"/>
        <v>0</v>
      </c>
      <c r="W120" s="2"/>
      <c r="X120" s="2">
        <f t="shared" si="16"/>
        <v>22098.390000000003</v>
      </c>
      <c r="Y120" s="2"/>
      <c r="Z120" s="19">
        <f t="shared" si="17"/>
        <v>0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4344.2</v>
      </c>
      <c r="E121" s="2"/>
      <c r="F121" s="19">
        <f t="shared" si="10"/>
        <v>6.6631626343606892E-3</v>
      </c>
      <c r="G121" s="2"/>
      <c r="H121" s="2"/>
      <c r="I121" s="2"/>
      <c r="J121" s="19">
        <f t="shared" si="11"/>
        <v>0</v>
      </c>
      <c r="K121" s="2"/>
      <c r="L121" s="2">
        <f t="shared" si="12"/>
        <v>4344.2</v>
      </c>
      <c r="M121" s="2"/>
      <c r="N121" s="19">
        <f t="shared" si="13"/>
        <v>0</v>
      </c>
      <c r="O121" s="11"/>
      <c r="P121" s="2">
        <v>34294.769999999997</v>
      </c>
      <c r="Q121" s="2"/>
      <c r="R121" s="19">
        <f t="shared" si="14"/>
        <v>4.8018593977211463E-3</v>
      </c>
      <c r="S121" s="2"/>
      <c r="T121" s="2"/>
      <c r="U121" s="2"/>
      <c r="V121" s="19">
        <f t="shared" si="15"/>
        <v>0</v>
      </c>
      <c r="W121" s="2"/>
      <c r="X121" s="2">
        <f t="shared" si="16"/>
        <v>34294.769999999997</v>
      </c>
      <c r="Y121" s="2"/>
      <c r="Z121" s="19">
        <f t="shared" si="17"/>
        <v>0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>
        <v>2493.64</v>
      </c>
      <c r="E122" s="2"/>
      <c r="F122" s="19">
        <f t="shared" si="10"/>
        <v>3.8247614915397979E-3</v>
      </c>
      <c r="G122" s="2"/>
      <c r="H122" s="2"/>
      <c r="I122" s="2"/>
      <c r="J122" s="19">
        <f t="shared" si="11"/>
        <v>0</v>
      </c>
      <c r="K122" s="2"/>
      <c r="L122" s="2">
        <f t="shared" si="12"/>
        <v>2493.64</v>
      </c>
      <c r="M122" s="2"/>
      <c r="N122" s="19">
        <f t="shared" si="13"/>
        <v>0</v>
      </c>
      <c r="O122" s="11"/>
      <c r="P122" s="2">
        <v>78000</v>
      </c>
      <c r="Q122" s="2"/>
      <c r="R122" s="19">
        <f t="shared" si="14"/>
        <v>1.0921345529427648E-2</v>
      </c>
      <c r="S122" s="2"/>
      <c r="T122" s="2"/>
      <c r="U122" s="2"/>
      <c r="V122" s="19">
        <f t="shared" si="15"/>
        <v>0</v>
      </c>
      <c r="W122" s="2"/>
      <c r="X122" s="2">
        <f t="shared" si="16"/>
        <v>78000</v>
      </c>
      <c r="Y122" s="2"/>
      <c r="Z122" s="19">
        <f t="shared" si="17"/>
        <v>0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>
        <v>7730.31</v>
      </c>
      <c r="E123" s="2"/>
      <c r="F123" s="19">
        <f t="shared" si="10"/>
        <v>1.185680050274499E-2</v>
      </c>
      <c r="G123" s="2"/>
      <c r="H123" s="2"/>
      <c r="I123" s="2"/>
      <c r="J123" s="19">
        <f t="shared" si="11"/>
        <v>0</v>
      </c>
      <c r="K123" s="2"/>
      <c r="L123" s="2">
        <f t="shared" si="12"/>
        <v>7730.31</v>
      </c>
      <c r="M123" s="2"/>
      <c r="N123" s="19">
        <f t="shared" si="13"/>
        <v>0</v>
      </c>
      <c r="O123" s="11"/>
      <c r="P123" s="2">
        <v>103000.81999999999</v>
      </c>
      <c r="Q123" s="2"/>
      <c r="R123" s="19">
        <f t="shared" si="14"/>
        <v>1.4421891603004897E-2</v>
      </c>
      <c r="S123" s="2"/>
      <c r="T123" s="2"/>
      <c r="U123" s="2"/>
      <c r="V123" s="19">
        <f t="shared" si="15"/>
        <v>0</v>
      </c>
      <c r="W123" s="2"/>
      <c r="X123" s="2">
        <f t="shared" si="16"/>
        <v>103000.81999999999</v>
      </c>
      <c r="Y123" s="2"/>
      <c r="Z123" s="19">
        <f t="shared" si="17"/>
        <v>0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1695.24</v>
      </c>
      <c r="E124" s="2"/>
      <c r="F124" s="19">
        <f t="shared" si="10"/>
        <v>2.6001703016144779E-3</v>
      </c>
      <c r="G124" s="2"/>
      <c r="H124" s="2"/>
      <c r="I124" s="2"/>
      <c r="J124" s="19">
        <f t="shared" si="11"/>
        <v>0</v>
      </c>
      <c r="K124" s="2"/>
      <c r="L124" s="2">
        <f t="shared" si="12"/>
        <v>1695.24</v>
      </c>
      <c r="M124" s="2"/>
      <c r="N124" s="19">
        <f t="shared" si="13"/>
        <v>0</v>
      </c>
      <c r="O124" s="11"/>
      <c r="P124" s="2">
        <v>22509.73</v>
      </c>
      <c r="Q124" s="2"/>
      <c r="R124" s="19">
        <f t="shared" si="14"/>
        <v>3.1517505013349159E-3</v>
      </c>
      <c r="S124" s="2"/>
      <c r="T124" s="2"/>
      <c r="U124" s="2"/>
      <c r="V124" s="19">
        <f t="shared" si="15"/>
        <v>0</v>
      </c>
      <c r="W124" s="2"/>
      <c r="X124" s="2">
        <f t="shared" si="16"/>
        <v>22509.73</v>
      </c>
      <c r="Y124" s="2"/>
      <c r="Z124" s="19">
        <f t="shared" si="17"/>
        <v>0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>
        <v>358.99</v>
      </c>
      <c r="E125" s="2"/>
      <c r="F125" s="19">
        <f t="shared" si="10"/>
        <v>5.5062123155221767E-4</v>
      </c>
      <c r="G125" s="2"/>
      <c r="H125" s="2"/>
      <c r="I125" s="2"/>
      <c r="J125" s="19">
        <f t="shared" si="11"/>
        <v>0</v>
      </c>
      <c r="K125" s="2"/>
      <c r="L125" s="2">
        <f t="shared" si="12"/>
        <v>358.99</v>
      </c>
      <c r="M125" s="2"/>
      <c r="N125" s="19">
        <f t="shared" si="13"/>
        <v>0</v>
      </c>
      <c r="O125" s="11"/>
      <c r="P125" s="2">
        <v>5021.4799999999996</v>
      </c>
      <c r="Q125" s="2"/>
      <c r="R125" s="19">
        <f t="shared" si="14"/>
        <v>7.0309382242449159E-4</v>
      </c>
      <c r="S125" s="2"/>
      <c r="T125" s="2"/>
      <c r="U125" s="2"/>
      <c r="V125" s="19">
        <f t="shared" si="15"/>
        <v>0</v>
      </c>
      <c r="W125" s="2"/>
      <c r="X125" s="2">
        <f t="shared" si="16"/>
        <v>5021.4799999999996</v>
      </c>
      <c r="Y125" s="2"/>
      <c r="Z125" s="19">
        <f t="shared" si="17"/>
        <v>0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>
        <v>260.19</v>
      </c>
      <c r="E126" s="2"/>
      <c r="F126" s="19">
        <f t="shared" si="10"/>
        <v>3.9908113941216055E-4</v>
      </c>
      <c r="G126" s="2"/>
      <c r="H126" s="2"/>
      <c r="I126" s="2"/>
      <c r="J126" s="19">
        <f t="shared" si="11"/>
        <v>0</v>
      </c>
      <c r="K126" s="2"/>
      <c r="L126" s="2">
        <f t="shared" si="12"/>
        <v>260.19</v>
      </c>
      <c r="M126" s="2"/>
      <c r="N126" s="19">
        <f t="shared" si="13"/>
        <v>0</v>
      </c>
      <c r="O126" s="11"/>
      <c r="P126" s="2">
        <v>6197.93</v>
      </c>
      <c r="Q126" s="2"/>
      <c r="R126" s="19">
        <f t="shared" si="14"/>
        <v>8.6781711663083986E-4</v>
      </c>
      <c r="S126" s="2"/>
      <c r="T126" s="2"/>
      <c r="U126" s="2"/>
      <c r="V126" s="19">
        <f t="shared" si="15"/>
        <v>0</v>
      </c>
      <c r="W126" s="2"/>
      <c r="X126" s="2">
        <f t="shared" si="16"/>
        <v>6197.93</v>
      </c>
      <c r="Y126" s="2"/>
      <c r="Z126" s="19">
        <f t="shared" si="17"/>
        <v>0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>
        <v>42.24</v>
      </c>
      <c r="E127" s="2"/>
      <c r="F127" s="19">
        <f t="shared" si="10"/>
        <v>6.4787990809676249E-5</v>
      </c>
      <c r="G127" s="2"/>
      <c r="H127" s="2"/>
      <c r="I127" s="2"/>
      <c r="J127" s="19">
        <f t="shared" si="11"/>
        <v>0</v>
      </c>
      <c r="K127" s="2"/>
      <c r="L127" s="2">
        <f t="shared" si="12"/>
        <v>42.24</v>
      </c>
      <c r="M127" s="2"/>
      <c r="N127" s="19">
        <f t="shared" si="13"/>
        <v>0</v>
      </c>
      <c r="O127" s="11"/>
      <c r="P127" s="2">
        <v>2124.16</v>
      </c>
      <c r="Q127" s="2"/>
      <c r="R127" s="19">
        <f t="shared" si="14"/>
        <v>2.9741904256139787E-4</v>
      </c>
      <c r="S127" s="2"/>
      <c r="T127" s="2"/>
      <c r="U127" s="2"/>
      <c r="V127" s="19">
        <f t="shared" si="15"/>
        <v>0</v>
      </c>
      <c r="W127" s="2"/>
      <c r="X127" s="2">
        <f t="shared" si="16"/>
        <v>2124.16</v>
      </c>
      <c r="Y127" s="2"/>
      <c r="Z127" s="19">
        <f t="shared" si="17"/>
        <v>0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>
        <v>23.17</v>
      </c>
      <c r="E128" s="2"/>
      <c r="F128" s="19">
        <f t="shared" si="10"/>
        <v>3.5538298936084244E-5</v>
      </c>
      <c r="G128" s="2"/>
      <c r="H128" s="2"/>
      <c r="I128" s="2"/>
      <c r="J128" s="19">
        <f t="shared" si="11"/>
        <v>0</v>
      </c>
      <c r="K128" s="2"/>
      <c r="L128" s="2">
        <f t="shared" si="12"/>
        <v>23.17</v>
      </c>
      <c r="M128" s="2"/>
      <c r="N128" s="19">
        <f t="shared" si="13"/>
        <v>0</v>
      </c>
      <c r="O128" s="11"/>
      <c r="P128" s="2">
        <v>824.38</v>
      </c>
      <c r="Q128" s="2"/>
      <c r="R128" s="19">
        <f t="shared" si="14"/>
        <v>1.1542742086602007E-4</v>
      </c>
      <c r="S128" s="2"/>
      <c r="T128" s="2"/>
      <c r="U128" s="2"/>
      <c r="V128" s="19">
        <f t="shared" si="15"/>
        <v>0</v>
      </c>
      <c r="W128" s="2"/>
      <c r="X128" s="2">
        <f t="shared" si="16"/>
        <v>824.38</v>
      </c>
      <c r="Y128" s="2"/>
      <c r="Z128" s="19">
        <f t="shared" si="17"/>
        <v>0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>
        <v>235.9</v>
      </c>
      <c r="E129" s="2"/>
      <c r="F129" s="19">
        <f t="shared" si="10"/>
        <v>3.6182497708339549E-4</v>
      </c>
      <c r="G129" s="2"/>
      <c r="H129" s="2"/>
      <c r="I129" s="2"/>
      <c r="J129" s="19">
        <f t="shared" si="11"/>
        <v>0</v>
      </c>
      <c r="K129" s="2"/>
      <c r="L129" s="2">
        <f t="shared" si="12"/>
        <v>235.9</v>
      </c>
      <c r="M129" s="2"/>
      <c r="N129" s="19">
        <f t="shared" si="13"/>
        <v>0</v>
      </c>
      <c r="O129" s="11"/>
      <c r="P129" s="2">
        <v>3759.27</v>
      </c>
      <c r="Q129" s="2"/>
      <c r="R129" s="19">
        <f t="shared" si="14"/>
        <v>5.2636264882578818E-4</v>
      </c>
      <c r="S129" s="2"/>
      <c r="T129" s="2"/>
      <c r="U129" s="2"/>
      <c r="V129" s="19">
        <f t="shared" si="15"/>
        <v>0</v>
      </c>
      <c r="W129" s="2"/>
      <c r="X129" s="2">
        <f t="shared" si="16"/>
        <v>3759.27</v>
      </c>
      <c r="Y129" s="2"/>
      <c r="Z129" s="19">
        <f t="shared" si="17"/>
        <v>0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97946.53</v>
      </c>
      <c r="E130" s="2"/>
      <c r="F130" s="19">
        <f t="shared" si="10"/>
        <v>0.15023103422063633</v>
      </c>
      <c r="G130" s="2"/>
      <c r="H130" s="2"/>
      <c r="I130" s="2"/>
      <c r="J130" s="19">
        <f t="shared" si="11"/>
        <v>0</v>
      </c>
      <c r="K130" s="2"/>
      <c r="L130" s="2">
        <f t="shared" si="12"/>
        <v>97946.53</v>
      </c>
      <c r="M130" s="2"/>
      <c r="N130" s="19">
        <f t="shared" si="13"/>
        <v>0</v>
      </c>
      <c r="O130" s="11"/>
      <c r="P130" s="2">
        <v>716238.84000000008</v>
      </c>
      <c r="Q130" s="2"/>
      <c r="R130" s="19">
        <f t="shared" si="14"/>
        <v>0.10028579299021084</v>
      </c>
      <c r="S130" s="2"/>
      <c r="T130" s="2"/>
      <c r="U130" s="2"/>
      <c r="V130" s="19">
        <f t="shared" si="15"/>
        <v>0</v>
      </c>
      <c r="W130" s="2"/>
      <c r="X130" s="2">
        <f t="shared" si="16"/>
        <v>716238.84000000008</v>
      </c>
      <c r="Y130" s="2"/>
      <c r="Z130" s="19">
        <f t="shared" si="17"/>
        <v>0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20607.12</v>
      </c>
      <c r="E131" s="2"/>
      <c r="F131" s="19">
        <f t="shared" si="10"/>
        <v>3.1607336675518356E-2</v>
      </c>
      <c r="G131" s="2"/>
      <c r="H131" s="2"/>
      <c r="I131" s="2"/>
      <c r="J131" s="19">
        <f t="shared" si="11"/>
        <v>0</v>
      </c>
      <c r="K131" s="2"/>
      <c r="L131" s="2">
        <f t="shared" si="12"/>
        <v>20607.12</v>
      </c>
      <c r="M131" s="2"/>
      <c r="N131" s="19">
        <f t="shared" si="13"/>
        <v>0</v>
      </c>
      <c r="O131" s="11"/>
      <c r="P131" s="2">
        <v>109403.67</v>
      </c>
      <c r="Q131" s="2"/>
      <c r="R131" s="19">
        <f t="shared" si="14"/>
        <v>1.5318401054583049E-2</v>
      </c>
      <c r="S131" s="2"/>
      <c r="T131" s="2"/>
      <c r="U131" s="2"/>
      <c r="V131" s="19">
        <f t="shared" si="15"/>
        <v>0</v>
      </c>
      <c r="W131" s="2"/>
      <c r="X131" s="2">
        <f t="shared" si="16"/>
        <v>109403.67</v>
      </c>
      <c r="Y131" s="2"/>
      <c r="Z131" s="19">
        <f t="shared" si="17"/>
        <v>0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7822.79</v>
      </c>
      <c r="E132" s="2"/>
      <c r="F132" s="19">
        <f t="shared" si="10"/>
        <v>1.1998646937169205E-2</v>
      </c>
      <c r="G132" s="2"/>
      <c r="H132" s="2"/>
      <c r="I132" s="2"/>
      <c r="J132" s="19">
        <f t="shared" si="11"/>
        <v>0</v>
      </c>
      <c r="K132" s="2"/>
      <c r="L132" s="2">
        <f t="shared" si="12"/>
        <v>7822.79</v>
      </c>
      <c r="M132" s="2"/>
      <c r="N132" s="19">
        <f t="shared" si="13"/>
        <v>0</v>
      </c>
      <c r="O132" s="11"/>
      <c r="P132" s="2">
        <v>88388.11</v>
      </c>
      <c r="Q132" s="2"/>
      <c r="R132" s="19">
        <f t="shared" si="14"/>
        <v>1.237586012824435E-2</v>
      </c>
      <c r="S132" s="2"/>
      <c r="T132" s="2"/>
      <c r="U132" s="2"/>
      <c r="V132" s="19">
        <f t="shared" si="15"/>
        <v>0</v>
      </c>
      <c r="W132" s="2"/>
      <c r="X132" s="2">
        <f t="shared" si="16"/>
        <v>88388.11</v>
      </c>
      <c r="Y132" s="2"/>
      <c r="Z132" s="19">
        <f t="shared" si="17"/>
        <v>0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3256.15</v>
      </c>
      <c r="E133" s="2"/>
      <c r="F133" s="19">
        <f t="shared" si="10"/>
        <v>4.9943043625693016E-3</v>
      </c>
      <c r="G133" s="2"/>
      <c r="H133" s="2"/>
      <c r="I133" s="2"/>
      <c r="J133" s="19">
        <f t="shared" si="11"/>
        <v>0</v>
      </c>
      <c r="K133" s="2"/>
      <c r="L133" s="2">
        <f t="shared" si="12"/>
        <v>3256.15</v>
      </c>
      <c r="M133" s="2"/>
      <c r="N133" s="19">
        <f t="shared" si="13"/>
        <v>0</v>
      </c>
      <c r="O133" s="11"/>
      <c r="P133" s="2">
        <v>6784.89</v>
      </c>
      <c r="Q133" s="2"/>
      <c r="R133" s="19">
        <f t="shared" si="14"/>
        <v>9.5000164191228669E-4</v>
      </c>
      <c r="S133" s="2"/>
      <c r="T133" s="2"/>
      <c r="U133" s="2"/>
      <c r="V133" s="19">
        <f t="shared" si="15"/>
        <v>0</v>
      </c>
      <c r="W133" s="2"/>
      <c r="X133" s="2">
        <f t="shared" si="16"/>
        <v>6784.89</v>
      </c>
      <c r="Y133" s="2"/>
      <c r="Z133" s="19">
        <f t="shared" si="17"/>
        <v>0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432</v>
      </c>
      <c r="E134" s="2"/>
      <c r="F134" s="19">
        <f t="shared" si="10"/>
        <v>6.626044514625979E-4</v>
      </c>
      <c r="G134" s="2"/>
      <c r="H134" s="2"/>
      <c r="I134" s="2"/>
      <c r="J134" s="19">
        <f t="shared" si="11"/>
        <v>0</v>
      </c>
      <c r="K134" s="2"/>
      <c r="L134" s="2">
        <f t="shared" si="12"/>
        <v>432</v>
      </c>
      <c r="M134" s="2"/>
      <c r="N134" s="19">
        <f t="shared" si="13"/>
        <v>0</v>
      </c>
      <c r="O134" s="11"/>
      <c r="P134" s="2">
        <v>17687.580000000002</v>
      </c>
      <c r="Q134" s="2"/>
      <c r="R134" s="19">
        <f t="shared" si="14"/>
        <v>2.4765663174281271E-3</v>
      </c>
      <c r="S134" s="2"/>
      <c r="T134" s="2"/>
      <c r="U134" s="2"/>
      <c r="V134" s="19">
        <f t="shared" si="15"/>
        <v>0</v>
      </c>
      <c r="W134" s="2"/>
      <c r="X134" s="2">
        <f t="shared" si="16"/>
        <v>17687.580000000002</v>
      </c>
      <c r="Y134" s="2"/>
      <c r="Z134" s="19">
        <f t="shared" si="17"/>
        <v>0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-1045.9100000000001</v>
      </c>
      <c r="E135" s="2"/>
      <c r="F135" s="19">
        <f t="shared" si="10"/>
        <v>-1.6042236616417727E-3</v>
      </c>
      <c r="G135" s="2"/>
      <c r="H135" s="2"/>
      <c r="I135" s="2"/>
      <c r="J135" s="19">
        <f t="shared" si="11"/>
        <v>0</v>
      </c>
      <c r="K135" s="2"/>
      <c r="L135" s="2">
        <f t="shared" si="12"/>
        <v>-1045.9100000000001</v>
      </c>
      <c r="M135" s="2"/>
      <c r="N135" s="19">
        <f t="shared" si="13"/>
        <v>0</v>
      </c>
      <c r="O135" s="11"/>
      <c r="P135" s="2">
        <v>41180.579999999994</v>
      </c>
      <c r="Q135" s="2"/>
      <c r="R135" s="19">
        <f t="shared" si="14"/>
        <v>5.7659915805415079E-3</v>
      </c>
      <c r="S135" s="2"/>
      <c r="T135" s="2"/>
      <c r="U135" s="2"/>
      <c r="V135" s="19">
        <f t="shared" si="15"/>
        <v>0</v>
      </c>
      <c r="W135" s="2"/>
      <c r="X135" s="2">
        <f t="shared" si="16"/>
        <v>41180.579999999994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70856.59</v>
      </c>
      <c r="E136" s="2"/>
      <c r="F136" s="19">
        <f t="shared" si="10"/>
        <v>0.10868030543856527</v>
      </c>
      <c r="G136" s="2"/>
      <c r="H136" s="2"/>
      <c r="I136" s="2"/>
      <c r="J136" s="19">
        <f t="shared" si="11"/>
        <v>0</v>
      </c>
      <c r="K136" s="2"/>
      <c r="L136" s="2">
        <f t="shared" si="12"/>
        <v>70856.59</v>
      </c>
      <c r="M136" s="2"/>
      <c r="N136" s="19">
        <f t="shared" si="13"/>
        <v>0</v>
      </c>
      <c r="O136" s="11"/>
      <c r="P136" s="2">
        <v>783872.38</v>
      </c>
      <c r="Q136" s="2"/>
      <c r="R136" s="19">
        <f t="shared" si="14"/>
        <v>0.10975565529429246</v>
      </c>
      <c r="S136" s="2"/>
      <c r="T136" s="2"/>
      <c r="U136" s="2"/>
      <c r="V136" s="19">
        <f t="shared" si="15"/>
        <v>0</v>
      </c>
      <c r="W136" s="2"/>
      <c r="X136" s="2">
        <f t="shared" si="16"/>
        <v>783872.38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>
        <v>24547.37</v>
      </c>
      <c r="E137" s="2"/>
      <c r="F137" s="19">
        <f t="shared" si="10"/>
        <v>3.7650918133563499E-2</v>
      </c>
      <c r="G137" s="2"/>
      <c r="H137" s="2"/>
      <c r="I137" s="2"/>
      <c r="J137" s="19">
        <f t="shared" si="11"/>
        <v>0</v>
      </c>
      <c r="K137" s="2"/>
      <c r="L137" s="2">
        <f t="shared" si="12"/>
        <v>24547.37</v>
      </c>
      <c r="M137" s="2"/>
      <c r="N137" s="19">
        <f t="shared" si="13"/>
        <v>0</v>
      </c>
      <c r="O137" s="11"/>
      <c r="P137" s="2">
        <v>-9613.84</v>
      </c>
      <c r="Q137" s="2"/>
      <c r="R137" s="19">
        <f t="shared" si="14"/>
        <v>-1.3461034423670861E-3</v>
      </c>
      <c r="S137" s="2"/>
      <c r="T137" s="2"/>
      <c r="U137" s="2"/>
      <c r="V137" s="19">
        <f t="shared" si="15"/>
        <v>0</v>
      </c>
      <c r="W137" s="2"/>
      <c r="X137" s="2">
        <f t="shared" si="16"/>
        <v>-9613.84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>
        <v>526.74</v>
      </c>
      <c r="E138" s="2"/>
      <c r="F138" s="19">
        <f t="shared" si="10"/>
        <v>8.0791728880418717E-4</v>
      </c>
      <c r="G138" s="2"/>
      <c r="H138" s="2"/>
      <c r="I138" s="2"/>
      <c r="J138" s="19">
        <f t="shared" si="11"/>
        <v>0</v>
      </c>
      <c r="K138" s="2"/>
      <c r="L138" s="2">
        <f t="shared" si="12"/>
        <v>526.74</v>
      </c>
      <c r="M138" s="2"/>
      <c r="N138" s="19">
        <f t="shared" si="13"/>
        <v>0</v>
      </c>
      <c r="O138" s="11"/>
      <c r="P138" s="2">
        <v>1771.55</v>
      </c>
      <c r="Q138" s="2"/>
      <c r="R138" s="19">
        <f t="shared" si="14"/>
        <v>2.4804755990586602E-4</v>
      </c>
      <c r="S138" s="2"/>
      <c r="T138" s="2"/>
      <c r="U138" s="2"/>
      <c r="V138" s="19">
        <f t="shared" si="15"/>
        <v>0</v>
      </c>
      <c r="W138" s="2"/>
      <c r="X138" s="2">
        <f t="shared" si="16"/>
        <v>1771.55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>
        <v>105</v>
      </c>
      <c r="E139" s="2"/>
      <c r="F139" s="19">
        <f t="shared" si="10"/>
        <v>1.6104969306382589E-4</v>
      </c>
      <c r="G139" s="2"/>
      <c r="H139" s="2"/>
      <c r="I139" s="2"/>
      <c r="J139" s="19">
        <f t="shared" si="11"/>
        <v>0</v>
      </c>
      <c r="K139" s="2"/>
      <c r="L139" s="2">
        <f t="shared" si="12"/>
        <v>105</v>
      </c>
      <c r="M139" s="2"/>
      <c r="N139" s="19">
        <f t="shared" si="13"/>
        <v>0</v>
      </c>
      <c r="O139" s="11"/>
      <c r="P139" s="2">
        <v>349.6</v>
      </c>
      <c r="Q139" s="2"/>
      <c r="R139" s="19">
        <f t="shared" si="14"/>
        <v>4.8950030731896232E-5</v>
      </c>
      <c r="S139" s="2"/>
      <c r="T139" s="2"/>
      <c r="U139" s="2"/>
      <c r="V139" s="19">
        <f t="shared" si="15"/>
        <v>0</v>
      </c>
      <c r="W139" s="2"/>
      <c r="X139" s="2">
        <f t="shared" si="16"/>
        <v>349.6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>
        <v>147.19999999999999</v>
      </c>
      <c r="E140" s="2"/>
      <c r="F140" s="19">
        <f t="shared" si="10"/>
        <v>2.2577633160947779E-4</v>
      </c>
      <c r="G140" s="2"/>
      <c r="H140" s="2"/>
      <c r="I140" s="2"/>
      <c r="J140" s="19">
        <f t="shared" si="11"/>
        <v>0</v>
      </c>
      <c r="K140" s="2"/>
      <c r="L140" s="2">
        <f t="shared" si="12"/>
        <v>147.19999999999999</v>
      </c>
      <c r="M140" s="2"/>
      <c r="N140" s="19">
        <f t="shared" si="13"/>
        <v>0</v>
      </c>
      <c r="O140" s="11"/>
      <c r="P140" s="2">
        <v>379.35</v>
      </c>
      <c r="Q140" s="2"/>
      <c r="R140" s="19">
        <f t="shared" si="14"/>
        <v>5.311554393062024E-5</v>
      </c>
      <c r="S140" s="2"/>
      <c r="T140" s="2"/>
      <c r="U140" s="2"/>
      <c r="V140" s="19">
        <f t="shared" si="15"/>
        <v>0</v>
      </c>
      <c r="W140" s="2"/>
      <c r="X140" s="2">
        <f t="shared" si="16"/>
        <v>379.35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>
        <v>151.26</v>
      </c>
      <c r="E141" s="2"/>
      <c r="F141" s="19">
        <f t="shared" si="10"/>
        <v>2.3200358640794574E-4</v>
      </c>
      <c r="G141" s="2"/>
      <c r="H141" s="2"/>
      <c r="I141" s="2"/>
      <c r="J141" s="19">
        <f t="shared" si="11"/>
        <v>0</v>
      </c>
      <c r="K141" s="2"/>
      <c r="L141" s="2">
        <f t="shared" si="12"/>
        <v>151.26</v>
      </c>
      <c r="M141" s="2"/>
      <c r="N141" s="19">
        <f t="shared" si="13"/>
        <v>0</v>
      </c>
      <c r="O141" s="11"/>
      <c r="P141" s="2">
        <v>379.26</v>
      </c>
      <c r="Q141" s="2"/>
      <c r="R141" s="19">
        <f t="shared" si="14"/>
        <v>5.3102942378086286E-5</v>
      </c>
      <c r="S141" s="2"/>
      <c r="T141" s="2"/>
      <c r="U141" s="2"/>
      <c r="V141" s="19">
        <f t="shared" si="15"/>
        <v>0</v>
      </c>
      <c r="W141" s="2"/>
      <c r="X141" s="2">
        <f t="shared" si="16"/>
        <v>379.26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/>
      <c r="E142" s="2"/>
      <c r="F142" s="19">
        <f t="shared" si="10"/>
        <v>0</v>
      </c>
      <c r="G142" s="2"/>
      <c r="H142" s="2"/>
      <c r="I142" s="2"/>
      <c r="J142" s="19">
        <f t="shared" si="11"/>
        <v>0</v>
      </c>
      <c r="K142" s="2"/>
      <c r="L142" s="2">
        <f t="shared" si="12"/>
        <v>0</v>
      </c>
      <c r="M142" s="2"/>
      <c r="N142" s="19">
        <f t="shared" si="13"/>
        <v>0</v>
      </c>
      <c r="O142" s="11"/>
      <c r="P142" s="2">
        <v>1924.14</v>
      </c>
      <c r="Q142" s="2"/>
      <c r="R142" s="19">
        <f t="shared" si="14"/>
        <v>2.6941279214093484E-4</v>
      </c>
      <c r="S142" s="2"/>
      <c r="T142" s="2"/>
      <c r="U142" s="2"/>
      <c r="V142" s="19">
        <f t="shared" si="15"/>
        <v>0</v>
      </c>
      <c r="W142" s="2"/>
      <c r="X142" s="2">
        <f t="shared" si="16"/>
        <v>1924.14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0</v>
      </c>
      <c r="Q143" s="2"/>
      <c r="R143" s="19">
        <f t="shared" si="14"/>
        <v>0</v>
      </c>
      <c r="S143" s="2"/>
      <c r="T143" s="2"/>
      <c r="U143" s="2"/>
      <c r="V143" s="19">
        <f t="shared" si="15"/>
        <v>0</v>
      </c>
      <c r="W143" s="2"/>
      <c r="X143" s="2">
        <f t="shared" si="16"/>
        <v>0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-362376</v>
      </c>
      <c r="E144" s="2"/>
      <c r="F144" s="19">
        <f t="shared" si="10"/>
        <v>-0.55581470070187589</v>
      </c>
      <c r="G144" s="2"/>
      <c r="H144" s="2"/>
      <c r="I144" s="2"/>
      <c r="J144" s="19">
        <f t="shared" si="11"/>
        <v>0</v>
      </c>
      <c r="K144" s="2"/>
      <c r="L144" s="2">
        <f t="shared" si="12"/>
        <v>-362376</v>
      </c>
      <c r="M144" s="2"/>
      <c r="N144" s="19">
        <f t="shared" si="13"/>
        <v>0</v>
      </c>
      <c r="O144" s="11"/>
      <c r="P144" s="2">
        <v>-2986522</v>
      </c>
      <c r="Q144" s="2"/>
      <c r="R144" s="19">
        <f t="shared" si="14"/>
        <v>-0.41816459863124772</v>
      </c>
      <c r="S144" s="2"/>
      <c r="T144" s="2"/>
      <c r="U144" s="2"/>
      <c r="V144" s="19">
        <f t="shared" si="15"/>
        <v>0</v>
      </c>
      <c r="W144" s="2"/>
      <c r="X144" s="2">
        <f t="shared" si="16"/>
        <v>-2986522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170192.47</v>
      </c>
      <c r="E145" s="2"/>
      <c r="F145" s="19">
        <f t="shared" si="10"/>
        <v>0.26104233385975617</v>
      </c>
      <c r="G145" s="2"/>
      <c r="H145" s="2"/>
      <c r="I145" s="2"/>
      <c r="J145" s="19">
        <f t="shared" si="11"/>
        <v>0</v>
      </c>
      <c r="K145" s="2"/>
      <c r="L145" s="2">
        <f t="shared" si="12"/>
        <v>170192.47</v>
      </c>
      <c r="M145" s="2"/>
      <c r="N145" s="19">
        <f t="shared" si="13"/>
        <v>0</v>
      </c>
      <c r="O145" s="11"/>
      <c r="P145" s="2">
        <v>2513090.4700000002</v>
      </c>
      <c r="Q145" s="2"/>
      <c r="R145" s="19">
        <f t="shared" si="14"/>
        <v>0.35187601755874015</v>
      </c>
      <c r="S145" s="2"/>
      <c r="T145" s="2"/>
      <c r="U145" s="2"/>
      <c r="V145" s="19">
        <f t="shared" si="15"/>
        <v>0</v>
      </c>
      <c r="W145" s="2"/>
      <c r="X145" s="2">
        <f t="shared" si="16"/>
        <v>2513090.4700000002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>
        <v>80</v>
      </c>
      <c r="E146" s="2"/>
      <c r="F146" s="19">
        <f t="shared" si="10"/>
        <v>1.2270452804862925E-4</v>
      </c>
      <c r="G146" s="2"/>
      <c r="H146" s="2"/>
      <c r="I146" s="2"/>
      <c r="J146" s="19">
        <f t="shared" si="11"/>
        <v>0</v>
      </c>
      <c r="K146" s="2"/>
      <c r="L146" s="2">
        <f t="shared" si="12"/>
        <v>80</v>
      </c>
      <c r="M146" s="2"/>
      <c r="N146" s="19">
        <f t="shared" si="13"/>
        <v>0</v>
      </c>
      <c r="O146" s="11"/>
      <c r="P146" s="2">
        <v>115.23</v>
      </c>
      <c r="Q146" s="2"/>
      <c r="R146" s="19">
        <f t="shared" si="14"/>
        <v>1.6134187760973692E-5</v>
      </c>
      <c r="S146" s="2"/>
      <c r="T146" s="2"/>
      <c r="U146" s="2"/>
      <c r="V146" s="19">
        <f t="shared" si="15"/>
        <v>0</v>
      </c>
      <c r="W146" s="2"/>
      <c r="X146" s="2">
        <f t="shared" si="16"/>
        <v>115.23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4162.3900000000003</v>
      </c>
      <c r="E147" s="2"/>
      <c r="F147" s="19">
        <f t="shared" si="10"/>
        <v>6.3843012563041743E-3</v>
      </c>
      <c r="G147" s="2"/>
      <c r="H147" s="2"/>
      <c r="I147" s="2"/>
      <c r="J147" s="19">
        <f t="shared" si="11"/>
        <v>0</v>
      </c>
      <c r="K147" s="2"/>
      <c r="L147" s="2">
        <f t="shared" si="12"/>
        <v>4162.3900000000003</v>
      </c>
      <c r="M147" s="2"/>
      <c r="N147" s="19">
        <f t="shared" si="13"/>
        <v>0</v>
      </c>
      <c r="O147" s="11"/>
      <c r="P147" s="2">
        <v>38669.939999999995</v>
      </c>
      <c r="Q147" s="2"/>
      <c r="R147" s="19">
        <f t="shared" si="14"/>
        <v>5.4144586710542994E-3</v>
      </c>
      <c r="S147" s="2"/>
      <c r="T147" s="2"/>
      <c r="U147" s="2"/>
      <c r="V147" s="19">
        <f t="shared" si="15"/>
        <v>0</v>
      </c>
      <c r="W147" s="2"/>
      <c r="X147" s="2">
        <f t="shared" si="16"/>
        <v>38669.939999999995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563.29999999999995</v>
      </c>
      <c r="E148" s="2"/>
      <c r="F148" s="19">
        <f t="shared" si="10"/>
        <v>8.6399325812241056E-4</v>
      </c>
      <c r="G148" s="2"/>
      <c r="H148" s="2"/>
      <c r="I148" s="2"/>
      <c r="J148" s="19">
        <f t="shared" si="11"/>
        <v>0</v>
      </c>
      <c r="K148" s="2"/>
      <c r="L148" s="2">
        <f t="shared" si="12"/>
        <v>563.29999999999995</v>
      </c>
      <c r="M148" s="2"/>
      <c r="N148" s="19">
        <f t="shared" si="13"/>
        <v>0</v>
      </c>
      <c r="O148" s="11"/>
      <c r="P148" s="2">
        <v>7653.42</v>
      </c>
      <c r="Q148" s="2"/>
      <c r="R148" s="19">
        <f t="shared" si="14"/>
        <v>1.0716108243824635E-3</v>
      </c>
      <c r="S148" s="2"/>
      <c r="T148" s="2"/>
      <c r="U148" s="2"/>
      <c r="V148" s="19">
        <f t="shared" si="15"/>
        <v>0</v>
      </c>
      <c r="W148" s="2"/>
      <c r="X148" s="2">
        <f t="shared" si="16"/>
        <v>7653.42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10"/>
        <v>0</v>
      </c>
      <c r="G149" s="2"/>
      <c r="H149" s="2"/>
      <c r="I149" s="2"/>
      <c r="J149" s="19">
        <f t="shared" si="11"/>
        <v>0</v>
      </c>
      <c r="K149" s="2"/>
      <c r="L149" s="2">
        <f t="shared" si="12"/>
        <v>0</v>
      </c>
      <c r="M149" s="2"/>
      <c r="N149" s="19">
        <f t="shared" si="13"/>
        <v>0</v>
      </c>
      <c r="O149" s="11"/>
      <c r="P149" s="2">
        <v>105.97</v>
      </c>
      <c r="Q149" s="2"/>
      <c r="R149" s="19">
        <f t="shared" si="14"/>
        <v>1.4837628022480102E-5</v>
      </c>
      <c r="S149" s="2"/>
      <c r="T149" s="2"/>
      <c r="U149" s="2"/>
      <c r="V149" s="19">
        <f t="shared" si="15"/>
        <v>0</v>
      </c>
      <c r="W149" s="2"/>
      <c r="X149" s="2">
        <f t="shared" si="16"/>
        <v>105.97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>
        <v>9.08</v>
      </c>
      <c r="E150" s="2"/>
      <c r="F150" s="19">
        <f t="shared" si="10"/>
        <v>1.392696393351942E-5</v>
      </c>
      <c r="G150" s="2"/>
      <c r="H150" s="2"/>
      <c r="I150" s="2"/>
      <c r="J150" s="19">
        <f t="shared" si="11"/>
        <v>0</v>
      </c>
      <c r="K150" s="2"/>
      <c r="L150" s="2">
        <f t="shared" si="12"/>
        <v>9.08</v>
      </c>
      <c r="M150" s="2"/>
      <c r="N150" s="19">
        <f t="shared" si="13"/>
        <v>0</v>
      </c>
      <c r="O150" s="11"/>
      <c r="P150" s="2">
        <v>21.41</v>
      </c>
      <c r="Q150" s="2"/>
      <c r="R150" s="19">
        <f t="shared" si="14"/>
        <v>2.9977693305775124E-6</v>
      </c>
      <c r="S150" s="2"/>
      <c r="T150" s="2"/>
      <c r="U150" s="2"/>
      <c r="V150" s="19">
        <f t="shared" si="15"/>
        <v>0</v>
      </c>
      <c r="W150" s="2"/>
      <c r="X150" s="2">
        <f t="shared" si="16"/>
        <v>21.41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>
        <v>8.8699999999999992</v>
      </c>
      <c r="E151" s="2"/>
      <c r="F151" s="19">
        <f t="shared" si="10"/>
        <v>1.3604864547391767E-5</v>
      </c>
      <c r="G151" s="2"/>
      <c r="H151" s="2"/>
      <c r="I151" s="2"/>
      <c r="J151" s="19">
        <f t="shared" si="11"/>
        <v>0</v>
      </c>
      <c r="K151" s="2"/>
      <c r="L151" s="2">
        <f t="shared" si="12"/>
        <v>8.8699999999999992</v>
      </c>
      <c r="M151" s="2"/>
      <c r="N151" s="19">
        <f t="shared" si="13"/>
        <v>0</v>
      </c>
      <c r="O151" s="11"/>
      <c r="P151" s="2">
        <v>21.13</v>
      </c>
      <c r="Q151" s="2"/>
      <c r="R151" s="19">
        <f t="shared" si="14"/>
        <v>2.9585645004718743E-6</v>
      </c>
      <c r="S151" s="2"/>
      <c r="T151" s="2"/>
      <c r="U151" s="2"/>
      <c r="V151" s="19">
        <f t="shared" si="15"/>
        <v>0</v>
      </c>
      <c r="W151" s="2"/>
      <c r="X151" s="2">
        <f t="shared" si="16"/>
        <v>21.13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>
        <v>247.49</v>
      </c>
      <c r="E152" s="2"/>
      <c r="F152" s="19">
        <f t="shared" si="10"/>
        <v>3.7960179558444064E-4</v>
      </c>
      <c r="G152" s="2"/>
      <c r="H152" s="2"/>
      <c r="I152" s="2"/>
      <c r="J152" s="19">
        <f t="shared" si="11"/>
        <v>0</v>
      </c>
      <c r="K152" s="2"/>
      <c r="L152" s="2">
        <f t="shared" si="12"/>
        <v>247.49</v>
      </c>
      <c r="M152" s="2"/>
      <c r="N152" s="19">
        <f t="shared" si="13"/>
        <v>0</v>
      </c>
      <c r="O152" s="11"/>
      <c r="P152" s="2">
        <v>622.41</v>
      </c>
      <c r="Q152" s="2"/>
      <c r="R152" s="19">
        <f t="shared" si="14"/>
        <v>8.7148136807321317E-5</v>
      </c>
      <c r="S152" s="2"/>
      <c r="T152" s="2"/>
      <c r="U152" s="2"/>
      <c r="V152" s="19">
        <f t="shared" si="15"/>
        <v>0</v>
      </c>
      <c r="W152" s="2"/>
      <c r="X152" s="2">
        <f t="shared" si="16"/>
        <v>622.41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>
        <v>42.86</v>
      </c>
      <c r="E153" s="2"/>
      <c r="F153" s="19">
        <f t="shared" si="10"/>
        <v>6.5738950902053116E-5</v>
      </c>
      <c r="G153" s="2"/>
      <c r="H153" s="2"/>
      <c r="I153" s="2"/>
      <c r="J153" s="19">
        <f t="shared" si="11"/>
        <v>0</v>
      </c>
      <c r="K153" s="2"/>
      <c r="L153" s="2">
        <f t="shared" si="12"/>
        <v>42.86</v>
      </c>
      <c r="M153" s="2"/>
      <c r="N153" s="19">
        <f t="shared" si="13"/>
        <v>0</v>
      </c>
      <c r="O153" s="11"/>
      <c r="P153" s="2">
        <v>260.35000000000002</v>
      </c>
      <c r="Q153" s="2"/>
      <c r="R153" s="19">
        <f t="shared" si="14"/>
        <v>3.6453491135724217E-5</v>
      </c>
      <c r="S153" s="2"/>
      <c r="T153" s="2"/>
      <c r="U153" s="2"/>
      <c r="V153" s="19">
        <f t="shared" si="15"/>
        <v>0</v>
      </c>
      <c r="W153" s="2"/>
      <c r="X153" s="2">
        <f t="shared" si="16"/>
        <v>260.35000000000002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>
        <v>25.34</v>
      </c>
      <c r="E154" s="2"/>
      <c r="F154" s="19">
        <f t="shared" si="10"/>
        <v>3.8866659259403311E-5</v>
      </c>
      <c r="G154" s="2"/>
      <c r="H154" s="2"/>
      <c r="I154" s="2"/>
      <c r="J154" s="19">
        <f t="shared" si="11"/>
        <v>0</v>
      </c>
      <c r="K154" s="2"/>
      <c r="L154" s="2">
        <f t="shared" si="12"/>
        <v>25.34</v>
      </c>
      <c r="M154" s="2"/>
      <c r="N154" s="19">
        <f t="shared" si="13"/>
        <v>0</v>
      </c>
      <c r="O154" s="11"/>
      <c r="P154" s="2">
        <v>897.92</v>
      </c>
      <c r="Q154" s="2"/>
      <c r="R154" s="19">
        <f t="shared" si="14"/>
        <v>1.2572428945876505E-4</v>
      </c>
      <c r="S154" s="2"/>
      <c r="T154" s="2"/>
      <c r="U154" s="2"/>
      <c r="V154" s="19">
        <f t="shared" si="15"/>
        <v>0</v>
      </c>
      <c r="W154" s="2"/>
      <c r="X154" s="2">
        <f t="shared" si="16"/>
        <v>897.92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187.14</v>
      </c>
      <c r="E155" s="2"/>
      <c r="F155" s="19">
        <f t="shared" si="10"/>
        <v>2.8703656723775596E-4</v>
      </c>
      <c r="G155" s="2"/>
      <c r="H155" s="2"/>
      <c r="I155" s="2"/>
      <c r="J155" s="19">
        <f t="shared" si="11"/>
        <v>0</v>
      </c>
      <c r="K155" s="2"/>
      <c r="L155" s="2">
        <f t="shared" si="12"/>
        <v>187.14</v>
      </c>
      <c r="M155" s="2"/>
      <c r="N155" s="19">
        <f t="shared" si="13"/>
        <v>0</v>
      </c>
      <c r="O155" s="11"/>
      <c r="P155" s="2">
        <v>1110.6400000000001</v>
      </c>
      <c r="Q155" s="2"/>
      <c r="R155" s="19">
        <f t="shared" si="14"/>
        <v>1.5550875895901955E-4</v>
      </c>
      <c r="S155" s="2"/>
      <c r="T155" s="2"/>
      <c r="U155" s="2"/>
      <c r="V155" s="19">
        <f t="shared" si="15"/>
        <v>0</v>
      </c>
      <c r="W155" s="2"/>
      <c r="X155" s="2">
        <f t="shared" si="16"/>
        <v>1110.6400000000001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4036.06</v>
      </c>
      <c r="E156" s="2"/>
      <c r="F156" s="19">
        <f t="shared" si="10"/>
        <v>6.1905354684493822E-3</v>
      </c>
      <c r="G156" s="2"/>
      <c r="H156" s="2"/>
      <c r="I156" s="2"/>
      <c r="J156" s="19">
        <f t="shared" si="11"/>
        <v>0</v>
      </c>
      <c r="K156" s="2"/>
      <c r="L156" s="2">
        <f t="shared" si="12"/>
        <v>4036.06</v>
      </c>
      <c r="M156" s="2"/>
      <c r="N156" s="19">
        <f t="shared" si="13"/>
        <v>0</v>
      </c>
      <c r="O156" s="11"/>
      <c r="P156" s="2">
        <v>24277.390000000003</v>
      </c>
      <c r="Q156" s="2"/>
      <c r="R156" s="19">
        <f t="shared" si="14"/>
        <v>3.3992533941368148E-3</v>
      </c>
      <c r="S156" s="2"/>
      <c r="T156" s="2"/>
      <c r="U156" s="2"/>
      <c r="V156" s="19">
        <f t="shared" si="15"/>
        <v>0</v>
      </c>
      <c r="W156" s="2"/>
      <c r="X156" s="2">
        <f t="shared" si="16"/>
        <v>24277.390000000003</v>
      </c>
      <c r="Y156" s="2"/>
      <c r="Z156" s="19">
        <f t="shared" si="17"/>
        <v>0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709.94</v>
      </c>
      <c r="E157" s="2"/>
      <c r="F157" s="19">
        <f t="shared" si="10"/>
        <v>1.0889106580355482E-3</v>
      </c>
      <c r="G157" s="2"/>
      <c r="H157" s="2"/>
      <c r="I157" s="2"/>
      <c r="J157" s="19">
        <f t="shared" si="11"/>
        <v>0</v>
      </c>
      <c r="K157" s="2"/>
      <c r="L157" s="2">
        <f t="shared" si="12"/>
        <v>709.94</v>
      </c>
      <c r="M157" s="2"/>
      <c r="N157" s="19">
        <f t="shared" si="13"/>
        <v>0</v>
      </c>
      <c r="O157" s="11"/>
      <c r="P157" s="2">
        <v>3562.77</v>
      </c>
      <c r="Q157" s="2"/>
      <c r="R157" s="19">
        <f t="shared" si="14"/>
        <v>4.9884925912665318E-4</v>
      </c>
      <c r="S157" s="2"/>
      <c r="T157" s="2"/>
      <c r="U157" s="2"/>
      <c r="V157" s="19">
        <f t="shared" si="15"/>
        <v>0</v>
      </c>
      <c r="W157" s="2"/>
      <c r="X157" s="2">
        <f t="shared" si="16"/>
        <v>3562.77</v>
      </c>
      <c r="Y157" s="2"/>
      <c r="Z157" s="19">
        <f t="shared" si="17"/>
        <v>0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>
        <v>194.82</v>
      </c>
      <c r="E158" s="2"/>
      <c r="F158" s="19">
        <f t="shared" si="10"/>
        <v>2.9881620193042435E-4</v>
      </c>
      <c r="G158" s="2"/>
      <c r="H158" s="2"/>
      <c r="I158" s="2"/>
      <c r="J158" s="19">
        <f t="shared" si="11"/>
        <v>0</v>
      </c>
      <c r="K158" s="2"/>
      <c r="L158" s="2">
        <f t="shared" si="12"/>
        <v>194.82</v>
      </c>
      <c r="M158" s="2"/>
      <c r="N158" s="19">
        <f t="shared" si="13"/>
        <v>0</v>
      </c>
      <c r="O158" s="11"/>
      <c r="P158" s="2">
        <v>1708.33</v>
      </c>
      <c r="Q158" s="2"/>
      <c r="R158" s="19">
        <f t="shared" si="14"/>
        <v>2.3919566933701454E-4</v>
      </c>
      <c r="S158" s="2"/>
      <c r="T158" s="2"/>
      <c r="U158" s="2"/>
      <c r="V158" s="19">
        <f t="shared" si="15"/>
        <v>0</v>
      </c>
      <c r="W158" s="2"/>
      <c r="X158" s="2">
        <f t="shared" si="16"/>
        <v>1708.33</v>
      </c>
      <c r="Y158" s="2"/>
      <c r="Z158" s="19">
        <f t="shared" si="17"/>
        <v>0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>
        <v>77.760000000000005</v>
      </c>
      <c r="E159" s="2"/>
      <c r="F159" s="19">
        <f t="shared" si="10"/>
        <v>1.1926880126326763E-4</v>
      </c>
      <c r="G159" s="2"/>
      <c r="H159" s="2"/>
      <c r="I159" s="2"/>
      <c r="J159" s="19">
        <f t="shared" si="11"/>
        <v>0</v>
      </c>
      <c r="K159" s="2"/>
      <c r="L159" s="2">
        <f t="shared" si="12"/>
        <v>77.760000000000005</v>
      </c>
      <c r="M159" s="2"/>
      <c r="N159" s="19">
        <f t="shared" si="13"/>
        <v>0</v>
      </c>
      <c r="O159" s="11"/>
      <c r="P159" s="2">
        <v>121.35</v>
      </c>
      <c r="Q159" s="2"/>
      <c r="R159" s="19">
        <f t="shared" si="14"/>
        <v>1.6991093333282631E-5</v>
      </c>
      <c r="S159" s="2"/>
      <c r="T159" s="2"/>
      <c r="U159" s="2"/>
      <c r="V159" s="19">
        <f t="shared" si="15"/>
        <v>0</v>
      </c>
      <c r="W159" s="2"/>
      <c r="X159" s="2">
        <f t="shared" si="16"/>
        <v>121.35</v>
      </c>
      <c r="Y159" s="2"/>
      <c r="Z159" s="19">
        <f t="shared" si="17"/>
        <v>0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>
        <v>28.4</v>
      </c>
      <c r="E160" s="2"/>
      <c r="F160" s="19">
        <f t="shared" si="10"/>
        <v>4.356010745726338E-5</v>
      </c>
      <c r="G160" s="2"/>
      <c r="H160" s="2"/>
      <c r="I160" s="2"/>
      <c r="J160" s="19">
        <f t="shared" si="11"/>
        <v>0</v>
      </c>
      <c r="K160" s="2"/>
      <c r="L160" s="2">
        <f t="shared" si="12"/>
        <v>28.4</v>
      </c>
      <c r="M160" s="2"/>
      <c r="N160" s="19">
        <f t="shared" si="13"/>
        <v>0</v>
      </c>
      <c r="O160" s="11"/>
      <c r="P160" s="2">
        <v>442.31</v>
      </c>
      <c r="Q160" s="2"/>
      <c r="R160" s="19">
        <f t="shared" si="14"/>
        <v>6.1931030014373637E-5</v>
      </c>
      <c r="S160" s="2"/>
      <c r="T160" s="2"/>
      <c r="U160" s="2"/>
      <c r="V160" s="19">
        <f t="shared" si="15"/>
        <v>0</v>
      </c>
      <c r="W160" s="2"/>
      <c r="X160" s="2">
        <f t="shared" si="16"/>
        <v>442.31</v>
      </c>
      <c r="Y160" s="2"/>
      <c r="Z160" s="19">
        <f t="shared" si="17"/>
        <v>0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322.61</v>
      </c>
      <c r="E161" s="2"/>
      <c r="F161" s="19">
        <f t="shared" si="10"/>
        <v>4.9482134742210356E-4</v>
      </c>
      <c r="G161" s="2"/>
      <c r="H161" s="2"/>
      <c r="I161" s="2"/>
      <c r="J161" s="19">
        <f t="shared" si="11"/>
        <v>0</v>
      </c>
      <c r="K161" s="2"/>
      <c r="L161" s="2">
        <f t="shared" si="12"/>
        <v>322.61</v>
      </c>
      <c r="M161" s="2"/>
      <c r="N161" s="19">
        <f t="shared" si="13"/>
        <v>0</v>
      </c>
      <c r="O161" s="11"/>
      <c r="P161" s="2">
        <v>827.67</v>
      </c>
      <c r="Q161" s="2"/>
      <c r="R161" s="19">
        <f t="shared" si="14"/>
        <v>1.1588807761976131E-4</v>
      </c>
      <c r="S161" s="2"/>
      <c r="T161" s="2"/>
      <c r="U161" s="2"/>
      <c r="V161" s="19">
        <f t="shared" si="15"/>
        <v>0</v>
      </c>
      <c r="W161" s="2"/>
      <c r="X161" s="2">
        <f t="shared" si="16"/>
        <v>827.67</v>
      </c>
      <c r="Y161" s="2"/>
      <c r="Z161" s="19">
        <f t="shared" si="17"/>
        <v>0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10"/>
        <v>0</v>
      </c>
      <c r="G162" s="2"/>
      <c r="H162" s="2"/>
      <c r="I162" s="2"/>
      <c r="J162" s="19">
        <f t="shared" si="11"/>
        <v>0</v>
      </c>
      <c r="K162" s="2"/>
      <c r="L162" s="2">
        <f t="shared" si="12"/>
        <v>0</v>
      </c>
      <c r="M162" s="2"/>
      <c r="N162" s="19">
        <f t="shared" si="13"/>
        <v>0</v>
      </c>
      <c r="O162" s="11"/>
      <c r="P162" s="2">
        <v>105.78</v>
      </c>
      <c r="Q162" s="2"/>
      <c r="R162" s="19">
        <f t="shared" si="14"/>
        <v>1.4811024744908419E-5</v>
      </c>
      <c r="S162" s="2"/>
      <c r="T162" s="2"/>
      <c r="U162" s="2"/>
      <c r="V162" s="19">
        <f t="shared" si="15"/>
        <v>0</v>
      </c>
      <c r="W162" s="2"/>
      <c r="X162" s="2">
        <f t="shared" si="16"/>
        <v>105.78</v>
      </c>
      <c r="Y162" s="2"/>
      <c r="Z162" s="19">
        <f t="shared" si="17"/>
        <v>0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9" t="s">
        <v>6</v>
      </c>
      <c r="C164" s="29"/>
      <c r="D164" s="22">
        <f>D12-D109</f>
        <v>362405.66000000003</v>
      </c>
      <c r="E164" s="14"/>
      <c r="F164" s="20">
        <f>IF(D$12=0,0,D164/D$12)</f>
        <v>0.55586019340564996</v>
      </c>
      <c r="G164" s="14"/>
      <c r="H164" s="22">
        <f>H12-H109</f>
        <v>443668.26631000009</v>
      </c>
      <c r="I164" s="14"/>
      <c r="J164" s="20">
        <f>IF(H$12=0,0,H164/H$12)</f>
        <v>0.54841225104798397</v>
      </c>
      <c r="K164" s="16"/>
      <c r="L164" s="22">
        <f>+D164-H164</f>
        <v>-81262.606310000061</v>
      </c>
      <c r="M164" s="16"/>
      <c r="N164" s="20">
        <f>IF(H164=0,0,L164/H164)</f>
        <v>-0.18316073625428106</v>
      </c>
      <c r="O164" s="28"/>
      <c r="P164" s="22">
        <f>P12-P109</f>
        <v>3147291.6299999994</v>
      </c>
      <c r="Q164" s="14"/>
      <c r="R164" s="20">
        <f>IF(P$12=0,0,P164/P$12)</f>
        <v>0.44067512016801991</v>
      </c>
      <c r="S164" s="14"/>
      <c r="T164" s="22">
        <f>T12-T109</f>
        <v>3337782.3614200004</v>
      </c>
      <c r="U164" s="14"/>
      <c r="V164" s="20">
        <f>IF(T$12=0,0,T164/T$12)</f>
        <v>0.44682984281496058</v>
      </c>
      <c r="W164" s="16"/>
      <c r="X164" s="22">
        <f>+P164-T164</f>
        <v>-190490.73142000102</v>
      </c>
      <c r="Y164" s="16"/>
      <c r="Z164" s="20">
        <f>IF(T164=0,0,X164/T164)</f>
        <v>-5.7071046219730186E-2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6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8" t="s">
        <v>9</v>
      </c>
      <c r="C166" s="10"/>
      <c r="D166" s="21">
        <f>SUM(OSRRefD22x_0)</f>
        <v>443824.78000000009</v>
      </c>
      <c r="E166" s="21"/>
      <c r="F166" s="30">
        <f t="shared" ref="F166:F177" si="18">IF(D$12=0,0,D166/D$12)</f>
        <v>0.68074137707733395</v>
      </c>
      <c r="G166" s="21"/>
      <c r="H166" s="21">
        <f>SUM(OSRRefH22x_0)</f>
        <v>522923.28160495067</v>
      </c>
      <c r="I166" s="21"/>
      <c r="J166" s="30">
        <f t="shared" ref="J166:J177" si="19">IF(H$12=0,0,H166/H$12)</f>
        <v>0.64637828703753286</v>
      </c>
      <c r="K166" s="4"/>
      <c r="L166" s="21">
        <f t="shared" ref="L166:L177" si="20">+D166-H166</f>
        <v>-79098.501604950579</v>
      </c>
      <c r="M166" s="4"/>
      <c r="N166" s="30">
        <f t="shared" ref="N166:N177" si="21">IF(H166=0,0,L166/H166)</f>
        <v>-0.15126215333572887</v>
      </c>
      <c r="O166" s="10"/>
      <c r="P166" s="21">
        <f>SUM(OSRRefP22x_0)</f>
        <v>2878760.8899999992</v>
      </c>
      <c r="Q166" s="21"/>
      <c r="R166" s="30">
        <f t="shared" ref="R166:R177" si="22">IF(P$12=0,0,P166/P$12)</f>
        <v>0.40307618431144426</v>
      </c>
      <c r="S166" s="21"/>
      <c r="T166" s="21">
        <f>SUM(OSRRefT22x_0)</f>
        <v>3055184.2039816976</v>
      </c>
      <c r="U166" s="21"/>
      <c r="V166" s="30">
        <f t="shared" ref="V166:V177" si="23">IF(T$12=0,0,T166/T$12)</f>
        <v>0.40899834974714006</v>
      </c>
      <c r="W166" s="4"/>
      <c r="X166" s="21">
        <f t="shared" ref="X166:X177" si="24">+P166-T166</f>
        <v>-176423.31398169836</v>
      </c>
      <c r="Y166" s="4"/>
      <c r="Z166" s="30">
        <f t="shared" ref="Z166:Z177" si="25">IF(T166=0,0,X166/T166)</f>
        <v>-5.7745557126072142E-2</v>
      </c>
    </row>
    <row r="167" spans="1:26" s="25" customFormat="1" outlineLevel="1" collapsed="1" x14ac:dyDescent="0.25">
      <c r="A167" s="27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52799.060000000005</v>
      </c>
      <c r="E167" s="1"/>
      <c r="F167" s="5">
        <f t="shared" si="18"/>
        <v>8.0983546733890743E-2</v>
      </c>
      <c r="G167" s="1"/>
      <c r="H167" s="1">
        <f>SUM(OSRRefH22_0x_0)</f>
        <v>57336.344603399855</v>
      </c>
      <c r="I167" s="1"/>
      <c r="J167" s="5">
        <f t="shared" si="19"/>
        <v>7.0872668158878216E-2</v>
      </c>
      <c r="K167" s="1"/>
      <c r="L167" s="1">
        <f t="shared" si="20"/>
        <v>-4537.2846033998503</v>
      </c>
      <c r="M167" s="1"/>
      <c r="N167" s="5">
        <f t="shared" si="21"/>
        <v>-7.9134528627254078E-2</v>
      </c>
      <c r="O167" s="13"/>
      <c r="P167" s="1">
        <f>SUM(OSRRefP22_0x_0)</f>
        <v>385790.86000000004</v>
      </c>
      <c r="Q167" s="1"/>
      <c r="R167" s="5">
        <f t="shared" si="22"/>
        <v>5.4017375437885234E-2</v>
      </c>
      <c r="S167" s="1"/>
      <c r="T167" s="1">
        <f>SUM(OSRRefT22_0x_0)</f>
        <v>371790.28561027761</v>
      </c>
      <c r="U167" s="1"/>
      <c r="V167" s="5">
        <f t="shared" si="23"/>
        <v>4.9771667799422922E-2</v>
      </c>
      <c r="W167" s="1"/>
      <c r="X167" s="1">
        <f t="shared" si="24"/>
        <v>14000.574389722431</v>
      </c>
      <c r="Y167" s="1"/>
      <c r="Z167" s="5">
        <f t="shared" si="25"/>
        <v>3.765718183502588E-2</v>
      </c>
    </row>
    <row r="168" spans="1:26" s="24" customFormat="1" hidden="1" outlineLevel="2" x14ac:dyDescent="0.25">
      <c r="A168" s="26"/>
      <c r="B168" s="11" t="str">
        <f>CONCATENATE("          ", "6111", " - ", "F.I.C.A.")</f>
        <v xml:space="preserve">          6111 - F.I.C.A.</v>
      </c>
      <c r="C168" s="11"/>
      <c r="D168" s="6">
        <v>7919.71</v>
      </c>
      <c r="E168" s="2"/>
      <c r="F168" s="7">
        <f t="shared" si="18"/>
        <v>1.2147303472900118E-2</v>
      </c>
      <c r="G168" s="2"/>
      <c r="H168" s="6">
        <v>8800.1808470088508</v>
      </c>
      <c r="I168" s="2"/>
      <c r="J168" s="7">
        <f t="shared" si="19"/>
        <v>1.0877782691280797E-2</v>
      </c>
      <c r="K168" s="2"/>
      <c r="L168" s="6">
        <f t="shared" si="20"/>
        <v>-880.4708470088508</v>
      </c>
      <c r="M168" s="2"/>
      <c r="N168" s="7">
        <f t="shared" si="21"/>
        <v>-0.10005144920494669</v>
      </c>
      <c r="O168" s="11"/>
      <c r="P168" s="6">
        <v>74928.08</v>
      </c>
      <c r="Q168" s="2"/>
      <c r="R168" s="7">
        <f t="shared" si="22"/>
        <v>1.0491223737648683E-2</v>
      </c>
      <c r="S168" s="2"/>
      <c r="T168" s="6">
        <v>67597.500410558205</v>
      </c>
      <c r="U168" s="2"/>
      <c r="V168" s="7">
        <f t="shared" si="23"/>
        <v>9.04929597335518E-3</v>
      </c>
      <c r="W168" s="2"/>
      <c r="X168" s="6">
        <f t="shared" si="24"/>
        <v>7330.579589441797</v>
      </c>
      <c r="Y168" s="2"/>
      <c r="Z168" s="7">
        <f t="shared" si="25"/>
        <v>0.10844453633520475</v>
      </c>
    </row>
    <row r="169" spans="1:26" s="24" customFormat="1" hidden="1" outlineLevel="2" x14ac:dyDescent="0.25">
      <c r="A169" s="26"/>
      <c r="B169" s="11" t="str">
        <f>CONCATENATE("          ", "6112", " - ", "COMPENSATION INSURANCE")</f>
        <v xml:space="preserve">          6112 - COMPENSATION INSURANCE</v>
      </c>
      <c r="C169" s="11"/>
      <c r="D169" s="6">
        <v>4389.6899999999996</v>
      </c>
      <c r="E169" s="2"/>
      <c r="F169" s="7">
        <f t="shared" si="18"/>
        <v>6.7329354966223411E-3</v>
      </c>
      <c r="G169" s="2"/>
      <c r="H169" s="6">
        <v>4068.1730234230768</v>
      </c>
      <c r="I169" s="2"/>
      <c r="J169" s="7">
        <f t="shared" si="19"/>
        <v>5.0286128056525499E-3</v>
      </c>
      <c r="K169" s="2"/>
      <c r="L169" s="6">
        <f t="shared" si="20"/>
        <v>321.51697657692284</v>
      </c>
      <c r="M169" s="2"/>
      <c r="N169" s="7">
        <f t="shared" si="21"/>
        <v>7.9032276829363882E-2</v>
      </c>
      <c r="O169" s="11"/>
      <c r="P169" s="6">
        <v>18835.580000000002</v>
      </c>
      <c r="Q169" s="2"/>
      <c r="R169" s="7">
        <f t="shared" si="22"/>
        <v>2.6373061208612419E-3</v>
      </c>
      <c r="S169" s="2"/>
      <c r="T169" s="6">
        <v>26901.437569749993</v>
      </c>
      <c r="U169" s="2"/>
      <c r="V169" s="7">
        <f t="shared" si="23"/>
        <v>3.6013028469819141E-3</v>
      </c>
      <c r="W169" s="2"/>
      <c r="X169" s="6">
        <f t="shared" si="24"/>
        <v>-8065.8575697499909</v>
      </c>
      <c r="Y169" s="2"/>
      <c r="Z169" s="7">
        <f t="shared" si="25"/>
        <v>-0.29982998301993535</v>
      </c>
    </row>
    <row r="170" spans="1:26" s="24" customFormat="1" hidden="1" outlineLevel="2" x14ac:dyDescent="0.25">
      <c r="A170" s="26"/>
      <c r="B170" s="11" t="str">
        <f>CONCATENATE("          ", "6113", " - ", "GROUP INSURANCE")</f>
        <v xml:space="preserve">          6113 - GROUP INSURANCE</v>
      </c>
      <c r="C170" s="11"/>
      <c r="D170" s="6">
        <v>21144.53</v>
      </c>
      <c r="E170" s="2"/>
      <c r="F170" s="7">
        <f t="shared" si="18"/>
        <v>3.2431619680751027E-2</v>
      </c>
      <c r="G170" s="2"/>
      <c r="H170" s="6">
        <v>24508.81923076923</v>
      </c>
      <c r="I170" s="2"/>
      <c r="J170" s="7">
        <f t="shared" si="19"/>
        <v>3.0295014869246507E-2</v>
      </c>
      <c r="K170" s="2"/>
      <c r="L170" s="6">
        <f t="shared" si="20"/>
        <v>-3364.2892307692309</v>
      </c>
      <c r="M170" s="2"/>
      <c r="N170" s="7">
        <f t="shared" si="21"/>
        <v>-0.13726851543078764</v>
      </c>
      <c r="O170" s="11"/>
      <c r="P170" s="6">
        <v>147755.35999999999</v>
      </c>
      <c r="Q170" s="2"/>
      <c r="R170" s="7">
        <f t="shared" si="22"/>
        <v>2.0688299235704779E-2</v>
      </c>
      <c r="S170" s="2"/>
      <c r="T170" s="6">
        <v>147996.30000000002</v>
      </c>
      <c r="U170" s="2"/>
      <c r="V170" s="7">
        <f t="shared" si="23"/>
        <v>1.981230538891765E-2</v>
      </c>
      <c r="W170" s="2"/>
      <c r="X170" s="6">
        <f t="shared" si="24"/>
        <v>-240.94000000003143</v>
      </c>
      <c r="Y170" s="2"/>
      <c r="Z170" s="7">
        <f t="shared" si="25"/>
        <v>-1.6280136733150181E-3</v>
      </c>
    </row>
    <row r="171" spans="1:26" s="24" customFormat="1" hidden="1" outlineLevel="2" x14ac:dyDescent="0.25">
      <c r="A171" s="26"/>
      <c r="B171" s="11" t="str">
        <f>CONCATENATE("          ", "6114", " - ", "STATE UNEMPLOYMENT INSURANCE")</f>
        <v xml:space="preserve">          6114 - STATE UNEMPLOYMENT INSURANCE</v>
      </c>
      <c r="C171" s="11"/>
      <c r="D171" s="6">
        <v>737.07</v>
      </c>
      <c r="E171" s="2"/>
      <c r="F171" s="7">
        <f t="shared" si="18"/>
        <v>1.1305228311100396E-3</v>
      </c>
      <c r="G171" s="2"/>
      <c r="H171" s="6">
        <v>572.53444004735206</v>
      </c>
      <c r="I171" s="2"/>
      <c r="J171" s="7">
        <f t="shared" si="19"/>
        <v>7.077019586735052E-4</v>
      </c>
      <c r="K171" s="2"/>
      <c r="L171" s="6">
        <f t="shared" si="20"/>
        <v>164.53555995264799</v>
      </c>
      <c r="M171" s="2"/>
      <c r="N171" s="7">
        <f t="shared" si="21"/>
        <v>0.2873810699301162</v>
      </c>
      <c r="O171" s="11"/>
      <c r="P171" s="6">
        <v>3827.42</v>
      </c>
      <c r="Q171" s="2"/>
      <c r="R171" s="7">
        <f t="shared" si="22"/>
        <v>5.3590482443899962E-4</v>
      </c>
      <c r="S171" s="2"/>
      <c r="T171" s="6">
        <v>3787.9548911222719</v>
      </c>
      <c r="U171" s="2"/>
      <c r="V171" s="7">
        <f t="shared" si="23"/>
        <v>5.070945631908281E-4</v>
      </c>
      <c r="W171" s="2"/>
      <c r="X171" s="6">
        <f t="shared" si="24"/>
        <v>39.465108877728198</v>
      </c>
      <c r="Y171" s="2"/>
      <c r="Z171" s="7">
        <f t="shared" si="25"/>
        <v>1.0418579421371019E-2</v>
      </c>
    </row>
    <row r="172" spans="1:26" s="24" customFormat="1" hidden="1" outlineLevel="2" x14ac:dyDescent="0.25">
      <c r="A172" s="26"/>
      <c r="B172" s="11" t="str">
        <f>CONCATENATE("          ", "6115", " - ", "P.E.R.S.")</f>
        <v xml:space="preserve">          6115 - P.E.R.S.</v>
      </c>
      <c r="C172" s="11"/>
      <c r="D172" s="6">
        <v>7308.37</v>
      </c>
      <c r="E172" s="2"/>
      <c r="F172" s="7">
        <f t="shared" si="18"/>
        <v>1.1209626145684506E-2</v>
      </c>
      <c r="G172" s="2"/>
      <c r="H172" s="6">
        <v>7507.6447402307613</v>
      </c>
      <c r="I172" s="2"/>
      <c r="J172" s="7">
        <f t="shared" si="19"/>
        <v>9.2800965602116738E-3</v>
      </c>
      <c r="K172" s="2"/>
      <c r="L172" s="6">
        <f t="shared" si="20"/>
        <v>-199.27474023076138</v>
      </c>
      <c r="M172" s="2"/>
      <c r="N172" s="7">
        <f t="shared" si="21"/>
        <v>-2.6542910210298032E-2</v>
      </c>
      <c r="O172" s="11"/>
      <c r="P172" s="6">
        <v>51418.71</v>
      </c>
      <c r="Q172" s="2"/>
      <c r="R172" s="7">
        <f t="shared" si="22"/>
        <v>7.1995063921466247E-3</v>
      </c>
      <c r="S172" s="2"/>
      <c r="T172" s="6">
        <v>48799.690811499961</v>
      </c>
      <c r="U172" s="2"/>
      <c r="V172" s="7">
        <f t="shared" si="23"/>
        <v>6.532828031796712E-3</v>
      </c>
      <c r="W172" s="2"/>
      <c r="X172" s="6">
        <f t="shared" si="24"/>
        <v>2619.0191885000386</v>
      </c>
      <c r="Y172" s="2"/>
      <c r="Z172" s="7">
        <f t="shared" si="25"/>
        <v>5.3668766030026772E-2</v>
      </c>
    </row>
    <row r="173" spans="1:26" s="24" customFormat="1" hidden="1" outlineLevel="2" x14ac:dyDescent="0.25">
      <c r="A173" s="26"/>
      <c r="B173" s="11" t="str">
        <f>CONCATENATE("          ", "6116", " - ", "EDUCATIONAL BENEFITS")</f>
        <v xml:space="preserve">          6116 - EDUCATIONAL BENEFITS</v>
      </c>
      <c r="C173" s="11"/>
      <c r="D173" s="6"/>
      <c r="E173" s="2"/>
      <c r="F173" s="7">
        <f t="shared" si="18"/>
        <v>0</v>
      </c>
      <c r="G173" s="2"/>
      <c r="H173" s="6">
        <v>0</v>
      </c>
      <c r="I173" s="2"/>
      <c r="J173" s="7">
        <f t="shared" si="19"/>
        <v>0</v>
      </c>
      <c r="K173" s="2"/>
      <c r="L173" s="6">
        <f t="shared" si="20"/>
        <v>0</v>
      </c>
      <c r="M173" s="2"/>
      <c r="N173" s="7">
        <f t="shared" si="21"/>
        <v>0</v>
      </c>
      <c r="O173" s="11"/>
      <c r="P173" s="6"/>
      <c r="Q173" s="2"/>
      <c r="R173" s="7">
        <f t="shared" si="22"/>
        <v>0</v>
      </c>
      <c r="S173" s="2"/>
      <c r="T173" s="6">
        <v>0</v>
      </c>
      <c r="U173" s="2"/>
      <c r="V173" s="7">
        <f t="shared" si="23"/>
        <v>0</v>
      </c>
      <c r="W173" s="2"/>
      <c r="X173" s="6">
        <f t="shared" si="24"/>
        <v>0</v>
      </c>
      <c r="Y173" s="2"/>
      <c r="Z173" s="7">
        <f t="shared" si="25"/>
        <v>0</v>
      </c>
    </row>
    <row r="174" spans="1:26" s="24" customFormat="1" hidden="1" outlineLevel="2" x14ac:dyDescent="0.25">
      <c r="A174" s="26"/>
      <c r="B174" s="11" t="str">
        <f>CONCATENATE("          ", "6117", " - ", "RETIREMENT STAFF HOURLY")</f>
        <v xml:space="preserve">          6117 - RETIREMENT STAFF HOURLY</v>
      </c>
      <c r="C174" s="11"/>
      <c r="D174" s="6">
        <v>92.54</v>
      </c>
      <c r="E174" s="2"/>
      <c r="F174" s="7">
        <f t="shared" si="18"/>
        <v>1.4193846282025189E-4</v>
      </c>
      <c r="G174" s="2"/>
      <c r="H174" s="6"/>
      <c r="I174" s="2"/>
      <c r="J174" s="7">
        <f t="shared" si="19"/>
        <v>0</v>
      </c>
      <c r="K174" s="2"/>
      <c r="L174" s="6">
        <f t="shared" si="20"/>
        <v>92.54</v>
      </c>
      <c r="M174" s="2"/>
      <c r="N174" s="7">
        <f t="shared" si="21"/>
        <v>0</v>
      </c>
      <c r="O174" s="11"/>
      <c r="P174" s="6">
        <v>738.74</v>
      </c>
      <c r="Q174" s="2"/>
      <c r="R174" s="7">
        <f t="shared" si="22"/>
        <v>1.0343634354371002E-4</v>
      </c>
      <c r="S174" s="2"/>
      <c r="T174" s="6"/>
      <c r="U174" s="2"/>
      <c r="V174" s="7">
        <f t="shared" si="23"/>
        <v>0</v>
      </c>
      <c r="W174" s="2"/>
      <c r="X174" s="6">
        <f t="shared" si="24"/>
        <v>738.74</v>
      </c>
      <c r="Y174" s="2"/>
      <c r="Z174" s="7">
        <f t="shared" si="25"/>
        <v>0</v>
      </c>
    </row>
    <row r="175" spans="1:26" s="24" customFormat="1" hidden="1" outlineLevel="2" x14ac:dyDescent="0.25">
      <c r="A175" s="26"/>
      <c r="B175" s="11" t="str">
        <f>CONCATENATE("          ", "6118", " - ", "VACATION")</f>
        <v xml:space="preserve">          6118 - VACATION</v>
      </c>
      <c r="C175" s="11"/>
      <c r="D175" s="6">
        <v>5041.07</v>
      </c>
      <c r="E175" s="2"/>
      <c r="F175" s="7">
        <f t="shared" si="18"/>
        <v>7.7320264401262925E-3</v>
      </c>
      <c r="G175" s="2"/>
      <c r="H175" s="6">
        <v>4999.2083912461503</v>
      </c>
      <c r="I175" s="2"/>
      <c r="J175" s="7">
        <f t="shared" si="19"/>
        <v>6.1794528378228452E-3</v>
      </c>
      <c r="K175" s="2"/>
      <c r="L175" s="6">
        <f t="shared" si="20"/>
        <v>41.861608753849396</v>
      </c>
      <c r="M175" s="2"/>
      <c r="N175" s="7">
        <f t="shared" si="21"/>
        <v>8.3736474812994479E-3</v>
      </c>
      <c r="O175" s="11"/>
      <c r="P175" s="6">
        <v>41438.879999999997</v>
      </c>
      <c r="Q175" s="2"/>
      <c r="R175" s="7">
        <f t="shared" si="22"/>
        <v>5.8021580363139588E-3</v>
      </c>
      <c r="S175" s="2"/>
      <c r="T175" s="6">
        <v>32552.09679309998</v>
      </c>
      <c r="U175" s="2"/>
      <c r="V175" s="7">
        <f t="shared" si="23"/>
        <v>4.3577581514842173E-3</v>
      </c>
      <c r="W175" s="2"/>
      <c r="X175" s="6">
        <f t="shared" si="24"/>
        <v>8886.7832069000178</v>
      </c>
      <c r="Y175" s="2"/>
      <c r="Z175" s="7">
        <f t="shared" si="25"/>
        <v>0.27300186723405589</v>
      </c>
    </row>
    <row r="176" spans="1:26" s="24" customFormat="1" hidden="1" outlineLevel="2" x14ac:dyDescent="0.25">
      <c r="A176" s="26"/>
      <c r="B176" s="11" t="str">
        <f>CONCATENATE("          ", "6119", " - ", "SICK LEAVE")</f>
        <v xml:space="preserve">          6119 - SICK LEAVE</v>
      </c>
      <c r="C176" s="11"/>
      <c r="D176" s="6">
        <v>3745.75</v>
      </c>
      <c r="E176" s="2"/>
      <c r="F176" s="7">
        <f t="shared" si="18"/>
        <v>5.7452560742269126E-3</v>
      </c>
      <c r="G176" s="2"/>
      <c r="H176" s="6">
        <v>5329.7839306744308</v>
      </c>
      <c r="I176" s="2"/>
      <c r="J176" s="7">
        <f t="shared" si="19"/>
        <v>6.5880727222853343E-3</v>
      </c>
      <c r="K176" s="2"/>
      <c r="L176" s="6">
        <f t="shared" si="20"/>
        <v>-1584.0339306744308</v>
      </c>
      <c r="M176" s="2"/>
      <c r="N176" s="7">
        <f t="shared" si="21"/>
        <v>-0.29720415522998267</v>
      </c>
      <c r="O176" s="11"/>
      <c r="P176" s="6">
        <v>31539.329999999998</v>
      </c>
      <c r="Q176" s="2"/>
      <c r="R176" s="7">
        <f t="shared" si="22"/>
        <v>4.4160502653415807E-3</v>
      </c>
      <c r="S176" s="2"/>
      <c r="T176" s="6">
        <v>34730.305134247188</v>
      </c>
      <c r="U176" s="2"/>
      <c r="V176" s="7">
        <f t="shared" si="23"/>
        <v>4.6493555012523955E-3</v>
      </c>
      <c r="W176" s="2"/>
      <c r="X176" s="6">
        <f t="shared" si="24"/>
        <v>-3190.97513424719</v>
      </c>
      <c r="Y176" s="2"/>
      <c r="Z176" s="7">
        <f t="shared" si="25"/>
        <v>-9.1878695620805334E-2</v>
      </c>
    </row>
    <row r="177" spans="1:26" s="24" customFormat="1" hidden="1" outlineLevel="2" x14ac:dyDescent="0.25">
      <c r="A177" s="26"/>
      <c r="B177" s="11" t="str">
        <f>CONCATENATE("          ", "6156", " - ", "EMPLOYEE MEALS")</f>
        <v xml:space="preserve">          6156 - EMPLOYEE MEALS</v>
      </c>
      <c r="C177" s="11"/>
      <c r="D177" s="6">
        <v>2420.33</v>
      </c>
      <c r="E177" s="2"/>
      <c r="F177" s="7">
        <f t="shared" si="18"/>
        <v>3.712318129649235E-3</v>
      </c>
      <c r="G177" s="2"/>
      <c r="H177" s="6">
        <v>1550</v>
      </c>
      <c r="I177" s="2"/>
      <c r="J177" s="7">
        <f t="shared" si="19"/>
        <v>1.9159337137049949E-3</v>
      </c>
      <c r="K177" s="2"/>
      <c r="L177" s="6">
        <f t="shared" si="20"/>
        <v>870.32999999999993</v>
      </c>
      <c r="M177" s="2"/>
      <c r="N177" s="7">
        <f t="shared" si="21"/>
        <v>0.56150322580645151</v>
      </c>
      <c r="O177" s="11"/>
      <c r="P177" s="6">
        <v>15308.76</v>
      </c>
      <c r="Q177" s="2"/>
      <c r="R177" s="7">
        <f t="shared" si="22"/>
        <v>2.1434904818856517E-3</v>
      </c>
      <c r="S177" s="2"/>
      <c r="T177" s="6">
        <v>9425</v>
      </c>
      <c r="U177" s="2"/>
      <c r="V177" s="7">
        <f t="shared" si="23"/>
        <v>1.2617273424440263E-3</v>
      </c>
      <c r="W177" s="2"/>
      <c r="X177" s="6">
        <f t="shared" si="24"/>
        <v>5883.76</v>
      </c>
      <c r="Y177" s="2"/>
      <c r="Z177" s="7">
        <f t="shared" si="25"/>
        <v>0.62427161803713527</v>
      </c>
    </row>
    <row r="178" spans="1:26" s="25" customFormat="1" outlineLevel="1" collapsed="1" x14ac:dyDescent="0.25">
      <c r="A178" s="27"/>
      <c r="B178" s="13" t="str">
        <f>CONCATENATE("     ","*Payroll                                          ")</f>
        <v xml:space="preserve">     *Payroll                                          </v>
      </c>
      <c r="C178" s="13"/>
      <c r="D178" s="1">
        <f>SUM(OSRRefD22_1x_0)</f>
        <v>187908.85</v>
      </c>
      <c r="E178" s="1"/>
      <c r="F178" s="5">
        <f t="shared" ref="F178:F188" si="26">IF(D$12=0,0,D178/D$12)</f>
        <v>0.28821583444263332</v>
      </c>
      <c r="G178" s="1"/>
      <c r="H178" s="1">
        <f>SUM(OSRRefH22_1x_0)</f>
        <v>211753.43700155077</v>
      </c>
      <c r="I178" s="1"/>
      <c r="J178" s="5">
        <f t="shared" ref="J178:J188" si="27">IF(H$12=0,0,H178/H$12)</f>
        <v>0.26174551544785668</v>
      </c>
      <c r="K178" s="1"/>
      <c r="L178" s="1">
        <f t="shared" ref="L178:L188" si="28">+D178-H178</f>
        <v>-23844.587001550768</v>
      </c>
      <c r="M178" s="1"/>
      <c r="N178" s="5">
        <f t="shared" ref="N178:N188" si="29">IF(H178=0,0,L178/H178)</f>
        <v>-0.11260543082177288</v>
      </c>
      <c r="O178" s="13"/>
      <c r="P178" s="1">
        <f>SUM(OSRRefP22_1x_0)</f>
        <v>1351809.29</v>
      </c>
      <c r="Q178" s="1"/>
      <c r="R178" s="5">
        <f t="shared" ref="R178:R188" si="30">IF(P$12=0,0,P178/P$12)</f>
        <v>0.18927661982025981</v>
      </c>
      <c r="S178" s="1"/>
      <c r="T178" s="1">
        <f>SUM(OSRRefT22_1x_0)</f>
        <v>1401766.9183714201</v>
      </c>
      <c r="U178" s="1"/>
      <c r="V178" s="5">
        <f t="shared" ref="V178:V188" si="31">IF(T$12=0,0,T178/T$12)</f>
        <v>0.18765492293291502</v>
      </c>
      <c r="W178" s="1"/>
      <c r="X178" s="1">
        <f t="shared" ref="X178:X188" si="32">+P178-T178</f>
        <v>-49957.628371420084</v>
      </c>
      <c r="Y178" s="1"/>
      <c r="Z178" s="5">
        <f t="shared" ref="Z178:Z188" si="33">IF(T178=0,0,X178/T178)</f>
        <v>-3.5639040782515473E-2</v>
      </c>
    </row>
    <row r="179" spans="1:26" s="24" customFormat="1" hidden="1" outlineLevel="2" x14ac:dyDescent="0.25">
      <c r="A179" s="26"/>
      <c r="B179" s="11" t="str">
        <f>CONCATENATE("          ", "6001", " - ", "ADMINISTRATIVE SALARIES")</f>
        <v xml:space="preserve">          6001 - ADMINISTRATIVE SALARIES</v>
      </c>
      <c r="C179" s="11"/>
      <c r="D179" s="6">
        <v>10181.280000000001</v>
      </c>
      <c r="E179" s="2"/>
      <c r="F179" s="7">
        <f t="shared" si="26"/>
        <v>1.5616114466636851E-2</v>
      </c>
      <c r="G179" s="2"/>
      <c r="H179" s="6">
        <v>37309.313363384616</v>
      </c>
      <c r="I179" s="2"/>
      <c r="J179" s="7">
        <f t="shared" si="27"/>
        <v>4.6117529876188959E-2</v>
      </c>
      <c r="K179" s="2"/>
      <c r="L179" s="6">
        <f t="shared" si="28"/>
        <v>-27128.033363384617</v>
      </c>
      <c r="M179" s="2"/>
      <c r="N179" s="7">
        <f t="shared" si="29"/>
        <v>-0.7271115686092493</v>
      </c>
      <c r="O179" s="11"/>
      <c r="P179" s="6">
        <v>66982.11</v>
      </c>
      <c r="Q179" s="2"/>
      <c r="R179" s="7">
        <f t="shared" si="30"/>
        <v>9.378650866668347E-3</v>
      </c>
      <c r="S179" s="2"/>
      <c r="T179" s="6">
        <v>242510.53686200001</v>
      </c>
      <c r="U179" s="2"/>
      <c r="V179" s="7">
        <f t="shared" si="31"/>
        <v>3.2464952274754939E-2</v>
      </c>
      <c r="W179" s="2"/>
      <c r="X179" s="6">
        <f t="shared" si="32"/>
        <v>-175528.42686200002</v>
      </c>
      <c r="Y179" s="2"/>
      <c r="Z179" s="7">
        <f t="shared" si="33"/>
        <v>-0.72379711468736729</v>
      </c>
    </row>
    <row r="180" spans="1:26" s="24" customFormat="1" hidden="1" outlineLevel="2" x14ac:dyDescent="0.25">
      <c r="A180" s="26"/>
      <c r="B180" s="11" t="str">
        <f>CONCATENATE("          ", "6002", " - ", "STAFF SALARIES")</f>
        <v xml:space="preserve">          6002 - STAFF SALARIES</v>
      </c>
      <c r="C180" s="11"/>
      <c r="D180" s="6">
        <v>64347.6</v>
      </c>
      <c r="E180" s="2"/>
      <c r="F180" s="7">
        <f t="shared" si="26"/>
        <v>9.8696773613274683E-2</v>
      </c>
      <c r="G180" s="2"/>
      <c r="H180" s="6">
        <v>42691.71454564618</v>
      </c>
      <c r="I180" s="2"/>
      <c r="J180" s="7">
        <f t="shared" si="27"/>
        <v>5.2770642060563505E-2</v>
      </c>
      <c r="K180" s="2"/>
      <c r="L180" s="6">
        <f t="shared" si="28"/>
        <v>21655.885454353818</v>
      </c>
      <c r="M180" s="2"/>
      <c r="N180" s="7">
        <f t="shared" si="29"/>
        <v>0.50726202226427908</v>
      </c>
      <c r="O180" s="11"/>
      <c r="P180" s="6">
        <v>448129.45</v>
      </c>
      <c r="Q180" s="2"/>
      <c r="R180" s="7">
        <f t="shared" si="30"/>
        <v>6.2745853402081678E-2</v>
      </c>
      <c r="S180" s="2"/>
      <c r="T180" s="6">
        <v>277496.14454670012</v>
      </c>
      <c r="U180" s="2"/>
      <c r="V180" s="7">
        <f t="shared" si="31"/>
        <v>3.7148485198660083E-2</v>
      </c>
      <c r="W180" s="2"/>
      <c r="X180" s="6">
        <f t="shared" si="32"/>
        <v>170633.30545329989</v>
      </c>
      <c r="Y180" s="2"/>
      <c r="Z180" s="7">
        <f t="shared" si="33"/>
        <v>0.61490333760144855</v>
      </c>
    </row>
    <row r="181" spans="1:26" s="24" customFormat="1" hidden="1" outlineLevel="2" x14ac:dyDescent="0.25">
      <c r="A181" s="26"/>
      <c r="B181" s="11" t="str">
        <f>CONCATENATE("          ", "6003", " - ", "STAFF HOURLY-9 MONTH")</f>
        <v xml:space="preserve">          6003 - STAFF HOURLY-9 MONTH</v>
      </c>
      <c r="C181" s="11"/>
      <c r="D181" s="6"/>
      <c r="E181" s="2"/>
      <c r="F181" s="7">
        <f t="shared" si="26"/>
        <v>0</v>
      </c>
      <c r="G181" s="2"/>
      <c r="H181" s="6">
        <v>0</v>
      </c>
      <c r="I181" s="2"/>
      <c r="J181" s="7">
        <f t="shared" si="27"/>
        <v>0</v>
      </c>
      <c r="K181" s="2"/>
      <c r="L181" s="6">
        <f t="shared" si="28"/>
        <v>0</v>
      </c>
      <c r="M181" s="2"/>
      <c r="N181" s="7">
        <f t="shared" si="29"/>
        <v>0</v>
      </c>
      <c r="O181" s="11"/>
      <c r="P181" s="6"/>
      <c r="Q181" s="2"/>
      <c r="R181" s="7">
        <f t="shared" si="30"/>
        <v>0</v>
      </c>
      <c r="S181" s="2"/>
      <c r="T181" s="6">
        <v>0</v>
      </c>
      <c r="U181" s="2"/>
      <c r="V181" s="7">
        <f t="shared" si="31"/>
        <v>0</v>
      </c>
      <c r="W181" s="2"/>
      <c r="X181" s="6">
        <f t="shared" si="32"/>
        <v>0</v>
      </c>
      <c r="Y181" s="2"/>
      <c r="Z181" s="7">
        <f t="shared" si="33"/>
        <v>0</v>
      </c>
    </row>
    <row r="182" spans="1:26" s="24" customFormat="1" hidden="1" outlineLevel="2" x14ac:dyDescent="0.25">
      <c r="A182" s="26"/>
      <c r="B182" s="11" t="str">
        <f>CONCATENATE("          ", "6004", " - ", "STAFF HOURLY")</f>
        <v xml:space="preserve">          6004 - STAFF HOURLY</v>
      </c>
      <c r="C182" s="11"/>
      <c r="D182" s="6">
        <v>3238.83</v>
      </c>
      <c r="E182" s="2"/>
      <c r="F182" s="7">
        <f t="shared" si="26"/>
        <v>4.9677388322467734E-3</v>
      </c>
      <c r="G182" s="2"/>
      <c r="H182" s="6">
        <v>22765.662381999999</v>
      </c>
      <c r="I182" s="2"/>
      <c r="J182" s="7">
        <f t="shared" si="27"/>
        <v>2.8140322627418942E-2</v>
      </c>
      <c r="K182" s="2"/>
      <c r="L182" s="6">
        <f t="shared" si="28"/>
        <v>-19526.832382000001</v>
      </c>
      <c r="M182" s="2"/>
      <c r="N182" s="7">
        <f t="shared" si="29"/>
        <v>-0.85773179160555302</v>
      </c>
      <c r="O182" s="11"/>
      <c r="P182" s="6">
        <v>16198.88</v>
      </c>
      <c r="Q182" s="2"/>
      <c r="R182" s="7">
        <f t="shared" si="30"/>
        <v>2.2681226367914737E-3</v>
      </c>
      <c r="S182" s="2"/>
      <c r="T182" s="6">
        <v>149169.55860799999</v>
      </c>
      <c r="U182" s="2"/>
      <c r="V182" s="7">
        <f t="shared" si="31"/>
        <v>1.9969369841487557E-2</v>
      </c>
      <c r="W182" s="2"/>
      <c r="X182" s="6">
        <f t="shared" si="32"/>
        <v>-132970.67860799999</v>
      </c>
      <c r="Y182" s="2"/>
      <c r="Z182" s="7">
        <f t="shared" si="33"/>
        <v>-0.89140626176572157</v>
      </c>
    </row>
    <row r="183" spans="1:26" s="24" customFormat="1" hidden="1" outlineLevel="2" x14ac:dyDescent="0.25">
      <c r="A183" s="26"/>
      <c r="B183" s="11" t="str">
        <f>CONCATENATE("          ", "6005", " - ", "TEMPORARY WAGES-HOURLY")</f>
        <v xml:space="preserve">          6005 - TEMPORARY WAGES-HOURLY</v>
      </c>
      <c r="C183" s="11"/>
      <c r="D183" s="6">
        <v>23411.83</v>
      </c>
      <c r="E183" s="2"/>
      <c r="F183" s="7">
        <f t="shared" si="26"/>
        <v>3.5909219386309248E-2</v>
      </c>
      <c r="G183" s="2"/>
      <c r="H183" s="6">
        <v>4699.38</v>
      </c>
      <c r="I183" s="2"/>
      <c r="J183" s="7">
        <f t="shared" si="27"/>
        <v>5.8088390809748255E-3</v>
      </c>
      <c r="K183" s="2"/>
      <c r="L183" s="6">
        <f t="shared" si="28"/>
        <v>18712.45</v>
      </c>
      <c r="M183" s="2"/>
      <c r="N183" s="7">
        <f t="shared" si="29"/>
        <v>3.9818976120254161</v>
      </c>
      <c r="O183" s="11"/>
      <c r="P183" s="6">
        <v>147658</v>
      </c>
      <c r="Q183" s="2"/>
      <c r="R183" s="7">
        <f t="shared" si="30"/>
        <v>2.0674667156208047E-2</v>
      </c>
      <c r="S183" s="2"/>
      <c r="T183" s="6">
        <v>26531.72</v>
      </c>
      <c r="U183" s="2"/>
      <c r="V183" s="7">
        <f t="shared" si="31"/>
        <v>3.5518086542248297E-3</v>
      </c>
      <c r="W183" s="2"/>
      <c r="X183" s="6">
        <f t="shared" si="32"/>
        <v>121126.28</v>
      </c>
      <c r="Y183" s="2"/>
      <c r="Z183" s="7">
        <f t="shared" si="33"/>
        <v>4.5653383949476325</v>
      </c>
    </row>
    <row r="184" spans="1:26" s="24" customFormat="1" hidden="1" outlineLevel="2" x14ac:dyDescent="0.25">
      <c r="A184" s="26"/>
      <c r="B184" s="11" t="str">
        <f>CONCATENATE("          ", "6006", " - ", "TEMPORARY PART TIME")</f>
        <v xml:space="preserve">          6006 - TEMPORARY PART TIME</v>
      </c>
      <c r="C184" s="11"/>
      <c r="D184" s="6">
        <v>2224.13</v>
      </c>
      <c r="E184" s="2"/>
      <c r="F184" s="7">
        <f t="shared" si="26"/>
        <v>3.4113852746099722E-3</v>
      </c>
      <c r="G184" s="2"/>
      <c r="H184" s="6">
        <v>0</v>
      </c>
      <c r="I184" s="2"/>
      <c r="J184" s="7">
        <f t="shared" si="27"/>
        <v>0</v>
      </c>
      <c r="K184" s="2"/>
      <c r="L184" s="6">
        <f t="shared" si="28"/>
        <v>2224.13</v>
      </c>
      <c r="M184" s="2"/>
      <c r="N184" s="7">
        <f t="shared" si="29"/>
        <v>0</v>
      </c>
      <c r="O184" s="11"/>
      <c r="P184" s="6">
        <v>30541.180000000004</v>
      </c>
      <c r="Q184" s="2"/>
      <c r="R184" s="7">
        <f t="shared" si="30"/>
        <v>4.276292046877502E-3</v>
      </c>
      <c r="S184" s="2"/>
      <c r="T184" s="6">
        <v>0</v>
      </c>
      <c r="U184" s="2"/>
      <c r="V184" s="7">
        <f t="shared" si="31"/>
        <v>0</v>
      </c>
      <c r="W184" s="2"/>
      <c r="X184" s="6">
        <f t="shared" si="32"/>
        <v>30541.180000000004</v>
      </c>
      <c r="Y184" s="2"/>
      <c r="Z184" s="7">
        <f t="shared" si="33"/>
        <v>0</v>
      </c>
    </row>
    <row r="185" spans="1:26" s="24" customFormat="1" hidden="1" outlineLevel="2" x14ac:dyDescent="0.25">
      <c r="A185" s="26"/>
      <c r="B185" s="11" t="str">
        <f>CONCATENATE("          ", "6007", " - ", "STUDENT HOURLY")</f>
        <v xml:space="preserve">          6007 - STUDENT HOURLY</v>
      </c>
      <c r="C185" s="11"/>
      <c r="D185" s="6">
        <v>82297.929999999993</v>
      </c>
      <c r="E185" s="2"/>
      <c r="F185" s="7">
        <f t="shared" si="26"/>
        <v>0.12622910825036407</v>
      </c>
      <c r="G185" s="2"/>
      <c r="H185" s="6">
        <v>3922.68</v>
      </c>
      <c r="I185" s="2"/>
      <c r="J185" s="7">
        <f t="shared" si="27"/>
        <v>4.848770877468587E-3</v>
      </c>
      <c r="K185" s="2"/>
      <c r="L185" s="6">
        <f t="shared" si="28"/>
        <v>78375.25</v>
      </c>
      <c r="M185" s="2"/>
      <c r="N185" s="7">
        <f t="shared" si="29"/>
        <v>19.980026410515261</v>
      </c>
      <c r="O185" s="11"/>
      <c r="P185" s="6">
        <v>627025.63</v>
      </c>
      <c r="Q185" s="2"/>
      <c r="R185" s="7">
        <f t="shared" si="30"/>
        <v>8.7794404628680198E-2</v>
      </c>
      <c r="S185" s="2"/>
      <c r="T185" s="6">
        <v>160092.83011320001</v>
      </c>
      <c r="U185" s="2"/>
      <c r="V185" s="7">
        <f t="shared" si="31"/>
        <v>2.1431671202447832E-2</v>
      </c>
      <c r="W185" s="2"/>
      <c r="X185" s="6">
        <f t="shared" si="32"/>
        <v>466932.7998868</v>
      </c>
      <c r="Y185" s="2"/>
      <c r="Z185" s="7">
        <f t="shared" si="33"/>
        <v>2.9166378004351388</v>
      </c>
    </row>
    <row r="186" spans="1:26" s="24" customFormat="1" hidden="1" outlineLevel="2" x14ac:dyDescent="0.25">
      <c r="A186" s="26"/>
      <c r="B186" s="11" t="str">
        <f>CONCATENATE("          ", "6008", " - ", "STUDENT HOURLY-FICA EXEMPT")</f>
        <v xml:space="preserve">          6008 - STUDENT HOURLY-FICA EXEMPT</v>
      </c>
      <c r="C186" s="11"/>
      <c r="D186" s="6">
        <v>2207.25</v>
      </c>
      <c r="E186" s="2"/>
      <c r="F186" s="7">
        <f t="shared" si="26"/>
        <v>3.3854946191917111E-3</v>
      </c>
      <c r="G186" s="2"/>
      <c r="H186" s="6">
        <v>100364.68671051999</v>
      </c>
      <c r="I186" s="2"/>
      <c r="J186" s="7">
        <f t="shared" si="27"/>
        <v>0.12405941092524189</v>
      </c>
      <c r="K186" s="2"/>
      <c r="L186" s="6">
        <f t="shared" si="28"/>
        <v>-98157.436710519993</v>
      </c>
      <c r="M186" s="2"/>
      <c r="N186" s="7">
        <f t="shared" si="29"/>
        <v>-0.97800770298455342</v>
      </c>
      <c r="O186" s="11"/>
      <c r="P186" s="6">
        <v>15274.04</v>
      </c>
      <c r="Q186" s="2"/>
      <c r="R186" s="7">
        <f t="shared" si="30"/>
        <v>2.1386290829525523E-3</v>
      </c>
      <c r="S186" s="2"/>
      <c r="T186" s="6">
        <v>545966.12824152003</v>
      </c>
      <c r="U186" s="2"/>
      <c r="V186" s="7">
        <f t="shared" si="31"/>
        <v>7.3088635761339782E-2</v>
      </c>
      <c r="W186" s="2"/>
      <c r="X186" s="6">
        <f t="shared" si="32"/>
        <v>-530692.08824151999</v>
      </c>
      <c r="Y186" s="2"/>
      <c r="Z186" s="7">
        <f t="shared" si="33"/>
        <v>-0.97202383223077304</v>
      </c>
    </row>
    <row r="187" spans="1:26" s="24" customFormat="1" hidden="1" outlineLevel="2" x14ac:dyDescent="0.25">
      <c r="A187" s="26"/>
      <c r="B187" s="11" t="str">
        <f>CONCATENATE("          ", "6009", " - ", "TEMPORARY-SEASONAL")</f>
        <v xml:space="preserve">          6009 - TEMPORARY-SEASONAL</v>
      </c>
      <c r="C187" s="11"/>
      <c r="D187" s="6"/>
      <c r="E187" s="2"/>
      <c r="F187" s="7">
        <f t="shared" si="26"/>
        <v>0</v>
      </c>
      <c r="G187" s="2"/>
      <c r="H187" s="6">
        <v>0</v>
      </c>
      <c r="I187" s="2"/>
      <c r="J187" s="7">
        <f t="shared" si="27"/>
        <v>0</v>
      </c>
      <c r="K187" s="2"/>
      <c r="L187" s="6">
        <f t="shared" si="28"/>
        <v>0</v>
      </c>
      <c r="M187" s="2"/>
      <c r="N187" s="7">
        <f t="shared" si="29"/>
        <v>0</v>
      </c>
      <c r="O187" s="11"/>
      <c r="P187" s="6"/>
      <c r="Q187" s="2"/>
      <c r="R187" s="7">
        <f t="shared" si="30"/>
        <v>0</v>
      </c>
      <c r="S187" s="2"/>
      <c r="T187" s="6">
        <v>0</v>
      </c>
      <c r="U187" s="2"/>
      <c r="V187" s="7">
        <f t="shared" si="31"/>
        <v>0</v>
      </c>
      <c r="W187" s="2"/>
      <c r="X187" s="6">
        <f t="shared" si="32"/>
        <v>0</v>
      </c>
      <c r="Y187" s="2"/>
      <c r="Z187" s="7">
        <f t="shared" si="33"/>
        <v>0</v>
      </c>
    </row>
    <row r="188" spans="1:26" s="24" customFormat="1" hidden="1" outlineLevel="2" x14ac:dyDescent="0.25">
      <c r="A188" s="26"/>
      <c r="B188" s="11" t="str">
        <f>CONCATENATE("          ", "6010", " - ", "GRATUITY")</f>
        <v xml:space="preserve">          6010 - GRATUITY</v>
      </c>
      <c r="C188" s="11"/>
      <c r="D188" s="6"/>
      <c r="E188" s="2"/>
      <c r="F188" s="7">
        <f t="shared" si="26"/>
        <v>0</v>
      </c>
      <c r="G188" s="2"/>
      <c r="H188" s="6">
        <v>0</v>
      </c>
      <c r="I188" s="2"/>
      <c r="J188" s="7">
        <f t="shared" si="27"/>
        <v>0</v>
      </c>
      <c r="K188" s="2"/>
      <c r="L188" s="6">
        <f t="shared" si="28"/>
        <v>0</v>
      </c>
      <c r="M188" s="2"/>
      <c r="N188" s="7">
        <f t="shared" si="29"/>
        <v>0</v>
      </c>
      <c r="O188" s="11"/>
      <c r="P188" s="6"/>
      <c r="Q188" s="2"/>
      <c r="R188" s="7">
        <f t="shared" si="30"/>
        <v>0</v>
      </c>
      <c r="S188" s="2"/>
      <c r="T188" s="6">
        <v>0</v>
      </c>
      <c r="U188" s="2"/>
      <c r="V188" s="7">
        <f t="shared" si="31"/>
        <v>0</v>
      </c>
      <c r="W188" s="2"/>
      <c r="X188" s="6">
        <f t="shared" si="32"/>
        <v>0</v>
      </c>
      <c r="Y188" s="2"/>
      <c r="Z188" s="7">
        <f t="shared" si="33"/>
        <v>0</v>
      </c>
    </row>
    <row r="189" spans="1:26" s="25" customFormat="1" outlineLevel="1" collapsed="1" x14ac:dyDescent="0.25">
      <c r="A189" s="27"/>
      <c r="B189" s="13" t="str">
        <f>CONCATENATE("     ","Advertising/Promo                                 ")</f>
        <v xml:space="preserve">     Advertising/Promo                                 </v>
      </c>
      <c r="C189" s="13"/>
      <c r="D189" s="1">
        <f>SUM(OSRRefD22_2x_0)</f>
        <v>5299.49</v>
      </c>
      <c r="E189" s="1"/>
      <c r="F189" s="5">
        <f t="shared" ref="F189:F193" si="34">IF(D$12=0,0,D189/D$12)</f>
        <v>8.1283927418553774E-3</v>
      </c>
      <c r="G189" s="1"/>
      <c r="H189" s="1">
        <f>SUM(OSRRefH22_2x_0)</f>
        <v>6320</v>
      </c>
      <c r="I189" s="1"/>
      <c r="J189" s="5">
        <f t="shared" ref="J189:J193" si="35">IF(H$12=0,0,H189/H$12)</f>
        <v>7.8120652068487534E-3</v>
      </c>
      <c r="K189" s="1"/>
      <c r="L189" s="1">
        <f t="shared" ref="L189:L193" si="36">+D189-H189</f>
        <v>-1020.5100000000002</v>
      </c>
      <c r="M189" s="1"/>
      <c r="N189" s="5">
        <f t="shared" ref="N189:N193" si="37">IF(H189=0,0,L189/H189)</f>
        <v>-0.16147310126582282</v>
      </c>
      <c r="O189" s="13"/>
      <c r="P189" s="1">
        <f>SUM(OSRRefP22_2x_0)</f>
        <v>39734.94</v>
      </c>
      <c r="Q189" s="1"/>
      <c r="R189" s="5">
        <f t="shared" ref="R189:R193" si="38">IF(P$12=0,0,P189/P$12)</f>
        <v>5.5635770427061009E-3</v>
      </c>
      <c r="S189" s="1"/>
      <c r="T189" s="1">
        <f>SUM(OSRRefT22_2x_0)</f>
        <v>39495</v>
      </c>
      <c r="U189" s="1"/>
      <c r="V189" s="5">
        <f t="shared" ref="V189:V193" si="39">IF(T$12=0,0,T189/T$12)</f>
        <v>5.2872065135094763E-3</v>
      </c>
      <c r="W189" s="1"/>
      <c r="X189" s="1">
        <f t="shared" ref="X189:X193" si="40">+P189-T189</f>
        <v>239.94000000000233</v>
      </c>
      <c r="Y189" s="1"/>
      <c r="Z189" s="5">
        <f t="shared" ref="Z189:Z193" si="41">IF(T189=0,0,X189/T189)</f>
        <v>6.0751993923282019E-3</v>
      </c>
    </row>
    <row r="190" spans="1:26" s="24" customFormat="1" hidden="1" outlineLevel="2" x14ac:dyDescent="0.25">
      <c r="A190" s="26"/>
      <c r="B190" s="11" t="str">
        <f>CONCATENATE("          ", "6362", " - ", "ADVERTISING EXPENSE")</f>
        <v xml:space="preserve">          6362 - ADVERTISING EXPENSE</v>
      </c>
      <c r="C190" s="11"/>
      <c r="D190" s="6">
        <v>5299.49</v>
      </c>
      <c r="E190" s="2"/>
      <c r="F190" s="7">
        <f t="shared" si="34"/>
        <v>8.1283927418553774E-3</v>
      </c>
      <c r="G190" s="2"/>
      <c r="H190" s="6">
        <v>6320</v>
      </c>
      <c r="I190" s="2"/>
      <c r="J190" s="7">
        <f t="shared" si="35"/>
        <v>7.8120652068487534E-3</v>
      </c>
      <c r="K190" s="2"/>
      <c r="L190" s="6">
        <f t="shared" si="36"/>
        <v>-1020.5100000000002</v>
      </c>
      <c r="M190" s="2"/>
      <c r="N190" s="7">
        <f t="shared" si="37"/>
        <v>-0.16147310126582282</v>
      </c>
      <c r="O190" s="11"/>
      <c r="P190" s="6">
        <v>39734.94</v>
      </c>
      <c r="Q190" s="2"/>
      <c r="R190" s="7">
        <f t="shared" si="38"/>
        <v>5.5635770427061009E-3</v>
      </c>
      <c r="S190" s="2"/>
      <c r="T190" s="6">
        <v>39495</v>
      </c>
      <c r="U190" s="2"/>
      <c r="V190" s="7">
        <f t="shared" si="39"/>
        <v>5.2872065135094763E-3</v>
      </c>
      <c r="W190" s="2"/>
      <c r="X190" s="6">
        <f t="shared" si="40"/>
        <v>239.94000000000233</v>
      </c>
      <c r="Y190" s="2"/>
      <c r="Z190" s="7">
        <f t="shared" si="41"/>
        <v>6.0751993923282019E-3</v>
      </c>
    </row>
    <row r="191" spans="1:26" s="25" customFormat="1" outlineLevel="1" collapsed="1" x14ac:dyDescent="0.25">
      <c r="A191" s="27"/>
      <c r="B191" s="13" t="str">
        <f>CONCATENATE("     ","Bad Debts/Over/Short                              ")</f>
        <v xml:space="preserve">     Bad Debts/Over/Short                              </v>
      </c>
      <c r="C191" s="13"/>
      <c r="D191" s="1">
        <f>SUM(OSRRefD22_3x_0)</f>
        <v>49.77</v>
      </c>
      <c r="E191" s="1"/>
      <c r="F191" s="5">
        <f t="shared" si="34"/>
        <v>7.6337554512253468E-5</v>
      </c>
      <c r="G191" s="1"/>
      <c r="H191" s="1">
        <f>SUM(OSRRefH22_3x_0)</f>
        <v>145</v>
      </c>
      <c r="I191" s="1"/>
      <c r="J191" s="5">
        <f t="shared" si="35"/>
        <v>1.7923250870143501E-4</v>
      </c>
      <c r="K191" s="1"/>
      <c r="L191" s="1">
        <f t="shared" si="36"/>
        <v>-95.22999999999999</v>
      </c>
      <c r="M191" s="1"/>
      <c r="N191" s="5">
        <f t="shared" si="37"/>
        <v>-0.65675862068965507</v>
      </c>
      <c r="O191" s="13"/>
      <c r="P191" s="1">
        <f>SUM(OSRRefP22_3x_0)</f>
        <v>-132.86000000000001</v>
      </c>
      <c r="Q191" s="1"/>
      <c r="R191" s="5">
        <f t="shared" si="38"/>
        <v>-1.8602691885125099E-5</v>
      </c>
      <c r="S191" s="1"/>
      <c r="T191" s="1">
        <f>SUM(OSRRefT22_3x_0)</f>
        <v>870</v>
      </c>
      <c r="U191" s="1"/>
      <c r="V191" s="5">
        <f t="shared" si="39"/>
        <v>1.164671393025255E-4</v>
      </c>
      <c r="W191" s="1"/>
      <c r="X191" s="1">
        <f t="shared" si="40"/>
        <v>-1002.86</v>
      </c>
      <c r="Y191" s="1"/>
      <c r="Z191" s="5">
        <f t="shared" si="41"/>
        <v>-1.152712643678161</v>
      </c>
    </row>
    <row r="192" spans="1:26" s="24" customFormat="1" hidden="1" outlineLevel="2" x14ac:dyDescent="0.25">
      <c r="A192" s="26"/>
      <c r="B192" s="11" t="str">
        <f>CONCATENATE("          ", "6272", " - ", "CASH (OVER/SHORT)")</f>
        <v xml:space="preserve">          6272 - CASH (OVER/SHORT)</v>
      </c>
      <c r="C192" s="11"/>
      <c r="D192" s="6">
        <v>49.77</v>
      </c>
      <c r="E192" s="2"/>
      <c r="F192" s="7">
        <f t="shared" si="34"/>
        <v>7.6337554512253468E-5</v>
      </c>
      <c r="G192" s="2"/>
      <c r="H192" s="6">
        <v>135</v>
      </c>
      <c r="I192" s="2"/>
      <c r="J192" s="7">
        <f t="shared" si="35"/>
        <v>1.6687164603237053E-4</v>
      </c>
      <c r="K192" s="2"/>
      <c r="L192" s="6">
        <f t="shared" si="36"/>
        <v>-85.22999999999999</v>
      </c>
      <c r="M192" s="2"/>
      <c r="N192" s="7">
        <f t="shared" si="37"/>
        <v>-0.6313333333333333</v>
      </c>
      <c r="O192" s="11"/>
      <c r="P192" s="6">
        <v>-177.66</v>
      </c>
      <c r="Q192" s="2"/>
      <c r="R192" s="7">
        <f t="shared" si="38"/>
        <v>-2.4875464702027128E-5</v>
      </c>
      <c r="S192" s="2"/>
      <c r="T192" s="6">
        <v>810</v>
      </c>
      <c r="U192" s="2"/>
      <c r="V192" s="7">
        <f t="shared" si="39"/>
        <v>1.0843492279890305E-4</v>
      </c>
      <c r="W192" s="2"/>
      <c r="X192" s="6">
        <f t="shared" si="40"/>
        <v>-987.66</v>
      </c>
      <c r="Y192" s="2"/>
      <c r="Z192" s="7">
        <f t="shared" si="41"/>
        <v>-1.2193333333333334</v>
      </c>
    </row>
    <row r="193" spans="1:26" s="24" customFormat="1" hidden="1" outlineLevel="2" x14ac:dyDescent="0.25">
      <c r="A193" s="26"/>
      <c r="B193" s="11" t="str">
        <f>CONCATENATE("          ", "6342", " - ", "BAD DEBT")</f>
        <v xml:space="preserve">          6342 - BAD DEBT</v>
      </c>
      <c r="C193" s="11"/>
      <c r="D193" s="6"/>
      <c r="E193" s="2"/>
      <c r="F193" s="7">
        <f t="shared" si="34"/>
        <v>0</v>
      </c>
      <c r="G193" s="2"/>
      <c r="H193" s="6">
        <v>10</v>
      </c>
      <c r="I193" s="2"/>
      <c r="J193" s="7">
        <f t="shared" si="35"/>
        <v>1.2360862669064484E-5</v>
      </c>
      <c r="K193" s="2"/>
      <c r="L193" s="6">
        <f t="shared" si="36"/>
        <v>-10</v>
      </c>
      <c r="M193" s="2"/>
      <c r="N193" s="7">
        <f t="shared" si="37"/>
        <v>-1</v>
      </c>
      <c r="O193" s="11"/>
      <c r="P193" s="6">
        <v>44.8</v>
      </c>
      <c r="Q193" s="2"/>
      <c r="R193" s="7">
        <f t="shared" si="38"/>
        <v>6.2727728169020341E-6</v>
      </c>
      <c r="S193" s="2"/>
      <c r="T193" s="6">
        <v>60</v>
      </c>
      <c r="U193" s="2"/>
      <c r="V193" s="7">
        <f t="shared" si="39"/>
        <v>8.0322165036224474E-6</v>
      </c>
      <c r="W193" s="2"/>
      <c r="X193" s="6">
        <f t="shared" si="40"/>
        <v>-15.200000000000003</v>
      </c>
      <c r="Y193" s="2"/>
      <c r="Z193" s="7">
        <f t="shared" si="41"/>
        <v>-0.25333333333333335</v>
      </c>
    </row>
    <row r="194" spans="1:26" s="25" customFormat="1" outlineLevel="1" collapsed="1" x14ac:dyDescent="0.25">
      <c r="A194" s="27"/>
      <c r="B194" s="13" t="str">
        <f>CONCATENATE("     ","Bank/card Fees                                    ")</f>
        <v xml:space="preserve">     Bank/card Fees                                    </v>
      </c>
      <c r="C194" s="13"/>
      <c r="D194" s="1">
        <f>SUM(OSRRefD22_4x_0)</f>
        <v>16826.95</v>
      </c>
      <c r="E194" s="1"/>
      <c r="F194" s="5">
        <f t="shared" ref="F194:F200" si="42">IF(D$12=0,0,D194/D$12)</f>
        <v>2.5809286978098523E-2</v>
      </c>
      <c r="G194" s="1"/>
      <c r="H194" s="1">
        <f>SUM(OSRRefH22_4x_0)</f>
        <v>37678</v>
      </c>
      <c r="I194" s="1"/>
      <c r="J194" s="5">
        <f t="shared" ref="J194:J200" si="43">IF(H$12=0,0,H194/H$12)</f>
        <v>4.6573258364501158E-2</v>
      </c>
      <c r="K194" s="1"/>
      <c r="L194" s="1">
        <f t="shared" ref="L194:L200" si="44">+D194-H194</f>
        <v>-20851.05</v>
      </c>
      <c r="M194" s="1"/>
      <c r="N194" s="5">
        <f t="shared" ref="N194:N200" si="45">IF(H194=0,0,L194/H194)</f>
        <v>-0.55340118902277191</v>
      </c>
      <c r="O194" s="13"/>
      <c r="P194" s="1">
        <f>SUM(OSRRefP22_4x_0)</f>
        <v>148383.18</v>
      </c>
      <c r="Q194" s="1"/>
      <c r="R194" s="5">
        <f t="shared" ref="R194:R200" si="46">IF(P$12=0,0,P194/P$12)</f>
        <v>2.0776204865836641E-2</v>
      </c>
      <c r="S194" s="1"/>
      <c r="T194" s="1">
        <f>SUM(OSRRefT22_4x_0)</f>
        <v>165194</v>
      </c>
      <c r="U194" s="1"/>
      <c r="V194" s="5">
        <f t="shared" ref="V194:V200" si="47">IF(T$12=0,0,T194/T$12)</f>
        <v>2.2114566218323445E-2</v>
      </c>
      <c r="W194" s="1"/>
      <c r="X194" s="1">
        <f t="shared" ref="X194:X200" si="48">+P194-T194</f>
        <v>-16810.820000000007</v>
      </c>
      <c r="Y194" s="1"/>
      <c r="Z194" s="5">
        <f t="shared" ref="Z194:Z200" si="49">IF(T194=0,0,X194/T194)</f>
        <v>-0.10176410765524176</v>
      </c>
    </row>
    <row r="195" spans="1:26" s="24" customFormat="1" hidden="1" outlineLevel="2" x14ac:dyDescent="0.25">
      <c r="A195" s="26"/>
      <c r="B195" s="11" t="str">
        <f>CONCATENATE("          ", "6381", " - ", "BANK/CREDIT CARD FEES")</f>
        <v xml:space="preserve">          6381 - BANK/CREDIT CARD FEES</v>
      </c>
      <c r="C195" s="11"/>
      <c r="D195" s="6">
        <v>16826.95</v>
      </c>
      <c r="E195" s="2"/>
      <c r="F195" s="7">
        <f t="shared" si="42"/>
        <v>2.5809286978098523E-2</v>
      </c>
      <c r="G195" s="2"/>
      <c r="H195" s="6">
        <v>37678</v>
      </c>
      <c r="I195" s="2"/>
      <c r="J195" s="7">
        <f t="shared" si="43"/>
        <v>4.6573258364501158E-2</v>
      </c>
      <c r="K195" s="2"/>
      <c r="L195" s="6">
        <f t="shared" si="44"/>
        <v>-20851.05</v>
      </c>
      <c r="M195" s="2"/>
      <c r="N195" s="7">
        <f t="shared" si="45"/>
        <v>-0.55340118902277191</v>
      </c>
      <c r="O195" s="11"/>
      <c r="P195" s="6">
        <v>148383.18</v>
      </c>
      <c r="Q195" s="2"/>
      <c r="R195" s="7">
        <f t="shared" si="46"/>
        <v>2.0776204865836641E-2</v>
      </c>
      <c r="S195" s="2"/>
      <c r="T195" s="6">
        <v>165194</v>
      </c>
      <c r="U195" s="2"/>
      <c r="V195" s="7">
        <f t="shared" si="47"/>
        <v>2.2114566218323445E-2</v>
      </c>
      <c r="W195" s="2"/>
      <c r="X195" s="6">
        <f t="shared" si="48"/>
        <v>-16810.820000000007</v>
      </c>
      <c r="Y195" s="2"/>
      <c r="Z195" s="7">
        <f t="shared" si="49"/>
        <v>-0.10176410765524176</v>
      </c>
    </row>
    <row r="196" spans="1:26" s="25" customFormat="1" outlineLevel="1" collapsed="1" x14ac:dyDescent="0.25">
      <c r="A196" s="27"/>
      <c r="B196" s="13" t="str">
        <f>CONCATENATE("     ","Depreciation                                      ")</f>
        <v xml:space="preserve">     Depreciation                                      </v>
      </c>
      <c r="C196" s="13"/>
      <c r="D196" s="1">
        <f>SUM(OSRRefD22_5x_0)</f>
        <v>38324.210000000006</v>
      </c>
      <c r="E196" s="1"/>
      <c r="F196" s="5">
        <f t="shared" si="42"/>
        <v>5.8781926261081981E-2</v>
      </c>
      <c r="G196" s="1"/>
      <c r="H196" s="1">
        <f>SUM(OSRRefH22_5x_0)</f>
        <v>39713</v>
      </c>
      <c r="I196" s="1"/>
      <c r="J196" s="5">
        <f t="shared" si="43"/>
        <v>4.908869391765578E-2</v>
      </c>
      <c r="K196" s="1"/>
      <c r="L196" s="1">
        <f t="shared" si="44"/>
        <v>-1388.7899999999936</v>
      </c>
      <c r="M196" s="1"/>
      <c r="N196" s="5">
        <f t="shared" si="45"/>
        <v>-3.4970664517915889E-2</v>
      </c>
      <c r="O196" s="13"/>
      <c r="P196" s="1">
        <f>SUM(OSRRefP22_5x_0)</f>
        <v>228378.76</v>
      </c>
      <c r="Q196" s="1"/>
      <c r="R196" s="5">
        <f t="shared" si="46"/>
        <v>3.1976966019772179E-2</v>
      </c>
      <c r="S196" s="1"/>
      <c r="T196" s="1">
        <f>SUM(OSRRefT22_5x_0)</f>
        <v>234693</v>
      </c>
      <c r="U196" s="1"/>
      <c r="V196" s="5">
        <f t="shared" si="47"/>
        <v>3.1418416464744386E-2</v>
      </c>
      <c r="W196" s="1"/>
      <c r="X196" s="1">
        <f t="shared" si="48"/>
        <v>-6314.2399999999907</v>
      </c>
      <c r="Y196" s="1"/>
      <c r="Z196" s="5">
        <f t="shared" si="49"/>
        <v>-2.6904253641991838E-2</v>
      </c>
    </row>
    <row r="197" spans="1:26" s="24" customFormat="1" hidden="1" outlineLevel="2" x14ac:dyDescent="0.25">
      <c r="A197" s="26"/>
      <c r="B197" s="11" t="str">
        <f>CONCATENATE("          ", "6321", " - ", "BUILDING DEPRECIATION")</f>
        <v xml:space="preserve">          6321 - BUILDING DEPRECIATION</v>
      </c>
      <c r="C197" s="11"/>
      <c r="D197" s="6">
        <v>21477.030000000002</v>
      </c>
      <c r="E197" s="2"/>
      <c r="F197" s="7">
        <f t="shared" si="42"/>
        <v>3.2941610375453151E-2</v>
      </c>
      <c r="G197" s="2"/>
      <c r="H197" s="6">
        <v>21478</v>
      </c>
      <c r="I197" s="2"/>
      <c r="J197" s="7">
        <f t="shared" si="43"/>
        <v>2.6548660840616696E-2</v>
      </c>
      <c r="K197" s="2"/>
      <c r="L197" s="6">
        <f t="shared" si="44"/>
        <v>-0.96999999999752617</v>
      </c>
      <c r="M197" s="2"/>
      <c r="N197" s="7">
        <f t="shared" si="45"/>
        <v>-4.5162491852012582E-5</v>
      </c>
      <c r="O197" s="11"/>
      <c r="P197" s="6">
        <v>128862.18000000001</v>
      </c>
      <c r="Q197" s="2"/>
      <c r="R197" s="7">
        <f t="shared" si="46"/>
        <v>1.804292812122181E-2</v>
      </c>
      <c r="S197" s="2"/>
      <c r="T197" s="6">
        <v>129036</v>
      </c>
      <c r="U197" s="2"/>
      <c r="V197" s="7">
        <f t="shared" si="47"/>
        <v>1.7274084812690438E-2</v>
      </c>
      <c r="W197" s="2"/>
      <c r="X197" s="6">
        <f t="shared" si="48"/>
        <v>-173.81999999999243</v>
      </c>
      <c r="Y197" s="2"/>
      <c r="Z197" s="7">
        <f t="shared" si="49"/>
        <v>-1.3470659350878237E-3</v>
      </c>
    </row>
    <row r="198" spans="1:26" s="24" customFormat="1" hidden="1" outlineLevel="2" x14ac:dyDescent="0.25">
      <c r="A198" s="26"/>
      <c r="B198" s="11" t="str">
        <f>CONCATENATE("          ", "6322", " - ", "EQUIPMENT DEPRECIATION EXPENSE")</f>
        <v xml:space="preserve">          6322 - EQUIPMENT DEPRECIATION EXPENSE</v>
      </c>
      <c r="C198" s="11"/>
      <c r="D198" s="6">
        <v>16847.18</v>
      </c>
      <c r="E198" s="2"/>
      <c r="F198" s="7">
        <f t="shared" si="42"/>
        <v>2.5840315885628819E-2</v>
      </c>
      <c r="G198" s="2"/>
      <c r="H198" s="6">
        <v>16224</v>
      </c>
      <c r="I198" s="2"/>
      <c r="J198" s="7">
        <f t="shared" si="43"/>
        <v>2.0054263594290217E-2</v>
      </c>
      <c r="K198" s="2"/>
      <c r="L198" s="6">
        <f t="shared" si="44"/>
        <v>623.18000000000029</v>
      </c>
      <c r="M198" s="2"/>
      <c r="N198" s="7">
        <f t="shared" si="45"/>
        <v>3.841099605522684E-2</v>
      </c>
      <c r="O198" s="11"/>
      <c r="P198" s="6">
        <v>99516.58</v>
      </c>
      <c r="Q198" s="2"/>
      <c r="R198" s="7">
        <f t="shared" si="46"/>
        <v>1.3934037898550371E-2</v>
      </c>
      <c r="S198" s="2"/>
      <c r="T198" s="6">
        <v>97344</v>
      </c>
      <c r="U198" s="2"/>
      <c r="V198" s="7">
        <f t="shared" si="47"/>
        <v>1.303146805547706E-2</v>
      </c>
      <c r="W198" s="2"/>
      <c r="X198" s="6">
        <f t="shared" si="48"/>
        <v>2172.5800000000017</v>
      </c>
      <c r="Y198" s="2"/>
      <c r="Z198" s="7">
        <f t="shared" si="49"/>
        <v>2.2318581525312312E-2</v>
      </c>
    </row>
    <row r="199" spans="1:26" s="24" customFormat="1" hidden="1" outlineLevel="2" x14ac:dyDescent="0.25">
      <c r="A199" s="26"/>
      <c r="B199" s="11" t="str">
        <f>CONCATENATE("          ", "6324", " - ", "FURNITURE + FIXT DEPRECIATION")</f>
        <v xml:space="preserve">          6324 - FURNITURE + FIXT DEPRECIATION</v>
      </c>
      <c r="C199" s="11"/>
      <c r="D199" s="6"/>
      <c r="E199" s="2"/>
      <c r="F199" s="7">
        <f t="shared" si="42"/>
        <v>0</v>
      </c>
      <c r="G199" s="2"/>
      <c r="H199" s="6">
        <v>1678</v>
      </c>
      <c r="I199" s="2"/>
      <c r="J199" s="7">
        <f t="shared" si="43"/>
        <v>2.0741527558690203E-3</v>
      </c>
      <c r="K199" s="2"/>
      <c r="L199" s="6">
        <f t="shared" si="44"/>
        <v>-1678</v>
      </c>
      <c r="M199" s="2"/>
      <c r="N199" s="7">
        <f t="shared" si="45"/>
        <v>-1</v>
      </c>
      <c r="O199" s="11"/>
      <c r="P199" s="6"/>
      <c r="Q199" s="2"/>
      <c r="R199" s="7">
        <f t="shared" si="46"/>
        <v>0</v>
      </c>
      <c r="S199" s="2"/>
      <c r="T199" s="6">
        <v>7314</v>
      </c>
      <c r="U199" s="2"/>
      <c r="V199" s="7">
        <f t="shared" si="47"/>
        <v>9.7912719179157632E-4</v>
      </c>
      <c r="W199" s="2"/>
      <c r="X199" s="6">
        <f t="shared" si="48"/>
        <v>-7314</v>
      </c>
      <c r="Y199" s="2"/>
      <c r="Z199" s="7">
        <f t="shared" si="49"/>
        <v>-1</v>
      </c>
    </row>
    <row r="200" spans="1:26" s="24" customFormat="1" hidden="1" outlineLevel="2" x14ac:dyDescent="0.25">
      <c r="A200" s="26"/>
      <c r="B200" s="11" t="str">
        <f>CONCATENATE("          ", "6326", " - ", "VEHICLES DEPRECIATION EXPENSE")</f>
        <v xml:space="preserve">          6326 - VEHICLES DEPRECIATION EXPENSE</v>
      </c>
      <c r="C200" s="11"/>
      <c r="D200" s="6"/>
      <c r="E200" s="2"/>
      <c r="F200" s="7">
        <f t="shared" si="42"/>
        <v>0</v>
      </c>
      <c r="G200" s="2"/>
      <c r="H200" s="6">
        <v>333</v>
      </c>
      <c r="I200" s="2"/>
      <c r="J200" s="7">
        <f t="shared" si="43"/>
        <v>4.1161672687984728E-4</v>
      </c>
      <c r="K200" s="2"/>
      <c r="L200" s="6">
        <f t="shared" si="44"/>
        <v>-333</v>
      </c>
      <c r="M200" s="2"/>
      <c r="N200" s="7">
        <f t="shared" si="45"/>
        <v>-1</v>
      </c>
      <c r="O200" s="11"/>
      <c r="P200" s="6"/>
      <c r="Q200" s="2"/>
      <c r="R200" s="7">
        <f t="shared" si="46"/>
        <v>0</v>
      </c>
      <c r="S200" s="2"/>
      <c r="T200" s="6">
        <v>999</v>
      </c>
      <c r="U200" s="2"/>
      <c r="V200" s="7">
        <f t="shared" si="47"/>
        <v>1.3373640478531377E-4</v>
      </c>
      <c r="W200" s="2"/>
      <c r="X200" s="6">
        <f t="shared" si="48"/>
        <v>-999</v>
      </c>
      <c r="Y200" s="2"/>
      <c r="Z200" s="7">
        <f t="shared" si="49"/>
        <v>-1</v>
      </c>
    </row>
    <row r="201" spans="1:26" s="25" customFormat="1" outlineLevel="1" collapsed="1" x14ac:dyDescent="0.25">
      <c r="A201" s="27"/>
      <c r="B201" s="13" t="str">
        <f>CONCATENATE("     ","Discounts and Markdowns                           ")</f>
        <v xml:space="preserve">     Discounts and Markdowns                           </v>
      </c>
      <c r="C201" s="13"/>
      <c r="D201" s="1">
        <f>SUM(OSRRefD22_6x_0)</f>
        <v>40836.03</v>
      </c>
      <c r="E201" s="1"/>
      <c r="F201" s="5">
        <f t="shared" ref="F201:F203" si="50">IF(D$12=0,0,D201/D$12)</f>
        <v>6.2634572356620816E-2</v>
      </c>
      <c r="G201" s="1"/>
      <c r="H201" s="1">
        <f>SUM(OSRRefH22_6x_0)</f>
        <v>56425</v>
      </c>
      <c r="I201" s="1"/>
      <c r="J201" s="5">
        <f t="shared" ref="J201:J203" si="51">IF(H$12=0,0,H201/H$12)</f>
        <v>6.974616761019635E-2</v>
      </c>
      <c r="K201" s="1"/>
      <c r="L201" s="1">
        <f t="shared" ref="L201:L203" si="52">+D201-H201</f>
        <v>-15588.970000000001</v>
      </c>
      <c r="M201" s="1"/>
      <c r="N201" s="5">
        <f t="shared" ref="N201:N203" si="53">IF(H201=0,0,L201/H201)</f>
        <v>-0.27627771377935312</v>
      </c>
      <c r="O201" s="13"/>
      <c r="P201" s="1">
        <f>SUM(OSRRefP22_6x_0)</f>
        <v>187780.71000000002</v>
      </c>
      <c r="Q201" s="1"/>
      <c r="R201" s="5">
        <f t="shared" ref="R201:R203" si="54">IF(P$12=0,0,P201/P$12)</f>
        <v>2.6292538688092948E-2</v>
      </c>
      <c r="S201" s="1"/>
      <c r="T201" s="1">
        <f>SUM(OSRRefT22_6x_0)</f>
        <v>192050</v>
      </c>
      <c r="U201" s="1"/>
      <c r="V201" s="5">
        <f t="shared" ref="V201:V203" si="55">IF(T$12=0,0,T201/T$12)</f>
        <v>2.5709786325344854E-2</v>
      </c>
      <c r="W201" s="1"/>
      <c r="X201" s="1">
        <f t="shared" ref="X201:X203" si="56">+P201-T201</f>
        <v>-4269.289999999979</v>
      </c>
      <c r="Y201" s="1"/>
      <c r="Z201" s="5">
        <f t="shared" ref="Z201:Z203" si="57">IF(T201=0,0,X201/T201)</f>
        <v>-2.2230096329080861E-2</v>
      </c>
    </row>
    <row r="202" spans="1:26" s="24" customFormat="1" hidden="1" outlineLevel="2" x14ac:dyDescent="0.25">
      <c r="A202" s="26"/>
      <c r="B202" s="11" t="str">
        <f>CONCATENATE("          ", "6382", " - ", "DISCOUNTS/MARK DOWNS")</f>
        <v xml:space="preserve">          6382 - DISCOUNTS/MARK DOWNS</v>
      </c>
      <c r="C202" s="11"/>
      <c r="D202" s="6">
        <v>40957.279999999999</v>
      </c>
      <c r="E202" s="2"/>
      <c r="F202" s="7">
        <f t="shared" si="50"/>
        <v>6.2820546406944525E-2</v>
      </c>
      <c r="G202" s="2"/>
      <c r="H202" s="6">
        <v>56425</v>
      </c>
      <c r="I202" s="2"/>
      <c r="J202" s="7">
        <f t="shared" si="51"/>
        <v>6.974616761019635E-2</v>
      </c>
      <c r="K202" s="2"/>
      <c r="L202" s="6">
        <f t="shared" si="52"/>
        <v>-15467.720000000001</v>
      </c>
      <c r="M202" s="2"/>
      <c r="N202" s="7">
        <f t="shared" si="53"/>
        <v>-0.27412884359769607</v>
      </c>
      <c r="O202" s="11"/>
      <c r="P202" s="6">
        <v>190267.21000000002</v>
      </c>
      <c r="Q202" s="2"/>
      <c r="R202" s="7">
        <f t="shared" si="54"/>
        <v>2.6640691581156051E-2</v>
      </c>
      <c r="S202" s="2"/>
      <c r="T202" s="6">
        <v>192050</v>
      </c>
      <c r="U202" s="2"/>
      <c r="V202" s="7">
        <f t="shared" si="55"/>
        <v>2.5709786325344854E-2</v>
      </c>
      <c r="W202" s="2"/>
      <c r="X202" s="6">
        <f t="shared" si="56"/>
        <v>-1782.789999999979</v>
      </c>
      <c r="Y202" s="2"/>
      <c r="Z202" s="7">
        <f t="shared" si="57"/>
        <v>-9.2829471491797915E-3</v>
      </c>
    </row>
    <row r="203" spans="1:26" s="24" customFormat="1" hidden="1" outlineLevel="2" x14ac:dyDescent="0.25">
      <c r="A203" s="26"/>
      <c r="B203" s="11" t="str">
        <f>CONCATENATE("          ", "9175", " - ", "EARNED DISCOUNTS")</f>
        <v xml:space="preserve">          9175 - EARNED DISCOUNTS</v>
      </c>
      <c r="C203" s="11"/>
      <c r="D203" s="6">
        <v>-121.25</v>
      </c>
      <c r="E203" s="2"/>
      <c r="F203" s="7">
        <f t="shared" si="50"/>
        <v>-1.8597405032370369E-4</v>
      </c>
      <c r="G203" s="2"/>
      <c r="H203" s="6"/>
      <c r="I203" s="2"/>
      <c r="J203" s="7">
        <f t="shared" si="51"/>
        <v>0</v>
      </c>
      <c r="K203" s="2"/>
      <c r="L203" s="6">
        <f t="shared" si="52"/>
        <v>-121.25</v>
      </c>
      <c r="M203" s="2"/>
      <c r="N203" s="7">
        <f t="shared" si="53"/>
        <v>0</v>
      </c>
      <c r="O203" s="11"/>
      <c r="P203" s="6">
        <v>-2486.5</v>
      </c>
      <c r="Q203" s="2"/>
      <c r="R203" s="7">
        <f t="shared" si="54"/>
        <v>-3.4815289306310064E-4</v>
      </c>
      <c r="S203" s="2"/>
      <c r="T203" s="6"/>
      <c r="U203" s="2"/>
      <c r="V203" s="7">
        <f t="shared" si="55"/>
        <v>0</v>
      </c>
      <c r="W203" s="2"/>
      <c r="X203" s="6">
        <f t="shared" si="56"/>
        <v>-2486.5</v>
      </c>
      <c r="Y203" s="2"/>
      <c r="Z203" s="7">
        <f t="shared" si="57"/>
        <v>0</v>
      </c>
    </row>
    <row r="204" spans="1:26" s="25" customFormat="1" outlineLevel="1" collapsed="1" x14ac:dyDescent="0.25">
      <c r="A204" s="27"/>
      <c r="B204" s="13" t="str">
        <f>CONCATENATE("     ","Donations                                         ")</f>
        <v xml:space="preserve">     Donations                                         </v>
      </c>
      <c r="C204" s="13"/>
      <c r="D204" s="1">
        <f>SUM(OSRRefD22_7x_0)</f>
        <v>150.84</v>
      </c>
      <c r="E204" s="1"/>
      <c r="F204" s="5">
        <f t="shared" ref="F204:F206" si="58">IF(D$12=0,0,D204/D$12)</f>
        <v>2.3135938763569044E-4</v>
      </c>
      <c r="G204" s="1"/>
      <c r="H204" s="1">
        <f>SUM(OSRRefH22_7x_0)</f>
        <v>1025</v>
      </c>
      <c r="I204" s="1"/>
      <c r="J204" s="5">
        <f t="shared" ref="J204:J206" si="59">IF(H$12=0,0,H204/H$12)</f>
        <v>1.2669884235791096E-3</v>
      </c>
      <c r="K204" s="1"/>
      <c r="L204" s="1">
        <f t="shared" ref="L204:L206" si="60">+D204-H204</f>
        <v>-874.16</v>
      </c>
      <c r="M204" s="1"/>
      <c r="N204" s="5">
        <f t="shared" ref="N204:N206" si="61">IF(H204=0,0,L204/H204)</f>
        <v>-0.85283902439024384</v>
      </c>
      <c r="O204" s="13"/>
      <c r="P204" s="1">
        <f>SUM(OSRRefP22_7x_0)</f>
        <v>9798.2199999999993</v>
      </c>
      <c r="Q204" s="1"/>
      <c r="R204" s="5">
        <f t="shared" ref="R204:R206" si="62">IF(P$12=0,0,P204/P$12)</f>
        <v>1.3719198229916484E-3</v>
      </c>
      <c r="S204" s="1"/>
      <c r="T204" s="1">
        <f>SUM(OSRRefT22_7x_0)</f>
        <v>6225</v>
      </c>
      <c r="U204" s="1"/>
      <c r="V204" s="5">
        <f t="shared" ref="V204:V206" si="63">IF(T$12=0,0,T204/T$12)</f>
        <v>8.3334246225082902E-4</v>
      </c>
      <c r="W204" s="1"/>
      <c r="X204" s="1">
        <f t="shared" ref="X204:X206" si="64">+P204-T204</f>
        <v>3573.2199999999993</v>
      </c>
      <c r="Y204" s="1"/>
      <c r="Z204" s="5">
        <f t="shared" ref="Z204:Z206" si="65">IF(T204=0,0,X204/T204)</f>
        <v>0.57401124497991962</v>
      </c>
    </row>
    <row r="205" spans="1:26" s="24" customFormat="1" hidden="1" outlineLevel="2" x14ac:dyDescent="0.25">
      <c r="A205" s="26"/>
      <c r="B205" s="11" t="str">
        <f>CONCATENATE("          ", "6395", " - ", "DONATION-OFF CAMPUS")</f>
        <v xml:space="preserve">          6395 - DONATION-OFF CAMPUS</v>
      </c>
      <c r="C205" s="11"/>
      <c r="D205" s="6"/>
      <c r="E205" s="2"/>
      <c r="F205" s="7">
        <f t="shared" si="58"/>
        <v>0</v>
      </c>
      <c r="G205" s="2"/>
      <c r="H205" s="6">
        <v>1025</v>
      </c>
      <c r="I205" s="2"/>
      <c r="J205" s="7">
        <f t="shared" si="59"/>
        <v>1.2669884235791096E-3</v>
      </c>
      <c r="K205" s="2"/>
      <c r="L205" s="6">
        <f t="shared" si="60"/>
        <v>-1025</v>
      </c>
      <c r="M205" s="2"/>
      <c r="N205" s="7">
        <f t="shared" si="61"/>
        <v>-1</v>
      </c>
      <c r="O205" s="11"/>
      <c r="P205" s="6"/>
      <c r="Q205" s="2"/>
      <c r="R205" s="7">
        <f t="shared" si="62"/>
        <v>0</v>
      </c>
      <c r="S205" s="2"/>
      <c r="T205" s="6">
        <v>6225</v>
      </c>
      <c r="U205" s="2"/>
      <c r="V205" s="7">
        <f t="shared" si="63"/>
        <v>8.3334246225082902E-4</v>
      </c>
      <c r="W205" s="2"/>
      <c r="X205" s="6">
        <f t="shared" si="64"/>
        <v>-6225</v>
      </c>
      <c r="Y205" s="2"/>
      <c r="Z205" s="7">
        <f t="shared" si="65"/>
        <v>-1</v>
      </c>
    </row>
    <row r="206" spans="1:26" s="24" customFormat="1" hidden="1" outlineLevel="2" x14ac:dyDescent="0.25">
      <c r="A206" s="26"/>
      <c r="B206" s="11" t="str">
        <f>CONCATENATE("          ", "6399", " - ", "DONATION-ON CAMPUS")</f>
        <v xml:space="preserve">          6399 - DONATION-ON CAMPUS</v>
      </c>
      <c r="C206" s="11"/>
      <c r="D206" s="6">
        <v>150.84</v>
      </c>
      <c r="E206" s="2"/>
      <c r="F206" s="7">
        <f t="shared" si="58"/>
        <v>2.3135938763569044E-4</v>
      </c>
      <c r="G206" s="2"/>
      <c r="H206" s="6"/>
      <c r="I206" s="2"/>
      <c r="J206" s="7">
        <f t="shared" si="59"/>
        <v>0</v>
      </c>
      <c r="K206" s="2"/>
      <c r="L206" s="6">
        <f t="shared" si="60"/>
        <v>150.84</v>
      </c>
      <c r="M206" s="2"/>
      <c r="N206" s="7">
        <f t="shared" si="61"/>
        <v>0</v>
      </c>
      <c r="O206" s="11"/>
      <c r="P206" s="6">
        <v>9798.2199999999993</v>
      </c>
      <c r="Q206" s="2"/>
      <c r="R206" s="7">
        <f t="shared" si="62"/>
        <v>1.3719198229916484E-3</v>
      </c>
      <c r="S206" s="2"/>
      <c r="T206" s="6"/>
      <c r="U206" s="2"/>
      <c r="V206" s="7">
        <f t="shared" si="63"/>
        <v>0</v>
      </c>
      <c r="W206" s="2"/>
      <c r="X206" s="6">
        <f t="shared" si="64"/>
        <v>9798.2199999999993</v>
      </c>
      <c r="Y206" s="2"/>
      <c r="Z206" s="7">
        <f t="shared" si="65"/>
        <v>0</v>
      </c>
    </row>
    <row r="207" spans="1:26" s="25" customFormat="1" outlineLevel="1" collapsed="1" x14ac:dyDescent="0.25">
      <c r="A207" s="27"/>
      <c r="B207" s="13" t="str">
        <f>CONCATENATE("     ","Employees' Appreciation                           ")</f>
        <v xml:space="preserve">     Employees' Appreciation                           </v>
      </c>
      <c r="C207" s="13"/>
      <c r="D207" s="1">
        <f>SUM(OSRRefD22_8x_0)</f>
        <v>187.38</v>
      </c>
      <c r="E207" s="1"/>
      <c r="F207" s="5">
        <f t="shared" ref="F207:F213" si="66">IF(D$12=0,0,D207/D$12)</f>
        <v>2.8740468082190184E-4</v>
      </c>
      <c r="G207" s="1"/>
      <c r="H207" s="1">
        <f>SUM(OSRRefH22_8x_0)</f>
        <v>800</v>
      </c>
      <c r="I207" s="1"/>
      <c r="J207" s="5">
        <f t="shared" ref="J207:J213" si="67">IF(H$12=0,0,H207/H$12)</f>
        <v>9.8886901352515872E-4</v>
      </c>
      <c r="K207" s="1"/>
      <c r="L207" s="1">
        <f t="shared" ref="L207:L213" si="68">+D207-H207</f>
        <v>-612.62</v>
      </c>
      <c r="M207" s="1"/>
      <c r="N207" s="5">
        <f t="shared" ref="N207:N213" si="69">IF(H207=0,0,L207/H207)</f>
        <v>-0.76577499999999998</v>
      </c>
      <c r="O207" s="13"/>
      <c r="P207" s="1">
        <f>SUM(OSRRefP22_8x_0)</f>
        <v>1290.96</v>
      </c>
      <c r="Q207" s="1"/>
      <c r="R207" s="5">
        <f t="shared" ref="R207:R213" si="70">IF(P$12=0,0,P207/P$12)</f>
        <v>1.8075666954705022E-4</v>
      </c>
      <c r="S207" s="1"/>
      <c r="T207" s="1">
        <f>SUM(OSRRefT22_8x_0)</f>
        <v>4425</v>
      </c>
      <c r="U207" s="1"/>
      <c r="V207" s="5">
        <f t="shared" ref="V207:V213" si="71">IF(T$12=0,0,T207/T$12)</f>
        <v>5.9237596714215555E-4</v>
      </c>
      <c r="W207" s="1"/>
      <c r="X207" s="1">
        <f t="shared" ref="X207:X213" si="72">+P207-T207</f>
        <v>-3134.04</v>
      </c>
      <c r="Y207" s="1"/>
      <c r="Z207" s="5">
        <f t="shared" ref="Z207:Z213" si="73">IF(T207=0,0,X207/T207)</f>
        <v>-0.70825762711864404</v>
      </c>
    </row>
    <row r="208" spans="1:26" s="24" customFormat="1" hidden="1" outlineLevel="2" x14ac:dyDescent="0.25">
      <c r="A208" s="26"/>
      <c r="B208" s="11" t="str">
        <f>CONCATENATE("          ", "6277", " - ", "EMPLOYEE APPRECIATION")</f>
        <v xml:space="preserve">          6277 - EMPLOYEE APPRECIATION</v>
      </c>
      <c r="C208" s="11"/>
      <c r="D208" s="6">
        <v>187.38</v>
      </c>
      <c r="E208" s="2"/>
      <c r="F208" s="7">
        <f t="shared" si="66"/>
        <v>2.8740468082190184E-4</v>
      </c>
      <c r="G208" s="2"/>
      <c r="H208" s="6">
        <v>800</v>
      </c>
      <c r="I208" s="2"/>
      <c r="J208" s="7">
        <f t="shared" si="67"/>
        <v>9.8886901352515872E-4</v>
      </c>
      <c r="K208" s="2"/>
      <c r="L208" s="6">
        <f t="shared" si="68"/>
        <v>-612.62</v>
      </c>
      <c r="M208" s="2"/>
      <c r="N208" s="7">
        <f t="shared" si="69"/>
        <v>-0.76577499999999998</v>
      </c>
      <c r="O208" s="11"/>
      <c r="P208" s="6">
        <v>1290.96</v>
      </c>
      <c r="Q208" s="2"/>
      <c r="R208" s="7">
        <f t="shared" si="70"/>
        <v>1.8075666954705022E-4</v>
      </c>
      <c r="S208" s="2"/>
      <c r="T208" s="6">
        <v>4425</v>
      </c>
      <c r="U208" s="2"/>
      <c r="V208" s="7">
        <f t="shared" si="71"/>
        <v>5.9237596714215555E-4</v>
      </c>
      <c r="W208" s="2"/>
      <c r="X208" s="6">
        <f t="shared" si="72"/>
        <v>-3134.04</v>
      </c>
      <c r="Y208" s="2"/>
      <c r="Z208" s="7">
        <f t="shared" si="73"/>
        <v>-0.70825762711864404</v>
      </c>
    </row>
    <row r="209" spans="1:26" s="25" customFormat="1" outlineLevel="1" collapsed="1" x14ac:dyDescent="0.25">
      <c r="A209" s="27"/>
      <c r="B209" s="13" t="str">
        <f>CONCATENATE("     ","Equipment Rental                                  ")</f>
        <v xml:space="preserve">     Equipment Rental                                  </v>
      </c>
      <c r="C209" s="13"/>
      <c r="D209" s="1">
        <f>SUM(OSRRefD22_9x_0)</f>
        <v>107.04</v>
      </c>
      <c r="E209" s="1"/>
      <c r="F209" s="5">
        <f t="shared" si="66"/>
        <v>1.6417865852906595E-4</v>
      </c>
      <c r="G209" s="1"/>
      <c r="H209" s="1">
        <f>SUM(OSRRefH22_9x_0)</f>
        <v>3305</v>
      </c>
      <c r="I209" s="1"/>
      <c r="J209" s="5">
        <f t="shared" si="67"/>
        <v>4.0852651121258115E-3</v>
      </c>
      <c r="K209" s="1"/>
      <c r="L209" s="1">
        <f t="shared" si="68"/>
        <v>-3197.96</v>
      </c>
      <c r="M209" s="1"/>
      <c r="N209" s="5">
        <f t="shared" si="69"/>
        <v>-0.96761270801815435</v>
      </c>
      <c r="O209" s="13"/>
      <c r="P209" s="1">
        <f>SUM(OSRRefP22_9x_0)</f>
        <v>11771.11</v>
      </c>
      <c r="Q209" s="1"/>
      <c r="R209" s="5">
        <f t="shared" si="70"/>
        <v>1.6481584560884756E-3</v>
      </c>
      <c r="S209" s="1"/>
      <c r="T209" s="1">
        <f>SUM(OSRRefT22_9x_0)</f>
        <v>19830</v>
      </c>
      <c r="U209" s="1"/>
      <c r="V209" s="5">
        <f t="shared" si="71"/>
        <v>2.654647554447219E-3</v>
      </c>
      <c r="W209" s="1"/>
      <c r="X209" s="1">
        <f t="shared" si="72"/>
        <v>-8058.8899999999994</v>
      </c>
      <c r="Y209" s="1"/>
      <c r="Z209" s="5">
        <f t="shared" si="73"/>
        <v>-0.40639889056984363</v>
      </c>
    </row>
    <row r="210" spans="1:26" s="24" customFormat="1" hidden="1" outlineLevel="2" x14ac:dyDescent="0.25">
      <c r="A210" s="26"/>
      <c r="B210" s="11" t="str">
        <f>CONCATENATE("          ", "6351", " - ", "EQUIPMENT RENTAL")</f>
        <v xml:space="preserve">          6351 - EQUIPMENT RENTAL</v>
      </c>
      <c r="C210" s="11"/>
      <c r="D210" s="6">
        <v>107.04</v>
      </c>
      <c r="E210" s="2"/>
      <c r="F210" s="7">
        <f t="shared" si="66"/>
        <v>1.6417865852906595E-4</v>
      </c>
      <c r="G210" s="2"/>
      <c r="H210" s="6">
        <v>3305</v>
      </c>
      <c r="I210" s="2"/>
      <c r="J210" s="7">
        <f t="shared" si="67"/>
        <v>4.0852651121258115E-3</v>
      </c>
      <c r="K210" s="2"/>
      <c r="L210" s="6">
        <f t="shared" si="68"/>
        <v>-3197.96</v>
      </c>
      <c r="M210" s="2"/>
      <c r="N210" s="7">
        <f t="shared" si="69"/>
        <v>-0.96761270801815435</v>
      </c>
      <c r="O210" s="11"/>
      <c r="P210" s="6">
        <v>11771.11</v>
      </c>
      <c r="Q210" s="2"/>
      <c r="R210" s="7">
        <f t="shared" si="70"/>
        <v>1.6481584560884756E-3</v>
      </c>
      <c r="S210" s="2"/>
      <c r="T210" s="6">
        <v>19830</v>
      </c>
      <c r="U210" s="2"/>
      <c r="V210" s="7">
        <f t="shared" si="71"/>
        <v>2.654647554447219E-3</v>
      </c>
      <c r="W210" s="2"/>
      <c r="X210" s="6">
        <f t="shared" si="72"/>
        <v>-8058.8899999999994</v>
      </c>
      <c r="Y210" s="2"/>
      <c r="Z210" s="7">
        <f t="shared" si="73"/>
        <v>-0.40639889056984363</v>
      </c>
    </row>
    <row r="211" spans="1:26" s="25" customFormat="1" outlineLevel="1" collapsed="1" x14ac:dyDescent="0.25">
      <c r="A211" s="27"/>
      <c r="B211" s="13" t="str">
        <f>CONCATENATE("     ","Freight out/Postage                               ")</f>
        <v xml:space="preserve">     Freight out/Postage                               </v>
      </c>
      <c r="C211" s="13"/>
      <c r="D211" s="1">
        <f>SUM(OSRRefD22_10x_0)</f>
        <v>1921.3400000000001</v>
      </c>
      <c r="E211" s="1"/>
      <c r="F211" s="5">
        <f t="shared" si="66"/>
        <v>2.9469639740119166E-3</v>
      </c>
      <c r="G211" s="1"/>
      <c r="H211" s="1">
        <f>SUM(OSRRefH22_10x_0)</f>
        <v>-1210</v>
      </c>
      <c r="I211" s="1"/>
      <c r="J211" s="5">
        <f t="shared" si="67"/>
        <v>-1.4956643829568024E-3</v>
      </c>
      <c r="K211" s="1"/>
      <c r="L211" s="1">
        <f t="shared" si="68"/>
        <v>3131.34</v>
      </c>
      <c r="M211" s="1"/>
      <c r="N211" s="5">
        <f t="shared" si="69"/>
        <v>-2.5878842975206613</v>
      </c>
      <c r="O211" s="13"/>
      <c r="P211" s="1">
        <f>SUM(OSRRefP22_10x_0)</f>
        <v>6784.27</v>
      </c>
      <c r="Q211" s="1"/>
      <c r="R211" s="5">
        <f t="shared" si="70"/>
        <v>9.4991483121705282E-4</v>
      </c>
      <c r="S211" s="1"/>
      <c r="T211" s="1">
        <f>SUM(OSRRefT22_10x_0)</f>
        <v>-29960</v>
      </c>
      <c r="U211" s="1"/>
      <c r="V211" s="5">
        <f t="shared" si="71"/>
        <v>-4.0107534408088093E-3</v>
      </c>
      <c r="W211" s="1"/>
      <c r="X211" s="1">
        <f t="shared" si="72"/>
        <v>36744.270000000004</v>
      </c>
      <c r="Y211" s="1"/>
      <c r="Z211" s="5">
        <f t="shared" si="73"/>
        <v>-1.2264442590120161</v>
      </c>
    </row>
    <row r="212" spans="1:26" s="24" customFormat="1" hidden="1" outlineLevel="2" x14ac:dyDescent="0.25">
      <c r="A212" s="26"/>
      <c r="B212" s="11" t="str">
        <f>CONCATENATE("          ", "6305", " - ", "FREIGHT OUT")</f>
        <v xml:space="preserve">          6305 - FREIGHT OUT</v>
      </c>
      <c r="C212" s="11"/>
      <c r="D212" s="6">
        <v>6027.58</v>
      </c>
      <c r="E212" s="2"/>
      <c r="F212" s="7">
        <f t="shared" si="66"/>
        <v>9.2451419896919587E-3</v>
      </c>
      <c r="G212" s="2"/>
      <c r="H212" s="6">
        <v>-1250</v>
      </c>
      <c r="I212" s="2"/>
      <c r="J212" s="7">
        <f t="shared" si="67"/>
        <v>-1.5451078336330604E-3</v>
      </c>
      <c r="K212" s="2"/>
      <c r="L212" s="6">
        <f t="shared" si="68"/>
        <v>7277.58</v>
      </c>
      <c r="M212" s="2"/>
      <c r="N212" s="7">
        <f t="shared" si="69"/>
        <v>-5.8220640000000001</v>
      </c>
      <c r="O212" s="11"/>
      <c r="P212" s="6">
        <v>34938.11</v>
      </c>
      <c r="Q212" s="2"/>
      <c r="R212" s="7">
        <f t="shared" si="70"/>
        <v>4.8919380955788645E-3</v>
      </c>
      <c r="S212" s="2"/>
      <c r="T212" s="6">
        <v>-30200</v>
      </c>
      <c r="U212" s="2"/>
      <c r="V212" s="7">
        <f t="shared" si="71"/>
        <v>-4.0428823068232988E-3</v>
      </c>
      <c r="W212" s="2"/>
      <c r="X212" s="6">
        <f t="shared" si="72"/>
        <v>65138.11</v>
      </c>
      <c r="Y212" s="2"/>
      <c r="Z212" s="7">
        <f t="shared" si="73"/>
        <v>-2.1568910596026489</v>
      </c>
    </row>
    <row r="213" spans="1:26" s="24" customFormat="1" hidden="1" outlineLevel="2" x14ac:dyDescent="0.25">
      <c r="A213" s="26"/>
      <c r="B213" s="11" t="str">
        <f>CONCATENATE("          ", "6307", " - ", "POSTAGE")</f>
        <v xml:space="preserve">          6307 - POSTAGE</v>
      </c>
      <c r="C213" s="11"/>
      <c r="D213" s="6">
        <v>-4106.24</v>
      </c>
      <c r="E213" s="2"/>
      <c r="F213" s="7">
        <f t="shared" si="66"/>
        <v>-6.2981780156800412E-3</v>
      </c>
      <c r="G213" s="2"/>
      <c r="H213" s="6">
        <v>40</v>
      </c>
      <c r="I213" s="2"/>
      <c r="J213" s="7">
        <f t="shared" si="67"/>
        <v>4.9443450676257937E-5</v>
      </c>
      <c r="K213" s="2"/>
      <c r="L213" s="6">
        <f t="shared" si="68"/>
        <v>-4146.24</v>
      </c>
      <c r="M213" s="2"/>
      <c r="N213" s="7">
        <f t="shared" si="69"/>
        <v>-103.65599999999999</v>
      </c>
      <c r="O213" s="11"/>
      <c r="P213" s="6">
        <v>-28153.84</v>
      </c>
      <c r="Q213" s="2"/>
      <c r="R213" s="7">
        <f t="shared" si="70"/>
        <v>-3.9420232643618122E-3</v>
      </c>
      <c r="S213" s="2"/>
      <c r="T213" s="6">
        <v>240</v>
      </c>
      <c r="U213" s="2"/>
      <c r="V213" s="7">
        <f t="shared" si="71"/>
        <v>3.212886601448979E-5</v>
      </c>
      <c r="W213" s="2"/>
      <c r="X213" s="6">
        <f t="shared" si="72"/>
        <v>-28393.84</v>
      </c>
      <c r="Y213" s="2"/>
      <c r="Z213" s="7">
        <f t="shared" si="73"/>
        <v>-118.30766666666666</v>
      </c>
    </row>
    <row r="214" spans="1:26" s="25" customFormat="1" outlineLevel="1" collapsed="1" x14ac:dyDescent="0.25">
      <c r="A214" s="27"/>
      <c r="B214" s="13" t="str">
        <f>CONCATENATE("     ","General                                           ")</f>
        <v xml:space="preserve">     General                                           </v>
      </c>
      <c r="C214" s="13"/>
      <c r="D214" s="1">
        <f>SUM(OSRRefD22_11x_0)</f>
        <v>2971.17</v>
      </c>
      <c r="E214" s="1"/>
      <c r="F214" s="5">
        <f t="shared" ref="F214:F232" si="74">IF(D$12=0,0,D214/D$12)</f>
        <v>4.5572001575280721E-3</v>
      </c>
      <c r="G214" s="1"/>
      <c r="H214" s="1">
        <f>SUM(OSRRefH22_11x_0)</f>
        <v>1524</v>
      </c>
      <c r="I214" s="1"/>
      <c r="J214" s="5">
        <f t="shared" ref="J214:J232" si="75">IF(H$12=0,0,H214/H$12)</f>
        <v>1.8837954707654272E-3</v>
      </c>
      <c r="K214" s="1"/>
      <c r="L214" s="1">
        <f t="shared" ref="L214:L232" si="76">+D214-H214</f>
        <v>1447.17</v>
      </c>
      <c r="M214" s="1"/>
      <c r="N214" s="5">
        <f t="shared" ref="N214:N232" si="77">IF(H214=0,0,L214/H214)</f>
        <v>0.94958661417322843</v>
      </c>
      <c r="O214" s="13"/>
      <c r="P214" s="1">
        <f>SUM(OSRRefP22_11x_0)</f>
        <v>5481.39</v>
      </c>
      <c r="Q214" s="1"/>
      <c r="R214" s="5">
        <f t="shared" ref="R214:R232" si="78">IF(P$12=0,0,P214/P$12)</f>
        <v>7.674891560455054E-4</v>
      </c>
      <c r="S214" s="1"/>
      <c r="T214" s="1">
        <f>SUM(OSRRefT22_11x_0)</f>
        <v>23132</v>
      </c>
      <c r="U214" s="1"/>
      <c r="V214" s="5">
        <f t="shared" ref="V214:V232" si="79">IF(T$12=0,0,T214/T$12)</f>
        <v>3.0966872026965747E-3</v>
      </c>
      <c r="W214" s="1"/>
      <c r="X214" s="1">
        <f t="shared" ref="X214:X232" si="80">+P214-T214</f>
        <v>-17650.61</v>
      </c>
      <c r="Y214" s="1"/>
      <c r="Z214" s="5">
        <f t="shared" ref="Z214:Z232" si="81">IF(T214=0,0,X214/T214)</f>
        <v>-0.76303864776067787</v>
      </c>
    </row>
    <row r="215" spans="1:26" s="24" customFormat="1" hidden="1" outlineLevel="2" x14ac:dyDescent="0.25">
      <c r="A215" s="26"/>
      <c r="B215" s="11" t="str">
        <f>CONCATENATE("          ", "6279", " - ", "GENERAL EXPENSE")</f>
        <v xml:space="preserve">          6279 - GENERAL EXPENSE</v>
      </c>
      <c r="C215" s="11"/>
      <c r="D215" s="6">
        <v>2971.17</v>
      </c>
      <c r="E215" s="2"/>
      <c r="F215" s="7">
        <f t="shared" si="74"/>
        <v>4.5572001575280721E-3</v>
      </c>
      <c r="G215" s="2"/>
      <c r="H215" s="6">
        <v>1524</v>
      </c>
      <c r="I215" s="2"/>
      <c r="J215" s="7">
        <f t="shared" si="75"/>
        <v>1.8837954707654272E-3</v>
      </c>
      <c r="K215" s="2"/>
      <c r="L215" s="6">
        <f t="shared" si="76"/>
        <v>1447.17</v>
      </c>
      <c r="M215" s="2"/>
      <c r="N215" s="7">
        <f t="shared" si="77"/>
        <v>0.94958661417322843</v>
      </c>
      <c r="O215" s="11"/>
      <c r="P215" s="6">
        <v>5481.39</v>
      </c>
      <c r="Q215" s="2"/>
      <c r="R215" s="7">
        <f t="shared" si="78"/>
        <v>7.674891560455054E-4</v>
      </c>
      <c r="S215" s="2"/>
      <c r="T215" s="6">
        <v>23132</v>
      </c>
      <c r="U215" s="2"/>
      <c r="V215" s="7">
        <f t="shared" si="79"/>
        <v>3.0966872026965747E-3</v>
      </c>
      <c r="W215" s="2"/>
      <c r="X215" s="6">
        <f t="shared" si="80"/>
        <v>-17650.61</v>
      </c>
      <c r="Y215" s="2"/>
      <c r="Z215" s="7">
        <f t="shared" si="81"/>
        <v>-0.76303864776067787</v>
      </c>
    </row>
    <row r="216" spans="1:26" s="25" customFormat="1" outlineLevel="1" collapsed="1" x14ac:dyDescent="0.25">
      <c r="A216" s="27"/>
      <c r="B216" s="13" t="str">
        <f>CONCATENATE("     ","Insurance                                         ")</f>
        <v xml:space="preserve">     Insurance                                         </v>
      </c>
      <c r="C216" s="13"/>
      <c r="D216" s="1">
        <f>SUM(OSRRefD22_12x_0)</f>
        <v>4288.28</v>
      </c>
      <c r="E216" s="1"/>
      <c r="F216" s="5">
        <f t="shared" si="74"/>
        <v>6.5773921692546975E-3</v>
      </c>
      <c r="G216" s="1"/>
      <c r="H216" s="1">
        <f>SUM(OSRRefH22_12x_0)</f>
        <v>4045</v>
      </c>
      <c r="I216" s="1"/>
      <c r="J216" s="5">
        <f t="shared" si="75"/>
        <v>4.9999689496365834E-3</v>
      </c>
      <c r="K216" s="1"/>
      <c r="L216" s="1">
        <f t="shared" si="76"/>
        <v>243.27999999999975</v>
      </c>
      <c r="M216" s="1"/>
      <c r="N216" s="5">
        <f t="shared" si="77"/>
        <v>6.0143386897404137E-2</v>
      </c>
      <c r="O216" s="13"/>
      <c r="P216" s="1">
        <f>SUM(OSRRefP22_12x_0)</f>
        <v>25729.68</v>
      </c>
      <c r="Q216" s="1"/>
      <c r="R216" s="5">
        <f t="shared" si="78"/>
        <v>3.6025990466872306E-3</v>
      </c>
      <c r="S216" s="1"/>
      <c r="T216" s="1">
        <f>SUM(OSRRefT22_12x_0)</f>
        <v>24270</v>
      </c>
      <c r="U216" s="1"/>
      <c r="V216" s="5">
        <f t="shared" si="79"/>
        <v>3.2490315757152805E-3</v>
      </c>
      <c r="W216" s="1"/>
      <c r="X216" s="1">
        <f t="shared" si="80"/>
        <v>1459.6800000000003</v>
      </c>
      <c r="Y216" s="1"/>
      <c r="Z216" s="5">
        <f t="shared" si="81"/>
        <v>6.0143386897404214E-2</v>
      </c>
    </row>
    <row r="217" spans="1:26" s="24" customFormat="1" hidden="1" outlineLevel="2" x14ac:dyDescent="0.25">
      <c r="A217" s="26"/>
      <c r="B217" s="11" t="str">
        <f>CONCATENATE("          ", "6314", " - ", "LIABILITY INSURANCE")</f>
        <v xml:space="preserve">          6314 - LIABILITY INSURANCE</v>
      </c>
      <c r="C217" s="11"/>
      <c r="D217" s="6">
        <v>4288.28</v>
      </c>
      <c r="E217" s="2"/>
      <c r="F217" s="7">
        <f t="shared" si="74"/>
        <v>6.5773921692546975E-3</v>
      </c>
      <c r="G217" s="2"/>
      <c r="H217" s="6">
        <v>4045</v>
      </c>
      <c r="I217" s="2"/>
      <c r="J217" s="7">
        <f t="shared" si="75"/>
        <v>4.9999689496365834E-3</v>
      </c>
      <c r="K217" s="2"/>
      <c r="L217" s="6">
        <f t="shared" si="76"/>
        <v>243.27999999999975</v>
      </c>
      <c r="M217" s="2"/>
      <c r="N217" s="7">
        <f t="shared" si="77"/>
        <v>6.0143386897404137E-2</v>
      </c>
      <c r="O217" s="11"/>
      <c r="P217" s="6">
        <v>25729.68</v>
      </c>
      <c r="Q217" s="2"/>
      <c r="R217" s="7">
        <f t="shared" si="78"/>
        <v>3.6025990466872306E-3</v>
      </c>
      <c r="S217" s="2"/>
      <c r="T217" s="6">
        <v>24270</v>
      </c>
      <c r="U217" s="2"/>
      <c r="V217" s="7">
        <f t="shared" si="79"/>
        <v>3.2490315757152805E-3</v>
      </c>
      <c r="W217" s="2"/>
      <c r="X217" s="6">
        <f t="shared" si="80"/>
        <v>1459.6800000000003</v>
      </c>
      <c r="Y217" s="2"/>
      <c r="Z217" s="7">
        <f t="shared" si="81"/>
        <v>6.0143386897404214E-2</v>
      </c>
    </row>
    <row r="218" spans="1:26" s="25" customFormat="1" outlineLevel="1" collapsed="1" x14ac:dyDescent="0.25">
      <c r="A218" s="27"/>
      <c r="B218" s="13" t="str">
        <f>CONCATENATE("     ","Interest                                          ")</f>
        <v xml:space="preserve">     Interest                                          </v>
      </c>
      <c r="C218" s="13"/>
      <c r="D218" s="1">
        <f>SUM(OSRRefD22_13x_0)</f>
        <v>4175</v>
      </c>
      <c r="E218" s="1"/>
      <c r="F218" s="5">
        <f t="shared" si="74"/>
        <v>6.403642557537839E-3</v>
      </c>
      <c r="G218" s="1"/>
      <c r="H218" s="1">
        <f>SUM(OSRRefH22_13x_0)</f>
        <v>4175</v>
      </c>
      <c r="I218" s="1"/>
      <c r="J218" s="5">
        <f t="shared" si="75"/>
        <v>5.160660164334422E-3</v>
      </c>
      <c r="K218" s="1"/>
      <c r="L218" s="1">
        <f t="shared" si="76"/>
        <v>0</v>
      </c>
      <c r="M218" s="1"/>
      <c r="N218" s="5">
        <f t="shared" si="77"/>
        <v>0</v>
      </c>
      <c r="O218" s="13"/>
      <c r="P218" s="1">
        <f>SUM(OSRRefP22_13x_0)</f>
        <v>24843.95</v>
      </c>
      <c r="Q218" s="1"/>
      <c r="R218" s="5">
        <f t="shared" si="78"/>
        <v>3.4785815675105647E-3</v>
      </c>
      <c r="S218" s="1"/>
      <c r="T218" s="1">
        <f>SUM(OSRRefT22_13x_0)</f>
        <v>25050</v>
      </c>
      <c r="U218" s="1"/>
      <c r="V218" s="5">
        <f t="shared" si="79"/>
        <v>3.3534503902623719E-3</v>
      </c>
      <c r="W218" s="1"/>
      <c r="X218" s="1">
        <f t="shared" si="80"/>
        <v>-206.04999999999927</v>
      </c>
      <c r="Y218" s="1"/>
      <c r="Z218" s="5">
        <f t="shared" si="81"/>
        <v>-8.2255489021955796E-3</v>
      </c>
    </row>
    <row r="219" spans="1:26" s="24" customFormat="1" hidden="1" outlineLevel="2" x14ac:dyDescent="0.25">
      <c r="A219" s="26"/>
      <c r="B219" s="11" t="str">
        <f>CONCATENATE("          ", "6401", " - ", "INTEREST EXPENSE")</f>
        <v xml:space="preserve">          6401 - INTEREST EXPENSE</v>
      </c>
      <c r="C219" s="11"/>
      <c r="D219" s="6">
        <v>4175</v>
      </c>
      <c r="E219" s="2"/>
      <c r="F219" s="7">
        <f t="shared" si="74"/>
        <v>6.403642557537839E-3</v>
      </c>
      <c r="G219" s="2"/>
      <c r="H219" s="6">
        <v>4175</v>
      </c>
      <c r="I219" s="2"/>
      <c r="J219" s="7">
        <f t="shared" si="75"/>
        <v>5.160660164334422E-3</v>
      </c>
      <c r="K219" s="2"/>
      <c r="L219" s="6">
        <f t="shared" si="76"/>
        <v>0</v>
      </c>
      <c r="M219" s="2"/>
      <c r="N219" s="7">
        <f t="shared" si="77"/>
        <v>0</v>
      </c>
      <c r="O219" s="11"/>
      <c r="P219" s="6">
        <v>24843.95</v>
      </c>
      <c r="Q219" s="2"/>
      <c r="R219" s="7">
        <f t="shared" si="78"/>
        <v>3.4785815675105647E-3</v>
      </c>
      <c r="S219" s="2"/>
      <c r="T219" s="6">
        <v>25050</v>
      </c>
      <c r="U219" s="2"/>
      <c r="V219" s="7">
        <f t="shared" si="79"/>
        <v>3.3534503902623719E-3</v>
      </c>
      <c r="W219" s="2"/>
      <c r="X219" s="6">
        <f t="shared" si="80"/>
        <v>-206.04999999999927</v>
      </c>
      <c r="Y219" s="2"/>
      <c r="Z219" s="7">
        <f t="shared" si="81"/>
        <v>-8.2255489021955796E-3</v>
      </c>
    </row>
    <row r="220" spans="1:26" s="25" customFormat="1" outlineLevel="1" collapsed="1" x14ac:dyDescent="0.25">
      <c r="A220" s="27"/>
      <c r="B220" s="13" t="str">
        <f>CONCATENATE("     ","Inventory Adjustment                              ")</f>
        <v xml:space="preserve">     Inventory Adjustment                              </v>
      </c>
      <c r="C220" s="13"/>
      <c r="D220" s="1">
        <f>SUM(OSRRefD22_14x_0)</f>
        <v>10050</v>
      </c>
      <c r="E220" s="1"/>
      <c r="F220" s="5">
        <f t="shared" si="74"/>
        <v>1.5414756336109049E-2</v>
      </c>
      <c r="G220" s="1"/>
      <c r="H220" s="1">
        <f>SUM(OSRRefH22_14x_0)</f>
        <v>10050</v>
      </c>
      <c r="I220" s="1"/>
      <c r="J220" s="5">
        <f t="shared" si="75"/>
        <v>1.2422666982409805E-2</v>
      </c>
      <c r="K220" s="1"/>
      <c r="L220" s="1">
        <f t="shared" si="76"/>
        <v>0</v>
      </c>
      <c r="M220" s="1"/>
      <c r="N220" s="5">
        <f t="shared" si="77"/>
        <v>0</v>
      </c>
      <c r="O220" s="13"/>
      <c r="P220" s="1">
        <f>SUM(OSRRefP22_14x_0)</f>
        <v>31200</v>
      </c>
      <c r="Q220" s="1"/>
      <c r="R220" s="5">
        <f t="shared" si="78"/>
        <v>4.3685382117710598E-3</v>
      </c>
      <c r="S220" s="1"/>
      <c r="T220" s="1">
        <f>SUM(OSRRefT22_14x_0)</f>
        <v>31200</v>
      </c>
      <c r="U220" s="1"/>
      <c r="V220" s="5">
        <f t="shared" si="79"/>
        <v>4.1767525818836729E-3</v>
      </c>
      <c r="W220" s="1"/>
      <c r="X220" s="1">
        <f t="shared" si="80"/>
        <v>0</v>
      </c>
      <c r="Y220" s="1"/>
      <c r="Z220" s="5">
        <f t="shared" si="81"/>
        <v>0</v>
      </c>
    </row>
    <row r="221" spans="1:26" s="24" customFormat="1" hidden="1" outlineLevel="2" x14ac:dyDescent="0.25">
      <c r="A221" s="26"/>
      <c r="B221" s="11" t="str">
        <f>CONCATENATE("          ", "6408", " - ", "INVENTORY ADJUSTMENT")</f>
        <v xml:space="preserve">          6408 - INVENTORY ADJUSTMENT</v>
      </c>
      <c r="C221" s="11"/>
      <c r="D221" s="6">
        <v>10050</v>
      </c>
      <c r="E221" s="2"/>
      <c r="F221" s="7">
        <f t="shared" si="74"/>
        <v>1.5414756336109049E-2</v>
      </c>
      <c r="G221" s="2"/>
      <c r="H221" s="6">
        <v>10050</v>
      </c>
      <c r="I221" s="2"/>
      <c r="J221" s="7">
        <f t="shared" si="75"/>
        <v>1.2422666982409805E-2</v>
      </c>
      <c r="K221" s="2"/>
      <c r="L221" s="6">
        <f t="shared" si="76"/>
        <v>0</v>
      </c>
      <c r="M221" s="2"/>
      <c r="N221" s="7">
        <f t="shared" si="77"/>
        <v>0</v>
      </c>
      <c r="O221" s="11"/>
      <c r="P221" s="6">
        <v>31200</v>
      </c>
      <c r="Q221" s="2"/>
      <c r="R221" s="7">
        <f t="shared" si="78"/>
        <v>4.3685382117710598E-3</v>
      </c>
      <c r="S221" s="2"/>
      <c r="T221" s="6">
        <v>31200</v>
      </c>
      <c r="U221" s="2"/>
      <c r="V221" s="7">
        <f t="shared" si="79"/>
        <v>4.1767525818836729E-3</v>
      </c>
      <c r="W221" s="2"/>
      <c r="X221" s="6">
        <f t="shared" si="80"/>
        <v>0</v>
      </c>
      <c r="Y221" s="2"/>
      <c r="Z221" s="7">
        <f t="shared" si="81"/>
        <v>0</v>
      </c>
    </row>
    <row r="222" spans="1:26" s="25" customFormat="1" outlineLevel="1" collapsed="1" x14ac:dyDescent="0.25">
      <c r="A222" s="27"/>
      <c r="B222" s="13" t="str">
        <f>CONCATENATE("     ","Professional Services                             ")</f>
        <v xml:space="preserve">     Professional Services                             </v>
      </c>
      <c r="C222" s="13"/>
      <c r="D222" s="1">
        <f>SUM(OSRRefD22_15x_0)</f>
        <v>41.15</v>
      </c>
      <c r="E222" s="1"/>
      <c r="F222" s="5">
        <f t="shared" si="74"/>
        <v>6.3116141615013671E-5</v>
      </c>
      <c r="G222" s="1"/>
      <c r="H222" s="1">
        <f>SUM(OSRRefH22_15x_0)</f>
        <v>1015</v>
      </c>
      <c r="I222" s="1"/>
      <c r="J222" s="5">
        <f t="shared" si="75"/>
        <v>1.2546275609100451E-3</v>
      </c>
      <c r="K222" s="1"/>
      <c r="L222" s="1">
        <f t="shared" si="76"/>
        <v>-973.85</v>
      </c>
      <c r="M222" s="1"/>
      <c r="N222" s="5">
        <f t="shared" si="77"/>
        <v>-0.95945812807881781</v>
      </c>
      <c r="O222" s="13"/>
      <c r="P222" s="1">
        <f>SUM(OSRRefP22_15x_0)</f>
        <v>6199.56</v>
      </c>
      <c r="Q222" s="1"/>
      <c r="R222" s="5">
        <f t="shared" si="78"/>
        <v>8.6804534474895488E-4</v>
      </c>
      <c r="S222" s="1"/>
      <c r="T222" s="1">
        <f>SUM(OSRRefT22_15x_0)</f>
        <v>8740</v>
      </c>
      <c r="U222" s="1"/>
      <c r="V222" s="5">
        <f t="shared" si="79"/>
        <v>1.17002620402767E-3</v>
      </c>
      <c r="W222" s="1"/>
      <c r="X222" s="1">
        <f t="shared" si="80"/>
        <v>-2540.4399999999996</v>
      </c>
      <c r="Y222" s="1"/>
      <c r="Z222" s="5">
        <f t="shared" si="81"/>
        <v>-0.2906681922196796</v>
      </c>
    </row>
    <row r="223" spans="1:26" s="24" customFormat="1" hidden="1" outlineLevel="2" x14ac:dyDescent="0.25">
      <c r="A223" s="26"/>
      <c r="B223" s="11" t="str">
        <f>CONCATENATE("          ", "6336", " - ", "PROFESSIONAL SERVICES")</f>
        <v xml:space="preserve">          6336 - PROFESSIONAL SERVICES</v>
      </c>
      <c r="C223" s="11"/>
      <c r="D223" s="6">
        <v>41.15</v>
      </c>
      <c r="E223" s="2"/>
      <c r="F223" s="7">
        <f t="shared" si="74"/>
        <v>6.3116141615013671E-5</v>
      </c>
      <c r="G223" s="2"/>
      <c r="H223" s="6">
        <v>1015</v>
      </c>
      <c r="I223" s="2"/>
      <c r="J223" s="7">
        <f t="shared" si="75"/>
        <v>1.2546275609100451E-3</v>
      </c>
      <c r="K223" s="2"/>
      <c r="L223" s="6">
        <f t="shared" si="76"/>
        <v>-973.85</v>
      </c>
      <c r="M223" s="2"/>
      <c r="N223" s="7">
        <f t="shared" si="77"/>
        <v>-0.95945812807881781</v>
      </c>
      <c r="O223" s="11"/>
      <c r="P223" s="6">
        <v>6199.56</v>
      </c>
      <c r="Q223" s="2"/>
      <c r="R223" s="7">
        <f t="shared" si="78"/>
        <v>8.6804534474895488E-4</v>
      </c>
      <c r="S223" s="2"/>
      <c r="T223" s="6">
        <v>8740</v>
      </c>
      <c r="U223" s="2"/>
      <c r="V223" s="7">
        <f t="shared" si="79"/>
        <v>1.17002620402767E-3</v>
      </c>
      <c r="W223" s="2"/>
      <c r="X223" s="6">
        <f t="shared" si="80"/>
        <v>-2540.4399999999996</v>
      </c>
      <c r="Y223" s="2"/>
      <c r="Z223" s="7">
        <f t="shared" si="81"/>
        <v>-0.2906681922196796</v>
      </c>
    </row>
    <row r="224" spans="1:26" s="25" customFormat="1" outlineLevel="1" collapsed="1" x14ac:dyDescent="0.25">
      <c r="A224" s="27"/>
      <c r="B224" s="13" t="str">
        <f>CONCATENATE("     ","R/H Commissions                                   ")</f>
        <v xml:space="preserve">     R/H Commissions                                   </v>
      </c>
      <c r="C224" s="13"/>
      <c r="D224" s="1">
        <f>SUM(OSRRefD22_16x_0)</f>
        <v>0</v>
      </c>
      <c r="E224" s="1"/>
      <c r="F224" s="5">
        <f t="shared" si="74"/>
        <v>0</v>
      </c>
      <c r="G224" s="1"/>
      <c r="H224" s="1">
        <f>SUM(OSRRefH22_16x_0)</f>
        <v>0</v>
      </c>
      <c r="I224" s="1"/>
      <c r="J224" s="5">
        <f t="shared" si="75"/>
        <v>0</v>
      </c>
      <c r="K224" s="1"/>
      <c r="L224" s="1">
        <f t="shared" si="76"/>
        <v>0</v>
      </c>
      <c r="M224" s="1"/>
      <c r="N224" s="5">
        <f t="shared" si="77"/>
        <v>0</v>
      </c>
      <c r="O224" s="13"/>
      <c r="P224" s="1">
        <f>SUM(OSRRefP22_16x_0)</f>
        <v>0</v>
      </c>
      <c r="Q224" s="1"/>
      <c r="R224" s="5">
        <f t="shared" si="78"/>
        <v>0</v>
      </c>
      <c r="S224" s="1"/>
      <c r="T224" s="1">
        <f>SUM(OSRRefT22_16x_0)</f>
        <v>0</v>
      </c>
      <c r="U224" s="1"/>
      <c r="V224" s="5">
        <f t="shared" si="79"/>
        <v>0</v>
      </c>
      <c r="W224" s="1"/>
      <c r="X224" s="1">
        <f t="shared" si="80"/>
        <v>0</v>
      </c>
      <c r="Y224" s="1"/>
      <c r="Z224" s="5">
        <f t="shared" si="81"/>
        <v>0</v>
      </c>
    </row>
    <row r="225" spans="1:26" s="24" customFormat="1" hidden="1" outlineLevel="2" x14ac:dyDescent="0.25">
      <c r="A225" s="26"/>
      <c r="B225" s="11" t="str">
        <f>CONCATENATE("          ", "6387", " - ", "COMMISSION DUE HOUSING")</f>
        <v xml:space="preserve">          6387 - COMMISSION DUE HOUSING</v>
      </c>
      <c r="C225" s="11"/>
      <c r="D225" s="6"/>
      <c r="E225" s="2"/>
      <c r="F225" s="7">
        <f t="shared" si="74"/>
        <v>0</v>
      </c>
      <c r="G225" s="2"/>
      <c r="H225" s="6"/>
      <c r="I225" s="2"/>
      <c r="J225" s="7">
        <f t="shared" si="75"/>
        <v>0</v>
      </c>
      <c r="K225" s="2"/>
      <c r="L225" s="6">
        <f t="shared" si="76"/>
        <v>0</v>
      </c>
      <c r="M225" s="2"/>
      <c r="N225" s="7">
        <f t="shared" si="77"/>
        <v>0</v>
      </c>
      <c r="O225" s="11"/>
      <c r="P225" s="6"/>
      <c r="Q225" s="2"/>
      <c r="R225" s="7">
        <f t="shared" si="78"/>
        <v>0</v>
      </c>
      <c r="S225" s="2"/>
      <c r="T225" s="6">
        <v>0</v>
      </c>
      <c r="U225" s="2"/>
      <c r="V225" s="7">
        <f t="shared" si="79"/>
        <v>0</v>
      </c>
      <c r="W225" s="2"/>
      <c r="X225" s="6">
        <f t="shared" si="80"/>
        <v>0</v>
      </c>
      <c r="Y225" s="2"/>
      <c r="Z225" s="7">
        <f t="shared" si="81"/>
        <v>0</v>
      </c>
    </row>
    <row r="226" spans="1:26" s="25" customFormat="1" outlineLevel="1" collapsed="1" x14ac:dyDescent="0.25">
      <c r="A226" s="27"/>
      <c r="B226" s="13" t="str">
        <f>CONCATENATE("     ","Rent                                              ")</f>
        <v xml:space="preserve">     Rent                                              </v>
      </c>
      <c r="C226" s="13"/>
      <c r="D226" s="1">
        <f>SUM(OSRRefD22_17x_0)</f>
        <v>7250</v>
      </c>
      <c r="E226" s="1"/>
      <c r="F226" s="5">
        <f t="shared" si="74"/>
        <v>1.1120097854407025E-2</v>
      </c>
      <c r="G226" s="1"/>
      <c r="H226" s="1">
        <f>SUM(OSRRefH22_17x_0)</f>
        <v>7550</v>
      </c>
      <c r="I226" s="1"/>
      <c r="J226" s="5">
        <f t="shared" si="75"/>
        <v>9.3324513151436857E-3</v>
      </c>
      <c r="K226" s="1"/>
      <c r="L226" s="1">
        <f t="shared" si="76"/>
        <v>-300</v>
      </c>
      <c r="M226" s="1"/>
      <c r="N226" s="5">
        <f t="shared" si="77"/>
        <v>-3.9735099337748346E-2</v>
      </c>
      <c r="O226" s="13"/>
      <c r="P226" s="1">
        <f>SUM(OSRRefP22_17x_0)</f>
        <v>43500</v>
      </c>
      <c r="Q226" s="1"/>
      <c r="R226" s="5">
        <f t="shared" si="78"/>
        <v>6.0907503914115731E-3</v>
      </c>
      <c r="S226" s="1"/>
      <c r="T226" s="1">
        <f>SUM(OSRRefT22_17x_0)</f>
        <v>45300</v>
      </c>
      <c r="U226" s="1"/>
      <c r="V226" s="5">
        <f t="shared" si="79"/>
        <v>6.0643234602349482E-3</v>
      </c>
      <c r="W226" s="1"/>
      <c r="X226" s="1">
        <f t="shared" si="80"/>
        <v>-1800</v>
      </c>
      <c r="Y226" s="1"/>
      <c r="Z226" s="5">
        <f t="shared" si="81"/>
        <v>-3.9735099337748346E-2</v>
      </c>
    </row>
    <row r="227" spans="1:26" s="24" customFormat="1" hidden="1" outlineLevel="2" x14ac:dyDescent="0.25">
      <c r="A227" s="26"/>
      <c r="B227" s="11" t="str">
        <f>CONCATENATE("          ", "6273", " - ", "RENT")</f>
        <v xml:space="preserve">          6273 - RENT</v>
      </c>
      <c r="C227" s="11"/>
      <c r="D227" s="6">
        <v>7250</v>
      </c>
      <c r="E227" s="2"/>
      <c r="F227" s="7">
        <f t="shared" si="74"/>
        <v>1.1120097854407025E-2</v>
      </c>
      <c r="G227" s="2"/>
      <c r="H227" s="6">
        <v>7550</v>
      </c>
      <c r="I227" s="2"/>
      <c r="J227" s="7">
        <f t="shared" si="75"/>
        <v>9.3324513151436857E-3</v>
      </c>
      <c r="K227" s="2"/>
      <c r="L227" s="6">
        <f t="shared" si="76"/>
        <v>-300</v>
      </c>
      <c r="M227" s="2"/>
      <c r="N227" s="7">
        <f t="shared" si="77"/>
        <v>-3.9735099337748346E-2</v>
      </c>
      <c r="O227" s="11"/>
      <c r="P227" s="6">
        <v>43500</v>
      </c>
      <c r="Q227" s="2"/>
      <c r="R227" s="7">
        <f t="shared" si="78"/>
        <v>6.0907503914115731E-3</v>
      </c>
      <c r="S227" s="2"/>
      <c r="T227" s="6">
        <v>45300</v>
      </c>
      <c r="U227" s="2"/>
      <c r="V227" s="7">
        <f t="shared" si="79"/>
        <v>6.0643234602349482E-3</v>
      </c>
      <c r="W227" s="2"/>
      <c r="X227" s="6">
        <f t="shared" si="80"/>
        <v>-1800</v>
      </c>
      <c r="Y227" s="2"/>
      <c r="Z227" s="7">
        <f t="shared" si="81"/>
        <v>-3.9735099337748346E-2</v>
      </c>
    </row>
    <row r="228" spans="1:26" s="25" customFormat="1" outlineLevel="1" collapsed="1" x14ac:dyDescent="0.25">
      <c r="A228" s="27"/>
      <c r="B228" s="13" t="str">
        <f>CONCATENATE("     ","Repair and Maintenance                            ")</f>
        <v xml:space="preserve">     Repair and Maintenance                            </v>
      </c>
      <c r="C228" s="13"/>
      <c r="D228" s="1">
        <f>SUM(OSRRefD22_18x_0)</f>
        <v>15170.16</v>
      </c>
      <c r="E228" s="1"/>
      <c r="F228" s="5">
        <f t="shared" si="74"/>
        <v>2.3268091540277418E-2</v>
      </c>
      <c r="G228" s="1"/>
      <c r="H228" s="1">
        <f>SUM(OSRRefH22_18x_0)</f>
        <v>17538</v>
      </c>
      <c r="I228" s="1"/>
      <c r="J228" s="5">
        <f t="shared" si="75"/>
        <v>2.1678480949005291E-2</v>
      </c>
      <c r="K228" s="1"/>
      <c r="L228" s="1">
        <f t="shared" si="76"/>
        <v>-2367.84</v>
      </c>
      <c r="M228" s="1"/>
      <c r="N228" s="5">
        <f t="shared" si="77"/>
        <v>-0.13501197399931578</v>
      </c>
      <c r="O228" s="13"/>
      <c r="P228" s="1">
        <f>SUM(OSRRefP22_18x_0)</f>
        <v>96541.109999999986</v>
      </c>
      <c r="Q228" s="1"/>
      <c r="R228" s="5">
        <f t="shared" si="78"/>
        <v>1.3517420770570292E-2</v>
      </c>
      <c r="S228" s="1"/>
      <c r="T228" s="1">
        <f>SUM(OSRRefT22_18x_0)</f>
        <v>140926</v>
      </c>
      <c r="U228" s="1"/>
      <c r="V228" s="5">
        <f t="shared" si="79"/>
        <v>1.8865802383158284E-2</v>
      </c>
      <c r="W228" s="1"/>
      <c r="X228" s="1">
        <f t="shared" si="80"/>
        <v>-44384.890000000014</v>
      </c>
      <c r="Y228" s="1"/>
      <c r="Z228" s="5">
        <f t="shared" si="81"/>
        <v>-0.3149517477257569</v>
      </c>
    </row>
    <row r="229" spans="1:26" s="24" customFormat="1" hidden="1" outlineLevel="2" x14ac:dyDescent="0.25">
      <c r="A229" s="26"/>
      <c r="B229" s="11" t="str">
        <f>CONCATENATE("          ", "6371", " - ", "COMPUTER SOFTWARE MAINTENANCE")</f>
        <v xml:space="preserve">          6371 - COMPUTER SOFTWARE MAINTENANCE</v>
      </c>
      <c r="C229" s="11"/>
      <c r="D229" s="6">
        <v>601</v>
      </c>
      <c r="E229" s="2"/>
      <c r="F229" s="7">
        <f t="shared" si="74"/>
        <v>9.218177669653272E-4</v>
      </c>
      <c r="G229" s="2"/>
      <c r="H229" s="6"/>
      <c r="I229" s="2"/>
      <c r="J229" s="7">
        <f t="shared" si="75"/>
        <v>0</v>
      </c>
      <c r="K229" s="2"/>
      <c r="L229" s="6">
        <f t="shared" si="76"/>
        <v>601</v>
      </c>
      <c r="M229" s="2"/>
      <c r="N229" s="7">
        <f t="shared" si="77"/>
        <v>0</v>
      </c>
      <c r="O229" s="11"/>
      <c r="P229" s="6">
        <v>15265.329999999998</v>
      </c>
      <c r="Q229" s="2"/>
      <c r="R229" s="7">
        <f t="shared" si="78"/>
        <v>2.1374095327017662E-3</v>
      </c>
      <c r="S229" s="2"/>
      <c r="T229" s="6">
        <v>48535</v>
      </c>
      <c r="U229" s="2"/>
      <c r="V229" s="7">
        <f t="shared" si="79"/>
        <v>6.4973938000552588E-3</v>
      </c>
      <c r="W229" s="2"/>
      <c r="X229" s="6">
        <f t="shared" si="80"/>
        <v>-33269.67</v>
      </c>
      <c r="Y229" s="2"/>
      <c r="Z229" s="7">
        <f t="shared" si="81"/>
        <v>-0.68547790254455543</v>
      </c>
    </row>
    <row r="230" spans="1:26" s="24" customFormat="1" hidden="1" outlineLevel="2" x14ac:dyDescent="0.25">
      <c r="A230" s="26"/>
      <c r="B230" s="11" t="str">
        <f>CONCATENATE("          ", "6372", " - ", "COMPUTER HARDWARE MAINTENANCE")</f>
        <v xml:space="preserve">          6372 - COMPUTER HARDWARE MAINTENANCE</v>
      </c>
      <c r="C230" s="11"/>
      <c r="D230" s="6"/>
      <c r="E230" s="2"/>
      <c r="F230" s="7">
        <f t="shared" si="74"/>
        <v>0</v>
      </c>
      <c r="G230" s="2"/>
      <c r="H230" s="6">
        <v>2000</v>
      </c>
      <c r="I230" s="2"/>
      <c r="J230" s="7">
        <f t="shared" si="75"/>
        <v>2.4721725338128966E-3</v>
      </c>
      <c r="K230" s="2"/>
      <c r="L230" s="6">
        <f t="shared" si="76"/>
        <v>-2000</v>
      </c>
      <c r="M230" s="2"/>
      <c r="N230" s="7">
        <f t="shared" si="77"/>
        <v>-1</v>
      </c>
      <c r="O230" s="11"/>
      <c r="P230" s="6"/>
      <c r="Q230" s="2"/>
      <c r="R230" s="7">
        <f t="shared" si="78"/>
        <v>0</v>
      </c>
      <c r="S230" s="2"/>
      <c r="T230" s="6">
        <v>2000</v>
      </c>
      <c r="U230" s="2"/>
      <c r="V230" s="7">
        <f t="shared" si="79"/>
        <v>2.6774055012074825E-4</v>
      </c>
      <c r="W230" s="2"/>
      <c r="X230" s="6">
        <f t="shared" si="80"/>
        <v>-2000</v>
      </c>
      <c r="Y230" s="2"/>
      <c r="Z230" s="7">
        <f t="shared" si="81"/>
        <v>-1</v>
      </c>
    </row>
    <row r="231" spans="1:26" s="24" customFormat="1" hidden="1" outlineLevel="2" x14ac:dyDescent="0.25">
      <c r="A231" s="26"/>
      <c r="B231" s="11" t="str">
        <f>CONCATENATE("          ", "6373", " - ", "MAINTENANCE CONTRACTS")</f>
        <v xml:space="preserve">          6373 - MAINTENANCE CONTRACTS</v>
      </c>
      <c r="C231" s="11"/>
      <c r="D231" s="6">
        <v>8157.77</v>
      </c>
      <c r="E231" s="2"/>
      <c r="F231" s="7">
        <f t="shared" si="74"/>
        <v>1.2512441472240829E-2</v>
      </c>
      <c r="G231" s="2"/>
      <c r="H231" s="6">
        <v>7040</v>
      </c>
      <c r="I231" s="2"/>
      <c r="J231" s="7">
        <f t="shared" si="75"/>
        <v>8.7020473190213971E-3</v>
      </c>
      <c r="K231" s="2"/>
      <c r="L231" s="6">
        <f t="shared" si="76"/>
        <v>1117.7700000000004</v>
      </c>
      <c r="M231" s="2"/>
      <c r="N231" s="7">
        <f t="shared" si="77"/>
        <v>0.1587741477272728</v>
      </c>
      <c r="O231" s="11"/>
      <c r="P231" s="6">
        <v>40281.009999999995</v>
      </c>
      <c r="Q231" s="2"/>
      <c r="R231" s="7">
        <f t="shared" si="78"/>
        <v>5.6400362626196198E-3</v>
      </c>
      <c r="S231" s="2"/>
      <c r="T231" s="6">
        <v>42315</v>
      </c>
      <c r="U231" s="2"/>
      <c r="V231" s="7">
        <f t="shared" si="79"/>
        <v>5.6647206891797313E-3</v>
      </c>
      <c r="W231" s="2"/>
      <c r="X231" s="6">
        <f t="shared" si="80"/>
        <v>-2033.9900000000052</v>
      </c>
      <c r="Y231" s="2"/>
      <c r="Z231" s="7">
        <f t="shared" si="81"/>
        <v>-4.8067824648469933E-2</v>
      </c>
    </row>
    <row r="232" spans="1:26" s="24" customFormat="1" hidden="1" outlineLevel="2" x14ac:dyDescent="0.25">
      <c r="A232" s="26"/>
      <c r="B232" s="11" t="str">
        <f>CONCATENATE("          ", "6375", " - ", "OUTSIDE REPAIRS &amp; MAINTENANCE")</f>
        <v xml:space="preserve">          6375 - OUTSIDE REPAIRS &amp; MAINTENANCE</v>
      </c>
      <c r="C232" s="11"/>
      <c r="D232" s="6">
        <v>6411.39</v>
      </c>
      <c r="E232" s="2"/>
      <c r="F232" s="7">
        <f t="shared" si="74"/>
        <v>9.8338323010712641E-3</v>
      </c>
      <c r="G232" s="2"/>
      <c r="H232" s="6">
        <v>8498</v>
      </c>
      <c r="I232" s="2"/>
      <c r="J232" s="7">
        <f t="shared" si="75"/>
        <v>1.0504261096170997E-2</v>
      </c>
      <c r="K232" s="2"/>
      <c r="L232" s="6">
        <f t="shared" si="76"/>
        <v>-2086.6099999999997</v>
      </c>
      <c r="M232" s="2"/>
      <c r="N232" s="7">
        <f t="shared" si="77"/>
        <v>-0.24554130383619671</v>
      </c>
      <c r="O232" s="11"/>
      <c r="P232" s="6">
        <v>40994.769999999997</v>
      </c>
      <c r="Q232" s="2"/>
      <c r="R232" s="7">
        <f t="shared" si="78"/>
        <v>5.7399749752489061E-3</v>
      </c>
      <c r="S232" s="2"/>
      <c r="T232" s="6">
        <v>48076</v>
      </c>
      <c r="U232" s="2"/>
      <c r="V232" s="7">
        <f t="shared" si="79"/>
        <v>6.4359473438025472E-3</v>
      </c>
      <c r="W232" s="2"/>
      <c r="X232" s="6">
        <f t="shared" si="80"/>
        <v>-7081.2300000000032</v>
      </c>
      <c r="Y232" s="2"/>
      <c r="Z232" s="7">
        <f t="shared" si="81"/>
        <v>-0.14729241201431073</v>
      </c>
    </row>
    <row r="233" spans="1:26" s="25" customFormat="1" outlineLevel="1" collapsed="1" x14ac:dyDescent="0.25">
      <c r="A233" s="27"/>
      <c r="B233" s="13" t="str">
        <f>CONCATENATE("     ","Royalty &amp; Commissions                             ")</f>
        <v xml:space="preserve">     Royalty &amp; Commissions                             </v>
      </c>
      <c r="C233" s="13"/>
      <c r="D233" s="1">
        <f>SUM(OSRRefD22_19x_0)</f>
        <v>22616.36</v>
      </c>
      <c r="E233" s="1"/>
      <c r="F233" s="5">
        <f t="shared" ref="F233:F237" si="82">IF(D$12=0,0,D233/D$12)</f>
        <v>3.468912224972371E-2</v>
      </c>
      <c r="G233" s="1"/>
      <c r="H233" s="1">
        <f>SUM(OSRRefH22_19x_0)</f>
        <v>18549</v>
      </c>
      <c r="I233" s="1"/>
      <c r="J233" s="5">
        <f t="shared" ref="J233:J237" si="83">IF(H$12=0,0,H233/H$12)</f>
        <v>2.2928164164847709E-2</v>
      </c>
      <c r="K233" s="1"/>
      <c r="L233" s="1">
        <f t="shared" ref="L233:L237" si="84">+D233-H233</f>
        <v>4067.3600000000006</v>
      </c>
      <c r="M233" s="1"/>
      <c r="N233" s="5">
        <f t="shared" ref="N233:N237" si="85">IF(H233=0,0,L233/H233)</f>
        <v>0.21927651086311933</v>
      </c>
      <c r="O233" s="13"/>
      <c r="P233" s="1">
        <f>SUM(OSRRefP22_19x_0)</f>
        <v>78825.56</v>
      </c>
      <c r="Q233" s="1"/>
      <c r="R233" s="5">
        <f t="shared" ref="R233:R237" si="86">IF(P$12=0,0,P233/P$12)</f>
        <v>1.1036938170649114E-2</v>
      </c>
      <c r="S233" s="1"/>
      <c r="T233" s="1">
        <f>SUM(OSRRefT22_19x_0)</f>
        <v>114112</v>
      </c>
      <c r="U233" s="1"/>
      <c r="V233" s="5">
        <f t="shared" ref="V233:V237" si="87">IF(T$12=0,0,T233/T$12)</f>
        <v>1.5276204827689413E-2</v>
      </c>
      <c r="W233" s="1"/>
      <c r="X233" s="1">
        <f t="shared" ref="X233:X237" si="88">+P233-T233</f>
        <v>-35286.44</v>
      </c>
      <c r="Y233" s="1"/>
      <c r="Z233" s="5">
        <f t="shared" ref="Z233:Z237" si="89">IF(T233=0,0,X233/T233)</f>
        <v>-0.3092263740886147</v>
      </c>
    </row>
    <row r="234" spans="1:26" s="24" customFormat="1" hidden="1" outlineLevel="2" x14ac:dyDescent="0.25">
      <c r="A234" s="26"/>
      <c r="B234" s="11" t="str">
        <f>CONCATENATE("          ", "6252", " - ", "ROYALTY DUE CSTV")</f>
        <v xml:space="preserve">          6252 - ROYALTY DUE CSTV</v>
      </c>
      <c r="C234" s="11"/>
      <c r="D234" s="6"/>
      <c r="E234" s="2"/>
      <c r="F234" s="7">
        <f t="shared" si="82"/>
        <v>0</v>
      </c>
      <c r="G234" s="2"/>
      <c r="H234" s="6">
        <v>1085</v>
      </c>
      <c r="I234" s="2"/>
      <c r="J234" s="7">
        <f t="shared" si="83"/>
        <v>1.3411535995934965E-3</v>
      </c>
      <c r="K234" s="2"/>
      <c r="L234" s="6">
        <f t="shared" si="84"/>
        <v>-1085</v>
      </c>
      <c r="M234" s="2"/>
      <c r="N234" s="7">
        <f t="shared" si="85"/>
        <v>-1</v>
      </c>
      <c r="O234" s="11"/>
      <c r="P234" s="6"/>
      <c r="Q234" s="2"/>
      <c r="R234" s="7">
        <f t="shared" si="86"/>
        <v>0</v>
      </c>
      <c r="S234" s="2"/>
      <c r="T234" s="6">
        <v>6510</v>
      </c>
      <c r="U234" s="2"/>
      <c r="V234" s="7">
        <f t="shared" si="87"/>
        <v>8.7149549064303566E-4</v>
      </c>
      <c r="W234" s="2"/>
      <c r="X234" s="6">
        <f t="shared" si="88"/>
        <v>-6510</v>
      </c>
      <c r="Y234" s="2"/>
      <c r="Z234" s="7">
        <f t="shared" si="89"/>
        <v>-1</v>
      </c>
    </row>
    <row r="235" spans="1:26" s="24" customFormat="1" hidden="1" outlineLevel="2" x14ac:dyDescent="0.25">
      <c r="A235" s="26"/>
      <c r="B235" s="11" t="str">
        <f>CONCATENATE("          ", "6253", " - ", "ROYALTY DUE ATHLETICS-LRG")</f>
        <v xml:space="preserve">          6253 - ROYALTY DUE ATHLETICS-LRG</v>
      </c>
      <c r="C235" s="11"/>
      <c r="D235" s="6"/>
      <c r="E235" s="2"/>
      <c r="F235" s="7">
        <f t="shared" si="82"/>
        <v>0</v>
      </c>
      <c r="G235" s="2"/>
      <c r="H235" s="6">
        <v>3700</v>
      </c>
      <c r="I235" s="2"/>
      <c r="J235" s="7">
        <f t="shared" si="83"/>
        <v>4.5735191875538586E-3</v>
      </c>
      <c r="K235" s="2"/>
      <c r="L235" s="6">
        <f t="shared" si="84"/>
        <v>-3700</v>
      </c>
      <c r="M235" s="2"/>
      <c r="N235" s="7">
        <f t="shared" si="85"/>
        <v>-1</v>
      </c>
      <c r="O235" s="11"/>
      <c r="P235" s="6">
        <v>4366.95</v>
      </c>
      <c r="Q235" s="2"/>
      <c r="R235" s="7">
        <f t="shared" si="86"/>
        <v>6.1144833153505213E-4</v>
      </c>
      <c r="S235" s="2"/>
      <c r="T235" s="6">
        <v>22200</v>
      </c>
      <c r="U235" s="2"/>
      <c r="V235" s="7">
        <f t="shared" si="87"/>
        <v>2.9719201063403058E-3</v>
      </c>
      <c r="W235" s="2"/>
      <c r="X235" s="6">
        <f t="shared" si="88"/>
        <v>-17833.05</v>
      </c>
      <c r="Y235" s="2"/>
      <c r="Z235" s="7">
        <f t="shared" si="89"/>
        <v>-0.8032905405405405</v>
      </c>
    </row>
    <row r="236" spans="1:26" s="24" customFormat="1" hidden="1" outlineLevel="2" x14ac:dyDescent="0.25">
      <c r="A236" s="26"/>
      <c r="B236" s="11" t="str">
        <f>CONCATENATE("          ", "6254", " - ", "ROYALTY &amp; COMMISSIONS")</f>
        <v xml:space="preserve">          6254 - ROYALTY &amp; COMMISSIONS</v>
      </c>
      <c r="C236" s="11"/>
      <c r="D236" s="6">
        <v>9924.06</v>
      </c>
      <c r="E236" s="2"/>
      <c r="F236" s="7">
        <f t="shared" si="82"/>
        <v>1.5221588732828494E-2</v>
      </c>
      <c r="G236" s="2"/>
      <c r="H236" s="6">
        <v>11700</v>
      </c>
      <c r="I236" s="2"/>
      <c r="J236" s="7">
        <f t="shared" si="83"/>
        <v>1.4462209322805446E-2</v>
      </c>
      <c r="K236" s="2"/>
      <c r="L236" s="6">
        <f t="shared" si="84"/>
        <v>-1775.9400000000005</v>
      </c>
      <c r="M236" s="2"/>
      <c r="N236" s="7">
        <f t="shared" si="85"/>
        <v>-0.15178974358974362</v>
      </c>
      <c r="O236" s="11"/>
      <c r="P236" s="6">
        <v>17898.63</v>
      </c>
      <c r="Q236" s="2"/>
      <c r="R236" s="7">
        <f t="shared" si="86"/>
        <v>2.5061169581202516E-3</v>
      </c>
      <c r="S236" s="2"/>
      <c r="T236" s="6">
        <v>70200</v>
      </c>
      <c r="U236" s="2"/>
      <c r="V236" s="7">
        <f t="shared" si="87"/>
        <v>9.3976933092382638E-3</v>
      </c>
      <c r="W236" s="2"/>
      <c r="X236" s="6">
        <f t="shared" si="88"/>
        <v>-52301.369999999995</v>
      </c>
      <c r="Y236" s="2"/>
      <c r="Z236" s="7">
        <f t="shared" si="89"/>
        <v>-0.74503376068376059</v>
      </c>
    </row>
    <row r="237" spans="1:26" s="24" customFormat="1" hidden="1" outlineLevel="2" x14ac:dyDescent="0.25">
      <c r="A237" s="26"/>
      <c r="B237" s="11" t="str">
        <f>CONCATENATE("          ", "6259", " - ", "ROYALTY &amp; COMMISSIONS")</f>
        <v xml:space="preserve">          6259 - ROYALTY &amp; COMMISSIONS</v>
      </c>
      <c r="C237" s="11"/>
      <c r="D237" s="6">
        <v>12692.3</v>
      </c>
      <c r="E237" s="2"/>
      <c r="F237" s="7">
        <f t="shared" si="82"/>
        <v>1.9467533516895209E-2</v>
      </c>
      <c r="G237" s="2"/>
      <c r="H237" s="6">
        <v>2064</v>
      </c>
      <c r="I237" s="2"/>
      <c r="J237" s="7">
        <f t="shared" si="83"/>
        <v>2.5512820548949096E-3</v>
      </c>
      <c r="K237" s="2"/>
      <c r="L237" s="6">
        <f t="shared" si="84"/>
        <v>10628.3</v>
      </c>
      <c r="M237" s="2"/>
      <c r="N237" s="7">
        <f t="shared" si="85"/>
        <v>5.1493701550387589</v>
      </c>
      <c r="O237" s="11"/>
      <c r="P237" s="6">
        <v>56559.98</v>
      </c>
      <c r="Q237" s="2"/>
      <c r="R237" s="7">
        <f t="shared" si="86"/>
        <v>7.9193728809938118E-3</v>
      </c>
      <c r="S237" s="2"/>
      <c r="T237" s="6">
        <v>15202</v>
      </c>
      <c r="U237" s="2"/>
      <c r="V237" s="7">
        <f t="shared" si="87"/>
        <v>2.0350959214678077E-3</v>
      </c>
      <c r="W237" s="2"/>
      <c r="X237" s="6">
        <f t="shared" si="88"/>
        <v>41357.980000000003</v>
      </c>
      <c r="Y237" s="2"/>
      <c r="Z237" s="7">
        <f t="shared" si="89"/>
        <v>2.7205617681883965</v>
      </c>
    </row>
    <row r="238" spans="1:26" s="25" customFormat="1" outlineLevel="1" collapsed="1" x14ac:dyDescent="0.25">
      <c r="A238" s="27"/>
      <c r="B238" s="13" t="str">
        <f>CONCATENATE("     ","Services                                          ")</f>
        <v xml:space="preserve">     Services                                          </v>
      </c>
      <c r="C238" s="13"/>
      <c r="D238" s="1">
        <f>SUM(OSRRefD22_20x_0)</f>
        <v>7236.7699999999995</v>
      </c>
      <c r="E238" s="1"/>
      <c r="F238" s="5">
        <f t="shared" ref="F238:F244" si="90">IF(D$12=0,0,D238/D$12)</f>
        <v>1.1099805593080983E-2</v>
      </c>
      <c r="G238" s="1"/>
      <c r="H238" s="1">
        <f>SUM(OSRRefH22_20x_0)</f>
        <v>5231.5</v>
      </c>
      <c r="I238" s="1"/>
      <c r="J238" s="5">
        <f t="shared" ref="J238:J244" si="91">IF(H$12=0,0,H238/H$12)</f>
        <v>6.4665853053210848E-3</v>
      </c>
      <c r="K238" s="1"/>
      <c r="L238" s="1">
        <f t="shared" ref="L238:L244" si="92">+D238-H238</f>
        <v>2005.2699999999995</v>
      </c>
      <c r="M238" s="1"/>
      <c r="N238" s="5">
        <f t="shared" ref="N238:N244" si="93">IF(H238=0,0,L238/H238)</f>
        <v>0.38330689094905851</v>
      </c>
      <c r="O238" s="13"/>
      <c r="P238" s="1">
        <f>SUM(OSRRefP22_20x_0)</f>
        <v>38188.229999999996</v>
      </c>
      <c r="Q238" s="1"/>
      <c r="R238" s="5">
        <f t="shared" ref="R238:R244" si="94">IF(P$12=0,0,P238/P$12)</f>
        <v>5.3470109613750613E-3</v>
      </c>
      <c r="S238" s="1"/>
      <c r="T238" s="1">
        <f>SUM(OSRRefT22_20x_0)</f>
        <v>31806</v>
      </c>
      <c r="U238" s="1"/>
      <c r="V238" s="5">
        <f t="shared" ref="V238:V244" si="95">IF(T$12=0,0,T238/T$12)</f>
        <v>4.2578779685702598E-3</v>
      </c>
      <c r="W238" s="1"/>
      <c r="X238" s="1">
        <f t="shared" ref="X238:X244" si="96">+P238-T238</f>
        <v>6382.2299999999959</v>
      </c>
      <c r="Y238" s="1"/>
      <c r="Z238" s="5">
        <f t="shared" ref="Z238:Z244" si="97">IF(T238=0,0,X238/T238)</f>
        <v>0.20066119600075444</v>
      </c>
    </row>
    <row r="239" spans="1:26" s="24" customFormat="1" hidden="1" outlineLevel="2" x14ac:dyDescent="0.25">
      <c r="A239" s="26"/>
      <c r="B239" s="11" t="str">
        <f>CONCATENATE("          ", "6281", " - ", "STORAGE FEE")</f>
        <v xml:space="preserve">          6281 - STORAGE FEE</v>
      </c>
      <c r="C239" s="11"/>
      <c r="D239" s="6"/>
      <c r="E239" s="2"/>
      <c r="F239" s="7">
        <f t="shared" si="90"/>
        <v>0</v>
      </c>
      <c r="G239" s="2"/>
      <c r="H239" s="6"/>
      <c r="I239" s="2"/>
      <c r="J239" s="7">
        <f t="shared" si="91"/>
        <v>0</v>
      </c>
      <c r="K239" s="2"/>
      <c r="L239" s="6">
        <f t="shared" si="92"/>
        <v>0</v>
      </c>
      <c r="M239" s="2"/>
      <c r="N239" s="7">
        <f t="shared" si="93"/>
        <v>0</v>
      </c>
      <c r="O239" s="11"/>
      <c r="P239" s="6"/>
      <c r="Q239" s="2"/>
      <c r="R239" s="7">
        <f t="shared" si="94"/>
        <v>0</v>
      </c>
      <c r="S239" s="2"/>
      <c r="T239" s="6">
        <v>0</v>
      </c>
      <c r="U239" s="2"/>
      <c r="V239" s="7">
        <f t="shared" si="95"/>
        <v>0</v>
      </c>
      <c r="W239" s="2"/>
      <c r="X239" s="6">
        <f t="shared" si="96"/>
        <v>0</v>
      </c>
      <c r="Y239" s="2"/>
      <c r="Z239" s="7">
        <f t="shared" si="97"/>
        <v>0</v>
      </c>
    </row>
    <row r="240" spans="1:26" s="24" customFormat="1" hidden="1" outlineLevel="2" x14ac:dyDescent="0.25">
      <c r="A240" s="26"/>
      <c r="B240" s="11" t="str">
        <f>CONCATENATE("          ", "6282", " - ", "JANITORIAL/EXTERMINATOR EXPENS")</f>
        <v xml:space="preserve">          6282 - JANITORIAL/EXTERMINATOR EXPENS</v>
      </c>
      <c r="C240" s="11"/>
      <c r="D240" s="6">
        <v>1538.99</v>
      </c>
      <c r="E240" s="2"/>
      <c r="F240" s="7">
        <f t="shared" si="90"/>
        <v>2.360513020269499E-3</v>
      </c>
      <c r="G240" s="2"/>
      <c r="H240" s="6">
        <v>471</v>
      </c>
      <c r="I240" s="2"/>
      <c r="J240" s="7">
        <f t="shared" si="91"/>
        <v>5.8219663171293716E-4</v>
      </c>
      <c r="K240" s="2"/>
      <c r="L240" s="6">
        <f t="shared" si="92"/>
        <v>1067.99</v>
      </c>
      <c r="M240" s="2"/>
      <c r="N240" s="7">
        <f t="shared" si="93"/>
        <v>2.2674946921443735</v>
      </c>
      <c r="O240" s="11"/>
      <c r="P240" s="6">
        <v>5750.63</v>
      </c>
      <c r="Q240" s="2"/>
      <c r="R240" s="7">
        <f t="shared" si="94"/>
        <v>8.051874005370836E-4</v>
      </c>
      <c r="S240" s="2"/>
      <c r="T240" s="6">
        <v>3147</v>
      </c>
      <c r="U240" s="2"/>
      <c r="V240" s="7">
        <f t="shared" si="95"/>
        <v>4.2128975561499742E-4</v>
      </c>
      <c r="W240" s="2"/>
      <c r="X240" s="6">
        <f t="shared" si="96"/>
        <v>2603.63</v>
      </c>
      <c r="Y240" s="2"/>
      <c r="Z240" s="7">
        <f t="shared" si="97"/>
        <v>0.82733714648871948</v>
      </c>
    </row>
    <row r="241" spans="1:26" s="24" customFormat="1" hidden="1" outlineLevel="2" x14ac:dyDescent="0.25">
      <c r="A241" s="26"/>
      <c r="B241" s="11" t="str">
        <f>CONCATENATE("          ", "6283", " - ", "PLANT SERVICE")</f>
        <v xml:space="preserve">          6283 - PLANT SERVICE</v>
      </c>
      <c r="C241" s="11"/>
      <c r="D241" s="6"/>
      <c r="E241" s="2"/>
      <c r="F241" s="7">
        <f t="shared" si="90"/>
        <v>0</v>
      </c>
      <c r="G241" s="2"/>
      <c r="H241" s="6">
        <v>60</v>
      </c>
      <c r="I241" s="2"/>
      <c r="J241" s="7">
        <f t="shared" si="91"/>
        <v>7.4165176014386896E-5</v>
      </c>
      <c r="K241" s="2"/>
      <c r="L241" s="6">
        <f t="shared" si="92"/>
        <v>-60</v>
      </c>
      <c r="M241" s="2"/>
      <c r="N241" s="7">
        <f t="shared" si="93"/>
        <v>-1</v>
      </c>
      <c r="O241" s="11"/>
      <c r="P241" s="6">
        <v>541.98</v>
      </c>
      <c r="Q241" s="2"/>
      <c r="R241" s="7">
        <f t="shared" si="94"/>
        <v>7.5886549359476893E-5</v>
      </c>
      <c r="S241" s="2"/>
      <c r="T241" s="6">
        <v>360</v>
      </c>
      <c r="U241" s="2"/>
      <c r="V241" s="7">
        <f t="shared" si="95"/>
        <v>4.8193299021734691E-5</v>
      </c>
      <c r="W241" s="2"/>
      <c r="X241" s="6">
        <f t="shared" si="96"/>
        <v>181.98000000000002</v>
      </c>
      <c r="Y241" s="2"/>
      <c r="Z241" s="7">
        <f t="shared" si="97"/>
        <v>0.50550000000000006</v>
      </c>
    </row>
    <row r="242" spans="1:26" s="24" customFormat="1" hidden="1" outlineLevel="2" x14ac:dyDescent="0.25">
      <c r="A242" s="26"/>
      <c r="B242" s="11" t="str">
        <f>CONCATENATE("          ", "6284", " - ", "TRASH REMOVAL EXPENSE")</f>
        <v xml:space="preserve">          6284 - TRASH REMOVAL EXPENSE</v>
      </c>
      <c r="C242" s="11"/>
      <c r="D242" s="6">
        <v>919.82</v>
      </c>
      <c r="E242" s="2"/>
      <c r="F242" s="7">
        <f t="shared" si="90"/>
        <v>1.410825987371127E-3</v>
      </c>
      <c r="G242" s="2"/>
      <c r="H242" s="6">
        <v>212.5</v>
      </c>
      <c r="I242" s="2"/>
      <c r="J242" s="7">
        <f t="shared" si="91"/>
        <v>2.6266833171762025E-4</v>
      </c>
      <c r="K242" s="2"/>
      <c r="L242" s="6">
        <f t="shared" si="92"/>
        <v>707.32</v>
      </c>
      <c r="M242" s="2"/>
      <c r="N242" s="7">
        <f t="shared" si="93"/>
        <v>3.3285647058823531</v>
      </c>
      <c r="O242" s="11"/>
      <c r="P242" s="6">
        <v>2541.92</v>
      </c>
      <c r="Q242" s="2"/>
      <c r="R242" s="7">
        <f t="shared" si="94"/>
        <v>3.5591264907900935E-4</v>
      </c>
      <c r="S242" s="2"/>
      <c r="T242" s="6">
        <v>1275</v>
      </c>
      <c r="U242" s="2"/>
      <c r="V242" s="7">
        <f t="shared" si="95"/>
        <v>1.7068460070197703E-4</v>
      </c>
      <c r="W242" s="2"/>
      <c r="X242" s="6">
        <f t="shared" si="96"/>
        <v>1266.92</v>
      </c>
      <c r="Y242" s="2"/>
      <c r="Z242" s="7">
        <f t="shared" si="97"/>
        <v>0.99366274509803931</v>
      </c>
    </row>
    <row r="243" spans="1:26" s="24" customFormat="1" hidden="1" outlineLevel="2" x14ac:dyDescent="0.25">
      <c r="A243" s="26"/>
      <c r="B243" s="11" t="str">
        <f>CONCATENATE("          ", "6285", " - ", "JANITORIAL SERVICES")</f>
        <v xml:space="preserve">          6285 - JANITORIAL SERVICES</v>
      </c>
      <c r="C243" s="11"/>
      <c r="D243" s="6">
        <v>4249.32</v>
      </c>
      <c r="E243" s="2"/>
      <c r="F243" s="7">
        <f t="shared" si="90"/>
        <v>6.5176350640950148E-3</v>
      </c>
      <c r="G243" s="2"/>
      <c r="H243" s="6">
        <v>4398</v>
      </c>
      <c r="I243" s="2"/>
      <c r="J243" s="7">
        <f t="shared" si="91"/>
        <v>5.4363074018545596E-3</v>
      </c>
      <c r="K243" s="2"/>
      <c r="L243" s="6">
        <f t="shared" si="92"/>
        <v>-148.68000000000029</v>
      </c>
      <c r="M243" s="2"/>
      <c r="N243" s="7">
        <f t="shared" si="93"/>
        <v>-3.3806275579809072E-2</v>
      </c>
      <c r="O243" s="11"/>
      <c r="P243" s="6">
        <v>25093.360000000001</v>
      </c>
      <c r="Q243" s="2"/>
      <c r="R243" s="7">
        <f t="shared" si="94"/>
        <v>3.5135032699271616E-3</v>
      </c>
      <c r="S243" s="2"/>
      <c r="T243" s="6">
        <v>26574</v>
      </c>
      <c r="U243" s="2"/>
      <c r="V243" s="7">
        <f t="shared" si="95"/>
        <v>3.5574686894543823E-3</v>
      </c>
      <c r="W243" s="2"/>
      <c r="X243" s="6">
        <f t="shared" si="96"/>
        <v>-1480.6399999999994</v>
      </c>
      <c r="Y243" s="2"/>
      <c r="Z243" s="7">
        <f t="shared" si="97"/>
        <v>-5.5717618725069598E-2</v>
      </c>
    </row>
    <row r="244" spans="1:26" s="24" customFormat="1" hidden="1" outlineLevel="2" x14ac:dyDescent="0.25">
      <c r="A244" s="26"/>
      <c r="B244" s="11" t="str">
        <f>CONCATENATE("          ", "6286", " - ", "LAUNDRY EXPENSE")</f>
        <v xml:space="preserve">          6286 - LAUNDRY EXPENSE</v>
      </c>
      <c r="C244" s="11"/>
      <c r="D244" s="6">
        <v>528.64</v>
      </c>
      <c r="E244" s="2"/>
      <c r="F244" s="7">
        <f t="shared" si="90"/>
        <v>8.1083152134534204E-4</v>
      </c>
      <c r="G244" s="2"/>
      <c r="H244" s="6">
        <v>90</v>
      </c>
      <c r="I244" s="2"/>
      <c r="J244" s="7">
        <f t="shared" si="91"/>
        <v>1.1124776402158035E-4</v>
      </c>
      <c r="K244" s="2"/>
      <c r="L244" s="6">
        <f t="shared" si="92"/>
        <v>438.64</v>
      </c>
      <c r="M244" s="2"/>
      <c r="N244" s="7">
        <f t="shared" si="93"/>
        <v>4.8737777777777778</v>
      </c>
      <c r="O244" s="11"/>
      <c r="P244" s="6">
        <v>4260.34</v>
      </c>
      <c r="Q244" s="2"/>
      <c r="R244" s="7">
        <f t="shared" si="94"/>
        <v>5.9652109247233071E-4</v>
      </c>
      <c r="S244" s="2"/>
      <c r="T244" s="6">
        <v>450</v>
      </c>
      <c r="U244" s="2"/>
      <c r="V244" s="7">
        <f t="shared" si="95"/>
        <v>6.0241623777168361E-5</v>
      </c>
      <c r="W244" s="2"/>
      <c r="X244" s="6">
        <f t="shared" si="96"/>
        <v>3810.34</v>
      </c>
      <c r="Y244" s="2"/>
      <c r="Z244" s="7">
        <f t="shared" si="97"/>
        <v>8.467422222222222</v>
      </c>
    </row>
    <row r="245" spans="1:26" s="25" customFormat="1" outlineLevel="1" collapsed="1" x14ac:dyDescent="0.25">
      <c r="A245" s="27"/>
      <c r="B245" s="13" t="str">
        <f>CONCATENATE("     ","Subscriptions &amp; Dues                              ")</f>
        <v xml:space="preserve">     Subscriptions &amp; Dues                              </v>
      </c>
      <c r="C245" s="13"/>
      <c r="D245" s="1">
        <f>SUM(OSRRefD22_21x_0)</f>
        <v>602.79999999999995</v>
      </c>
      <c r="E245" s="1"/>
      <c r="F245" s="5">
        <f t="shared" ref="F245:F247" si="98">IF(D$12=0,0,D245/D$12)</f>
        <v>9.2457861884642127E-4</v>
      </c>
      <c r="G245" s="1"/>
      <c r="H245" s="1">
        <f>SUM(OSRRefH22_21x_0)</f>
        <v>4390</v>
      </c>
      <c r="I245" s="1"/>
      <c r="J245" s="5">
        <f t="shared" ref="J245:J247" si="99">IF(H$12=0,0,H245/H$12)</f>
        <v>5.4264187117193082E-3</v>
      </c>
      <c r="K245" s="1"/>
      <c r="L245" s="1">
        <f t="shared" ref="L245:L247" si="100">+D245-H245</f>
        <v>-3787.2</v>
      </c>
      <c r="M245" s="1"/>
      <c r="N245" s="5">
        <f t="shared" ref="N245:N247" si="101">IF(H245=0,0,L245/H245)</f>
        <v>-0.86268792710706144</v>
      </c>
      <c r="O245" s="13"/>
      <c r="P245" s="1">
        <f>SUM(OSRRefP22_21x_0)</f>
        <v>3526.16</v>
      </c>
      <c r="Q245" s="1"/>
      <c r="R245" s="5">
        <f t="shared" ref="R245:R247" si="102">IF(P$12=0,0,P245/P$12)</f>
        <v>4.9372322759034094E-4</v>
      </c>
      <c r="S245" s="1"/>
      <c r="T245" s="1">
        <f>SUM(OSRRefT22_21x_0)</f>
        <v>14810</v>
      </c>
      <c r="U245" s="1"/>
      <c r="V245" s="5">
        <f t="shared" ref="V245:V247" si="103">IF(T$12=0,0,T245/T$12)</f>
        <v>1.9826187736441407E-3</v>
      </c>
      <c r="W245" s="1"/>
      <c r="X245" s="1">
        <f t="shared" ref="X245:X247" si="104">+P245-T245</f>
        <v>-11283.84</v>
      </c>
      <c r="Y245" s="1"/>
      <c r="Z245" s="5">
        <f t="shared" ref="Z245:Z247" si="105">IF(T245=0,0,X245/T245)</f>
        <v>-0.76190681971640783</v>
      </c>
    </row>
    <row r="246" spans="1:26" s="24" customFormat="1" hidden="1" outlineLevel="2" x14ac:dyDescent="0.25">
      <c r="A246" s="26"/>
      <c r="B246" s="11" t="str">
        <f>CONCATENATE("          ", "6258", " - ", "MEMBERSHIP DUES")</f>
        <v xml:space="preserve">          6258 - MEMBERSHIP DUES</v>
      </c>
      <c r="C246" s="11"/>
      <c r="D246" s="6">
        <v>250</v>
      </c>
      <c r="E246" s="2"/>
      <c r="F246" s="7">
        <f t="shared" si="98"/>
        <v>3.8345165015196637E-4</v>
      </c>
      <c r="G246" s="2"/>
      <c r="H246" s="6">
        <v>3945</v>
      </c>
      <c r="I246" s="2"/>
      <c r="J246" s="7">
        <f t="shared" si="99"/>
        <v>4.8763603229459388E-3</v>
      </c>
      <c r="K246" s="2"/>
      <c r="L246" s="6">
        <f t="shared" si="100"/>
        <v>-3695</v>
      </c>
      <c r="M246" s="2"/>
      <c r="N246" s="7">
        <f t="shared" si="101"/>
        <v>-0.9366286438529785</v>
      </c>
      <c r="O246" s="11"/>
      <c r="P246" s="6">
        <v>1677.4</v>
      </c>
      <c r="Q246" s="2"/>
      <c r="R246" s="7">
        <f t="shared" si="102"/>
        <v>2.3486493578284538E-4</v>
      </c>
      <c r="S246" s="2"/>
      <c r="T246" s="6">
        <v>11140</v>
      </c>
      <c r="U246" s="2"/>
      <c r="V246" s="7">
        <f t="shared" si="103"/>
        <v>1.4913148641725678E-3</v>
      </c>
      <c r="W246" s="2"/>
      <c r="X246" s="6">
        <f t="shared" si="104"/>
        <v>-9462.6</v>
      </c>
      <c r="Y246" s="2"/>
      <c r="Z246" s="7">
        <f t="shared" si="105"/>
        <v>-0.84942549371633758</v>
      </c>
    </row>
    <row r="247" spans="1:26" s="24" customFormat="1" hidden="1" outlineLevel="2" x14ac:dyDescent="0.25">
      <c r="A247" s="26"/>
      <c r="B247" s="11" t="str">
        <f>CONCATENATE("          ", "6275", " - ", "SUBSCRIPTIONS")</f>
        <v xml:space="preserve">          6275 - SUBSCRIPTIONS</v>
      </c>
      <c r="C247" s="11"/>
      <c r="D247" s="6">
        <v>352.8</v>
      </c>
      <c r="E247" s="2"/>
      <c r="F247" s="7">
        <f t="shared" si="98"/>
        <v>5.4112696869445501E-4</v>
      </c>
      <c r="G247" s="2"/>
      <c r="H247" s="6">
        <v>445</v>
      </c>
      <c r="I247" s="2"/>
      <c r="J247" s="7">
        <f t="shared" si="99"/>
        <v>5.5005838877336948E-4</v>
      </c>
      <c r="K247" s="2"/>
      <c r="L247" s="6">
        <f t="shared" si="100"/>
        <v>-92.199999999999989</v>
      </c>
      <c r="M247" s="2"/>
      <c r="N247" s="7">
        <f t="shared" si="101"/>
        <v>-0.20719101123595504</v>
      </c>
      <c r="O247" s="11"/>
      <c r="P247" s="6">
        <v>1848.76</v>
      </c>
      <c r="Q247" s="2"/>
      <c r="R247" s="7">
        <f t="shared" si="102"/>
        <v>2.5885829180749564E-4</v>
      </c>
      <c r="S247" s="2"/>
      <c r="T247" s="6">
        <v>3670</v>
      </c>
      <c r="U247" s="2"/>
      <c r="V247" s="7">
        <f t="shared" si="103"/>
        <v>4.9130390947157304E-4</v>
      </c>
      <c r="W247" s="2"/>
      <c r="X247" s="6">
        <f t="shared" si="104"/>
        <v>-1821.24</v>
      </c>
      <c r="Y247" s="2"/>
      <c r="Z247" s="7">
        <f t="shared" si="105"/>
        <v>-0.49625068119891008</v>
      </c>
    </row>
    <row r="248" spans="1:26" s="25" customFormat="1" outlineLevel="1" collapsed="1" x14ac:dyDescent="0.25">
      <c r="A248" s="27"/>
      <c r="B248" s="13" t="str">
        <f>CONCATENATE("     ","Supplies                                          ")</f>
        <v xml:space="preserve">     Supplies                                          </v>
      </c>
      <c r="C248" s="13"/>
      <c r="D248" s="1">
        <f>SUM(OSRRefD22_22x_0)</f>
        <v>10374.570000000002</v>
      </c>
      <c r="E248" s="1"/>
      <c r="F248" s="5">
        <f t="shared" ref="F248:F256" si="106">IF(D$12=0,0,D248/D$12)</f>
        <v>1.5912583944468345E-2</v>
      </c>
      <c r="G248" s="1"/>
      <c r="H248" s="1">
        <f>SUM(OSRRefH22_22x_0)</f>
        <v>23487</v>
      </c>
      <c r="I248" s="1"/>
      <c r="J248" s="5">
        <f t="shared" ref="J248:J256" si="107">IF(H$12=0,0,H248/H$12)</f>
        <v>2.9031958150831753E-2</v>
      </c>
      <c r="K248" s="1"/>
      <c r="L248" s="1">
        <f t="shared" ref="L248:L256" si="108">+D248-H248</f>
        <v>-13112.429999999998</v>
      </c>
      <c r="M248" s="1"/>
      <c r="N248" s="5">
        <f t="shared" ref="N248:N256" si="109">IF(H248=0,0,L248/H248)</f>
        <v>-0.55828458296078676</v>
      </c>
      <c r="O248" s="13"/>
      <c r="P248" s="1">
        <f>SUM(OSRRefP22_22x_0)</f>
        <v>88647.59</v>
      </c>
      <c r="Q248" s="1"/>
      <c r="R248" s="5">
        <f t="shared" ref="R248:R256" si="110">IF(P$12=0,0,P248/P$12)</f>
        <v>1.2412191804372245E-2</v>
      </c>
      <c r="S248" s="1"/>
      <c r="T248" s="1">
        <f>SUM(OSRRefT22_22x_0)</f>
        <v>116000</v>
      </c>
      <c r="U248" s="1"/>
      <c r="V248" s="5">
        <f t="shared" ref="V248:V256" si="111">IF(T$12=0,0,T248/T$12)</f>
        <v>1.55289519070034E-2</v>
      </c>
      <c r="W248" s="1"/>
      <c r="X248" s="1">
        <f t="shared" ref="X248:X256" si="112">+P248-T248</f>
        <v>-27352.410000000003</v>
      </c>
      <c r="Y248" s="1"/>
      <c r="Z248" s="5">
        <f t="shared" ref="Z248:Z256" si="113">IF(T248=0,0,X248/T248)</f>
        <v>-0.2357966379310345</v>
      </c>
    </row>
    <row r="249" spans="1:26" s="24" customFormat="1" hidden="1" outlineLevel="2" x14ac:dyDescent="0.25">
      <c r="A249" s="26"/>
      <c r="B249" s="11" t="str">
        <f>CONCATENATE("          ", "6234", " - ", "EXPENDABLE SUPPLIES &amp; EQUIPMEN")</f>
        <v xml:space="preserve">          6234 - EXPENDABLE SUPPLIES &amp; EQUIPMEN</v>
      </c>
      <c r="C249" s="11"/>
      <c r="D249" s="6"/>
      <c r="E249" s="2"/>
      <c r="F249" s="7">
        <f t="shared" si="106"/>
        <v>0</v>
      </c>
      <c r="G249" s="2"/>
      <c r="H249" s="6">
        <v>400</v>
      </c>
      <c r="I249" s="2"/>
      <c r="J249" s="7">
        <f t="shared" si="107"/>
        <v>4.9443450676257936E-4</v>
      </c>
      <c r="K249" s="2"/>
      <c r="L249" s="6">
        <f t="shared" si="108"/>
        <v>-400</v>
      </c>
      <c r="M249" s="2"/>
      <c r="N249" s="7">
        <f t="shared" si="109"/>
        <v>-1</v>
      </c>
      <c r="O249" s="11"/>
      <c r="P249" s="6">
        <v>2915.21</v>
      </c>
      <c r="Q249" s="2"/>
      <c r="R249" s="7">
        <f t="shared" si="110"/>
        <v>4.0817968847234331E-4</v>
      </c>
      <c r="S249" s="2"/>
      <c r="T249" s="6">
        <v>6250</v>
      </c>
      <c r="U249" s="2"/>
      <c r="V249" s="7">
        <f t="shared" si="111"/>
        <v>8.3668921912733829E-4</v>
      </c>
      <c r="W249" s="2"/>
      <c r="X249" s="6">
        <f t="shared" si="112"/>
        <v>-3334.79</v>
      </c>
      <c r="Y249" s="2"/>
      <c r="Z249" s="7">
        <f t="shared" si="113"/>
        <v>-0.5335664</v>
      </c>
    </row>
    <row r="250" spans="1:26" s="24" customFormat="1" hidden="1" outlineLevel="2" x14ac:dyDescent="0.25">
      <c r="A250" s="26"/>
      <c r="B250" s="11" t="str">
        <f>CONCATENATE("          ", "6237", " - ", "JANITORIAL SUPPLIES")</f>
        <v xml:space="preserve">          6237 - JANITORIAL SUPPLIES</v>
      </c>
      <c r="C250" s="11"/>
      <c r="D250" s="6">
        <v>312.3</v>
      </c>
      <c r="E250" s="2"/>
      <c r="F250" s="7">
        <f t="shared" si="106"/>
        <v>4.7900780136983642E-4</v>
      </c>
      <c r="G250" s="2"/>
      <c r="H250" s="6">
        <v>135</v>
      </c>
      <c r="I250" s="2"/>
      <c r="J250" s="7">
        <f t="shared" si="107"/>
        <v>1.6687164603237053E-4</v>
      </c>
      <c r="K250" s="2"/>
      <c r="L250" s="6">
        <f t="shared" si="108"/>
        <v>177.3</v>
      </c>
      <c r="M250" s="2"/>
      <c r="N250" s="7">
        <f t="shared" si="109"/>
        <v>1.3133333333333335</v>
      </c>
      <c r="O250" s="11"/>
      <c r="P250" s="6">
        <v>5993.91</v>
      </c>
      <c r="Q250" s="2"/>
      <c r="R250" s="7">
        <f t="shared" si="110"/>
        <v>8.3925079720886765E-4</v>
      </c>
      <c r="S250" s="2"/>
      <c r="T250" s="6">
        <v>1060</v>
      </c>
      <c r="U250" s="2"/>
      <c r="V250" s="7">
        <f t="shared" si="111"/>
        <v>1.4190249156399658E-4</v>
      </c>
      <c r="W250" s="2"/>
      <c r="X250" s="6">
        <f t="shared" si="112"/>
        <v>4933.91</v>
      </c>
      <c r="Y250" s="2"/>
      <c r="Z250" s="7">
        <f t="shared" si="113"/>
        <v>4.6546320754716977</v>
      </c>
    </row>
    <row r="251" spans="1:26" s="24" customFormat="1" hidden="1" outlineLevel="2" x14ac:dyDescent="0.25">
      <c r="A251" s="26"/>
      <c r="B251" s="11" t="str">
        <f>CONCATENATE("          ", "6241", " - ", "OFFICE EXPENSE")</f>
        <v xml:space="preserve">          6241 - OFFICE EXPENSE</v>
      </c>
      <c r="C251" s="11"/>
      <c r="D251" s="6">
        <v>3144.3</v>
      </c>
      <c r="E251" s="2"/>
      <c r="F251" s="7">
        <f t="shared" si="106"/>
        <v>4.8227480942913117E-3</v>
      </c>
      <c r="G251" s="2"/>
      <c r="H251" s="6">
        <v>3425</v>
      </c>
      <c r="I251" s="2"/>
      <c r="J251" s="7">
        <f t="shared" si="107"/>
        <v>4.233595464154586E-3</v>
      </c>
      <c r="K251" s="2"/>
      <c r="L251" s="6">
        <f t="shared" si="108"/>
        <v>-280.69999999999982</v>
      </c>
      <c r="M251" s="2"/>
      <c r="N251" s="7">
        <f t="shared" si="109"/>
        <v>-8.1956204379561984E-2</v>
      </c>
      <c r="O251" s="11"/>
      <c r="P251" s="6">
        <v>19371.710000000003</v>
      </c>
      <c r="Q251" s="2"/>
      <c r="R251" s="7">
        <f t="shared" si="110"/>
        <v>2.7123735693060117E-3</v>
      </c>
      <c r="S251" s="2"/>
      <c r="T251" s="6">
        <v>9640</v>
      </c>
      <c r="U251" s="2"/>
      <c r="V251" s="7">
        <f t="shared" si="111"/>
        <v>1.2905094515820066E-3</v>
      </c>
      <c r="W251" s="2"/>
      <c r="X251" s="6">
        <f t="shared" si="112"/>
        <v>9731.7100000000028</v>
      </c>
      <c r="Y251" s="2"/>
      <c r="Z251" s="7">
        <f t="shared" si="113"/>
        <v>1.0095134854771788</v>
      </c>
    </row>
    <row r="252" spans="1:26" s="24" customFormat="1" hidden="1" outlineLevel="2" x14ac:dyDescent="0.25">
      <c r="A252" s="26"/>
      <c r="B252" s="11" t="str">
        <f>CONCATENATE("          ", "6243", " - ", "PAPER SUPPLIES")</f>
        <v xml:space="preserve">          6243 - PAPER SUPPLIES</v>
      </c>
      <c r="C252" s="11"/>
      <c r="D252" s="6">
        <v>3563.77</v>
      </c>
      <c r="E252" s="2"/>
      <c r="F252" s="7">
        <f t="shared" si="106"/>
        <v>5.4661339490482928E-3</v>
      </c>
      <c r="G252" s="2"/>
      <c r="H252" s="6">
        <v>250</v>
      </c>
      <c r="I252" s="2"/>
      <c r="J252" s="7">
        <f t="shared" si="107"/>
        <v>3.0902156672661207E-4</v>
      </c>
      <c r="K252" s="2"/>
      <c r="L252" s="6">
        <f t="shared" si="108"/>
        <v>3313.77</v>
      </c>
      <c r="M252" s="2"/>
      <c r="N252" s="7">
        <f t="shared" si="109"/>
        <v>13.25508</v>
      </c>
      <c r="O252" s="11"/>
      <c r="P252" s="6">
        <v>12911.1</v>
      </c>
      <c r="Q252" s="2"/>
      <c r="R252" s="7">
        <f t="shared" si="110"/>
        <v>1.8077767213460683E-3</v>
      </c>
      <c r="S252" s="2"/>
      <c r="T252" s="6">
        <v>2000</v>
      </c>
      <c r="U252" s="2"/>
      <c r="V252" s="7">
        <f t="shared" si="111"/>
        <v>2.6774055012074825E-4</v>
      </c>
      <c r="W252" s="2"/>
      <c r="X252" s="6">
        <f t="shared" si="112"/>
        <v>10911.1</v>
      </c>
      <c r="Y252" s="2"/>
      <c r="Z252" s="7">
        <f t="shared" si="113"/>
        <v>5.4555500000000006</v>
      </c>
    </row>
    <row r="253" spans="1:26" s="24" customFormat="1" hidden="1" outlineLevel="2" x14ac:dyDescent="0.25">
      <c r="A253" s="26"/>
      <c r="B253" s="11" t="str">
        <f>CONCATENATE("          ", "6244", " - ", "SAFETY SUPPLY EXPENSE")</f>
        <v xml:space="preserve">          6244 - SAFETY SUPPLY EXPENSE</v>
      </c>
      <c r="C253" s="11"/>
      <c r="D253" s="6"/>
      <c r="E253" s="2"/>
      <c r="F253" s="7">
        <f t="shared" si="106"/>
        <v>0</v>
      </c>
      <c r="G253" s="2"/>
      <c r="H253" s="6"/>
      <c r="I253" s="2"/>
      <c r="J253" s="7">
        <f t="shared" si="107"/>
        <v>0</v>
      </c>
      <c r="K253" s="2"/>
      <c r="L253" s="6">
        <f t="shared" si="108"/>
        <v>0</v>
      </c>
      <c r="M253" s="2"/>
      <c r="N253" s="7">
        <f t="shared" si="109"/>
        <v>0</v>
      </c>
      <c r="O253" s="11"/>
      <c r="P253" s="6"/>
      <c r="Q253" s="2"/>
      <c r="R253" s="7">
        <f t="shared" si="110"/>
        <v>0</v>
      </c>
      <c r="S253" s="2"/>
      <c r="T253" s="6">
        <v>30</v>
      </c>
      <c r="U253" s="2"/>
      <c r="V253" s="7">
        <f t="shared" si="111"/>
        <v>4.0161082518112237E-6</v>
      </c>
      <c r="W253" s="2"/>
      <c r="X253" s="6">
        <f t="shared" si="112"/>
        <v>-30</v>
      </c>
      <c r="Y253" s="2"/>
      <c r="Z253" s="7">
        <f t="shared" si="113"/>
        <v>-1</v>
      </c>
    </row>
    <row r="254" spans="1:26" s="24" customFormat="1" hidden="1" outlineLevel="2" x14ac:dyDescent="0.25">
      <c r="A254" s="26"/>
      <c r="B254" s="11" t="str">
        <f>CONCATENATE("          ", "6245", " - ", "PRINTING")</f>
        <v xml:space="preserve">          6245 - PRINTING</v>
      </c>
      <c r="C254" s="11"/>
      <c r="D254" s="6">
        <v>748.76</v>
      </c>
      <c r="E254" s="2"/>
      <c r="F254" s="7">
        <f t="shared" si="106"/>
        <v>1.1484530302711454E-3</v>
      </c>
      <c r="G254" s="2"/>
      <c r="H254" s="6">
        <v>500</v>
      </c>
      <c r="I254" s="2"/>
      <c r="J254" s="7">
        <f t="shared" si="107"/>
        <v>6.1804313345322414E-4</v>
      </c>
      <c r="K254" s="2"/>
      <c r="L254" s="6">
        <f t="shared" si="108"/>
        <v>248.76</v>
      </c>
      <c r="M254" s="2"/>
      <c r="N254" s="7">
        <f t="shared" si="109"/>
        <v>0.49751999999999996</v>
      </c>
      <c r="O254" s="11"/>
      <c r="P254" s="6">
        <v>5675.55</v>
      </c>
      <c r="Q254" s="2"/>
      <c r="R254" s="7">
        <f t="shared" si="110"/>
        <v>7.9467490537875763E-4</v>
      </c>
      <c r="S254" s="2"/>
      <c r="T254" s="6">
        <v>1400</v>
      </c>
      <c r="U254" s="2"/>
      <c r="V254" s="7">
        <f t="shared" si="111"/>
        <v>1.874183850845238E-4</v>
      </c>
      <c r="W254" s="2"/>
      <c r="X254" s="6">
        <f t="shared" si="112"/>
        <v>4275.55</v>
      </c>
      <c r="Y254" s="2"/>
      <c r="Z254" s="7">
        <f t="shared" si="113"/>
        <v>3.0539642857142857</v>
      </c>
    </row>
    <row r="255" spans="1:26" s="24" customFormat="1" hidden="1" outlineLevel="2" x14ac:dyDescent="0.25">
      <c r="A255" s="26"/>
      <c r="B255" s="11" t="str">
        <f>CONCATENATE("          ", "6247", " - ", "STORE SUPPLIES")</f>
        <v xml:space="preserve">          6247 - STORE SUPPLIES</v>
      </c>
      <c r="C255" s="11"/>
      <c r="D255" s="6">
        <v>2605.44</v>
      </c>
      <c r="E255" s="2"/>
      <c r="F255" s="7">
        <f t="shared" si="106"/>
        <v>3.9962410694877578E-3</v>
      </c>
      <c r="G255" s="2"/>
      <c r="H255" s="6">
        <v>17277</v>
      </c>
      <c r="I255" s="2"/>
      <c r="J255" s="7">
        <f t="shared" si="107"/>
        <v>2.1355862433342709E-2</v>
      </c>
      <c r="K255" s="2"/>
      <c r="L255" s="6">
        <f t="shared" si="108"/>
        <v>-14671.56</v>
      </c>
      <c r="M255" s="2"/>
      <c r="N255" s="7">
        <f t="shared" si="109"/>
        <v>-0.84919604097933665</v>
      </c>
      <c r="O255" s="11"/>
      <c r="P255" s="6">
        <v>41780.11</v>
      </c>
      <c r="Q255" s="2"/>
      <c r="R255" s="7">
        <f t="shared" si="110"/>
        <v>5.849936122660198E-3</v>
      </c>
      <c r="S255" s="2"/>
      <c r="T255" s="6">
        <v>88820</v>
      </c>
      <c r="U255" s="2"/>
      <c r="V255" s="7">
        <f t="shared" si="111"/>
        <v>1.189035783086243E-2</v>
      </c>
      <c r="W255" s="2"/>
      <c r="X255" s="6">
        <f t="shared" si="112"/>
        <v>-47039.89</v>
      </c>
      <c r="Y255" s="2"/>
      <c r="Z255" s="7">
        <f t="shared" si="113"/>
        <v>-0.52960920963746905</v>
      </c>
    </row>
    <row r="256" spans="1:26" s="24" customFormat="1" hidden="1" outlineLevel="2" x14ac:dyDescent="0.25">
      <c r="A256" s="26"/>
      <c r="B256" s="11" t="str">
        <f>CONCATENATE("          ", "6248", " - ", "UNIFORMS")</f>
        <v xml:space="preserve">          6248 - UNIFORMS</v>
      </c>
      <c r="C256" s="11"/>
      <c r="D256" s="6"/>
      <c r="E256" s="2"/>
      <c r="F256" s="7">
        <f t="shared" si="106"/>
        <v>0</v>
      </c>
      <c r="G256" s="2"/>
      <c r="H256" s="6">
        <v>1500</v>
      </c>
      <c r="I256" s="2"/>
      <c r="J256" s="7">
        <f t="shared" si="107"/>
        <v>1.8541294003596724E-3</v>
      </c>
      <c r="K256" s="2"/>
      <c r="L256" s="6">
        <f t="shared" si="108"/>
        <v>-1500</v>
      </c>
      <c r="M256" s="2"/>
      <c r="N256" s="7">
        <f t="shared" si="109"/>
        <v>-1</v>
      </c>
      <c r="O256" s="11"/>
      <c r="P256" s="6"/>
      <c r="Q256" s="2"/>
      <c r="R256" s="7">
        <f t="shared" si="110"/>
        <v>0</v>
      </c>
      <c r="S256" s="2"/>
      <c r="T256" s="6">
        <v>6800</v>
      </c>
      <c r="U256" s="2"/>
      <c r="V256" s="7">
        <f t="shared" si="111"/>
        <v>9.103178704105441E-4</v>
      </c>
      <c r="W256" s="2"/>
      <c r="X256" s="6">
        <f t="shared" si="112"/>
        <v>-6800</v>
      </c>
      <c r="Y256" s="2"/>
      <c r="Z256" s="7">
        <f t="shared" si="113"/>
        <v>-1</v>
      </c>
    </row>
    <row r="257" spans="1:26" s="25" customFormat="1" outlineLevel="1" collapsed="1" x14ac:dyDescent="0.25">
      <c r="A257" s="27"/>
      <c r="B257" s="13" t="str">
        <f>CONCATENATE("     ","Telephone/Data Lines                              ")</f>
        <v xml:space="preserve">     Telephone/Data Lines                              </v>
      </c>
      <c r="C257" s="13"/>
      <c r="D257" s="1">
        <f>SUM(OSRRefD22_23x_0)</f>
        <v>2949.45</v>
      </c>
      <c r="E257" s="1"/>
      <c r="F257" s="5">
        <f t="shared" ref="F257:F259" si="114">IF(D$12=0,0,D257/D$12)</f>
        <v>4.5238858781628689E-3</v>
      </c>
      <c r="G257" s="1"/>
      <c r="H257" s="1">
        <f>SUM(OSRRefH22_23x_0)</f>
        <v>3080</v>
      </c>
      <c r="I257" s="1"/>
      <c r="J257" s="5">
        <f t="shared" ref="J257:J259" si="115">IF(H$12=0,0,H257/H$12)</f>
        <v>3.8071457020718608E-3</v>
      </c>
      <c r="K257" s="1"/>
      <c r="L257" s="1">
        <f t="shared" ref="L257:L259" si="116">+D257-H257</f>
        <v>-130.55000000000018</v>
      </c>
      <c r="M257" s="1"/>
      <c r="N257" s="5">
        <f t="shared" ref="N257:N259" si="117">IF(H257=0,0,L257/H257)</f>
        <v>-4.2386363636363694E-2</v>
      </c>
      <c r="O257" s="13"/>
      <c r="P257" s="1">
        <f>SUM(OSRRefP22_23x_0)</f>
        <v>18101.52</v>
      </c>
      <c r="Q257" s="1"/>
      <c r="R257" s="5">
        <f t="shared" ref="R257:R259" si="118">IF(P$12=0,0,P257/P$12)</f>
        <v>2.5345250580492973E-3</v>
      </c>
      <c r="S257" s="1"/>
      <c r="T257" s="1">
        <f>SUM(OSRRefT22_23x_0)</f>
        <v>20055</v>
      </c>
      <c r="U257" s="1"/>
      <c r="V257" s="5">
        <f t="shared" ref="V257:V259" si="119">IF(T$12=0,0,T257/T$12)</f>
        <v>2.6847683663358034E-3</v>
      </c>
      <c r="W257" s="1"/>
      <c r="X257" s="1">
        <f t="shared" ref="X257:X259" si="120">+P257-T257</f>
        <v>-1953.4799999999996</v>
      </c>
      <c r="Y257" s="1"/>
      <c r="Z257" s="5">
        <f t="shared" ref="Z257:Z259" si="121">IF(T257=0,0,X257/T257)</f>
        <v>-9.74061331338818E-2</v>
      </c>
    </row>
    <row r="258" spans="1:26" s="24" customFormat="1" hidden="1" outlineLevel="2" x14ac:dyDescent="0.25">
      <c r="A258" s="26"/>
      <c r="B258" s="11" t="str">
        <f>CONCATENATE("          ", "6303", " - ", "DATA PHONE LINES")</f>
        <v xml:space="preserve">          6303 - DATA PHONE LINES</v>
      </c>
      <c r="C258" s="11"/>
      <c r="D258" s="6">
        <v>295</v>
      </c>
      <c r="E258" s="2"/>
      <c r="F258" s="7">
        <f t="shared" si="114"/>
        <v>4.5247294717932037E-4</v>
      </c>
      <c r="G258" s="2"/>
      <c r="H258" s="6">
        <v>900</v>
      </c>
      <c r="I258" s="2"/>
      <c r="J258" s="7">
        <f t="shared" si="115"/>
        <v>1.1124776402158035E-3</v>
      </c>
      <c r="K258" s="2"/>
      <c r="L258" s="6">
        <f t="shared" si="116"/>
        <v>-605</v>
      </c>
      <c r="M258" s="2"/>
      <c r="N258" s="7">
        <f t="shared" si="117"/>
        <v>-0.67222222222222228</v>
      </c>
      <c r="O258" s="11"/>
      <c r="P258" s="6">
        <v>1770</v>
      </c>
      <c r="Q258" s="2"/>
      <c r="R258" s="7">
        <f t="shared" si="118"/>
        <v>2.4783053316778129E-4</v>
      </c>
      <c r="S258" s="2"/>
      <c r="T258" s="6">
        <v>6475</v>
      </c>
      <c r="U258" s="2"/>
      <c r="V258" s="7">
        <f t="shared" si="119"/>
        <v>8.6681003101592255E-4</v>
      </c>
      <c r="W258" s="2"/>
      <c r="X258" s="6">
        <f t="shared" si="120"/>
        <v>-4705</v>
      </c>
      <c r="Y258" s="2"/>
      <c r="Z258" s="7">
        <f t="shared" si="121"/>
        <v>-0.72664092664092661</v>
      </c>
    </row>
    <row r="259" spans="1:26" s="24" customFormat="1" hidden="1" outlineLevel="2" x14ac:dyDescent="0.25">
      <c r="A259" s="26"/>
      <c r="B259" s="11" t="str">
        <f>CONCATENATE("          ", "6309", " - ", "TELEPHONE")</f>
        <v xml:space="preserve">          6309 - TELEPHONE</v>
      </c>
      <c r="C259" s="11"/>
      <c r="D259" s="6">
        <v>2654.45</v>
      </c>
      <c r="E259" s="2"/>
      <c r="F259" s="7">
        <f t="shared" si="114"/>
        <v>4.0714129309835489E-3</v>
      </c>
      <c r="G259" s="2"/>
      <c r="H259" s="6">
        <v>2180</v>
      </c>
      <c r="I259" s="2"/>
      <c r="J259" s="7">
        <f t="shared" si="115"/>
        <v>2.6946680618560575E-3</v>
      </c>
      <c r="K259" s="2"/>
      <c r="L259" s="6">
        <f t="shared" si="116"/>
        <v>474.44999999999982</v>
      </c>
      <c r="M259" s="2"/>
      <c r="N259" s="7">
        <f t="shared" si="117"/>
        <v>0.217637614678899</v>
      </c>
      <c r="O259" s="11"/>
      <c r="P259" s="6">
        <v>16331.52</v>
      </c>
      <c r="Q259" s="2"/>
      <c r="R259" s="7">
        <f t="shared" si="118"/>
        <v>2.286694524881516E-3</v>
      </c>
      <c r="S259" s="2"/>
      <c r="T259" s="6">
        <v>13580</v>
      </c>
      <c r="U259" s="2"/>
      <c r="V259" s="7">
        <f t="shared" si="119"/>
        <v>1.8179583353198807E-3</v>
      </c>
      <c r="W259" s="2"/>
      <c r="X259" s="6">
        <f t="shared" si="120"/>
        <v>2751.5200000000004</v>
      </c>
      <c r="Y259" s="2"/>
      <c r="Z259" s="7">
        <f t="shared" si="121"/>
        <v>0.20261561119293081</v>
      </c>
    </row>
    <row r="260" spans="1:26" s="25" customFormat="1" outlineLevel="1" collapsed="1" x14ac:dyDescent="0.25">
      <c r="A260" s="27"/>
      <c r="B260" s="13" t="str">
        <f>CONCATENATE("     ","Training                                          ")</f>
        <v xml:space="preserve">     Training                                          </v>
      </c>
      <c r="C260" s="13"/>
      <c r="D260" s="1">
        <f>SUM(OSRRefD22_24x_0)</f>
        <v>0</v>
      </c>
      <c r="E260" s="1"/>
      <c r="F260" s="5">
        <f t="shared" ref="F260:F265" si="122">IF(D$12=0,0,D260/D$12)</f>
        <v>0</v>
      </c>
      <c r="G260" s="1"/>
      <c r="H260" s="1">
        <f>SUM(OSRRefH22_24x_0)</f>
        <v>2700</v>
      </c>
      <c r="I260" s="1"/>
      <c r="J260" s="5">
        <f t="shared" ref="J260:J265" si="123">IF(H$12=0,0,H260/H$12)</f>
        <v>3.3374329206474107E-3</v>
      </c>
      <c r="K260" s="1"/>
      <c r="L260" s="1">
        <f t="shared" ref="L260:L265" si="124">+D260-H260</f>
        <v>-2700</v>
      </c>
      <c r="M260" s="1"/>
      <c r="N260" s="5">
        <f t="shared" ref="N260:N265" si="125">IF(H260=0,0,L260/H260)</f>
        <v>-1</v>
      </c>
      <c r="O260" s="13"/>
      <c r="P260" s="1">
        <f>SUM(OSRRefP22_24x_0)</f>
        <v>7659.8</v>
      </c>
      <c r="Q260" s="1"/>
      <c r="R260" s="5">
        <f t="shared" ref="R260:R265" si="126">IF(P$12=0,0,P260/P$12)</f>
        <v>1.0725041344398706E-3</v>
      </c>
      <c r="S260" s="1"/>
      <c r="T260" s="1">
        <f>SUM(OSRRefT22_24x_0)</f>
        <v>14050</v>
      </c>
      <c r="U260" s="1"/>
      <c r="V260" s="5">
        <f t="shared" ref="V260:V265" si="127">IF(T$12=0,0,T260/T$12)</f>
        <v>1.8808773645982565E-3</v>
      </c>
      <c r="W260" s="1"/>
      <c r="X260" s="1">
        <f t="shared" ref="X260:X265" si="128">+P260-T260</f>
        <v>-6390.2</v>
      </c>
      <c r="Y260" s="1"/>
      <c r="Z260" s="5">
        <f t="shared" ref="Z260:Z265" si="129">IF(T260=0,0,X260/T260)</f>
        <v>-0.45481850533807827</v>
      </c>
    </row>
    <row r="261" spans="1:26" s="24" customFormat="1" hidden="1" outlineLevel="2" x14ac:dyDescent="0.25">
      <c r="A261" s="26"/>
      <c r="B261" s="11" t="str">
        <f>CONCATENATE("          ", "6376", " - ", "TRAINING")</f>
        <v xml:space="preserve">          6376 - TRAINING</v>
      </c>
      <c r="C261" s="11"/>
      <c r="D261" s="6"/>
      <c r="E261" s="2"/>
      <c r="F261" s="7">
        <f t="shared" si="122"/>
        <v>0</v>
      </c>
      <c r="G261" s="2"/>
      <c r="H261" s="6">
        <v>2700</v>
      </c>
      <c r="I261" s="2"/>
      <c r="J261" s="7">
        <f t="shared" si="123"/>
        <v>3.3374329206474107E-3</v>
      </c>
      <c r="K261" s="2"/>
      <c r="L261" s="6">
        <f t="shared" si="124"/>
        <v>-2700</v>
      </c>
      <c r="M261" s="2"/>
      <c r="N261" s="7">
        <f t="shared" si="125"/>
        <v>-1</v>
      </c>
      <c r="O261" s="11"/>
      <c r="P261" s="6">
        <v>7659.8</v>
      </c>
      <c r="Q261" s="2"/>
      <c r="R261" s="7">
        <f t="shared" si="126"/>
        <v>1.0725041344398706E-3</v>
      </c>
      <c r="S261" s="2"/>
      <c r="T261" s="6">
        <v>14050</v>
      </c>
      <c r="U261" s="2"/>
      <c r="V261" s="7">
        <f t="shared" si="127"/>
        <v>1.8808773645982565E-3</v>
      </c>
      <c r="W261" s="2"/>
      <c r="X261" s="6">
        <f t="shared" si="128"/>
        <v>-6390.2</v>
      </c>
      <c r="Y261" s="2"/>
      <c r="Z261" s="7">
        <f t="shared" si="129"/>
        <v>-0.45481850533807827</v>
      </c>
    </row>
    <row r="262" spans="1:26" s="25" customFormat="1" outlineLevel="1" collapsed="1" x14ac:dyDescent="0.25">
      <c r="A262" s="27"/>
      <c r="B262" s="13" t="str">
        <f>CONCATENATE("     ","Travel                                            ")</f>
        <v xml:space="preserve">     Travel                                            </v>
      </c>
      <c r="C262" s="13"/>
      <c r="D262" s="1">
        <f>SUM(OSRRefD22_25x_0)</f>
        <v>-159.65</v>
      </c>
      <c r="E262" s="1"/>
      <c r="F262" s="5">
        <f t="shared" si="122"/>
        <v>-2.4487222378704573E-4</v>
      </c>
      <c r="G262" s="1"/>
      <c r="H262" s="1">
        <f>SUM(OSRRefH22_25x_0)</f>
        <v>100</v>
      </c>
      <c r="I262" s="1"/>
      <c r="J262" s="5">
        <f t="shared" si="123"/>
        <v>1.2360862669064484E-4</v>
      </c>
      <c r="K262" s="1"/>
      <c r="L262" s="1">
        <f t="shared" si="124"/>
        <v>-259.64999999999998</v>
      </c>
      <c r="M262" s="1"/>
      <c r="N262" s="5">
        <f t="shared" si="125"/>
        <v>-2.5964999999999998</v>
      </c>
      <c r="O262" s="13"/>
      <c r="P262" s="1">
        <f>SUM(OSRRefP22_25x_0)</f>
        <v>1442.1</v>
      </c>
      <c r="Q262" s="1"/>
      <c r="R262" s="5">
        <f t="shared" si="126"/>
        <v>2.0191887676907194E-4</v>
      </c>
      <c r="S262" s="1"/>
      <c r="T262" s="1">
        <f>SUM(OSRRefT22_25x_0)</f>
        <v>2060</v>
      </c>
      <c r="U262" s="1"/>
      <c r="V262" s="5">
        <f t="shared" si="127"/>
        <v>2.7577276662437073E-4</v>
      </c>
      <c r="W262" s="1"/>
      <c r="X262" s="1">
        <f t="shared" si="128"/>
        <v>-617.90000000000009</v>
      </c>
      <c r="Y262" s="1"/>
      <c r="Z262" s="5">
        <f t="shared" si="129"/>
        <v>-0.29995145631067965</v>
      </c>
    </row>
    <row r="263" spans="1:26" s="24" customFormat="1" hidden="1" outlineLevel="2" x14ac:dyDescent="0.25">
      <c r="A263" s="26"/>
      <c r="B263" s="11" t="str">
        <f>CONCATENATE("          ", "6292", " - ", "TRAVEL/CONFERENCE")</f>
        <v xml:space="preserve">          6292 - TRAVEL/CONFERENCE</v>
      </c>
      <c r="C263" s="11"/>
      <c r="D263" s="6">
        <v>-323.01</v>
      </c>
      <c r="E263" s="2"/>
      <c r="F263" s="7">
        <f t="shared" si="122"/>
        <v>-4.9543487006234661E-4</v>
      </c>
      <c r="G263" s="2"/>
      <c r="H263" s="6"/>
      <c r="I263" s="2"/>
      <c r="J263" s="7">
        <f t="shared" si="123"/>
        <v>0</v>
      </c>
      <c r="K263" s="2"/>
      <c r="L263" s="6">
        <f t="shared" si="124"/>
        <v>-323.01</v>
      </c>
      <c r="M263" s="2"/>
      <c r="N263" s="7">
        <f t="shared" si="125"/>
        <v>0</v>
      </c>
      <c r="O263" s="11"/>
      <c r="P263" s="6">
        <v>365.6</v>
      </c>
      <c r="Q263" s="2"/>
      <c r="R263" s="7">
        <f t="shared" si="126"/>
        <v>5.1190306737932678E-5</v>
      </c>
      <c r="S263" s="2"/>
      <c r="T263" s="6">
        <v>1000</v>
      </c>
      <c r="U263" s="2"/>
      <c r="V263" s="7">
        <f t="shared" si="127"/>
        <v>1.3387027506037413E-4</v>
      </c>
      <c r="W263" s="2"/>
      <c r="X263" s="6">
        <f t="shared" si="128"/>
        <v>-634.4</v>
      </c>
      <c r="Y263" s="2"/>
      <c r="Z263" s="7">
        <f t="shared" si="129"/>
        <v>-0.63439999999999996</v>
      </c>
    </row>
    <row r="264" spans="1:26" s="24" customFormat="1" hidden="1" outlineLevel="2" x14ac:dyDescent="0.25">
      <c r="A264" s="26"/>
      <c r="B264" s="11" t="str">
        <f>CONCATENATE("          ", "6294", " - ", "TRAVEL OPERATIONAL")</f>
        <v xml:space="preserve">          6294 - TRAVEL OPERATIONAL</v>
      </c>
      <c r="C264" s="11"/>
      <c r="D264" s="6">
        <v>125.14</v>
      </c>
      <c r="E264" s="2"/>
      <c r="F264" s="7">
        <f t="shared" si="122"/>
        <v>1.9194055800006831E-4</v>
      </c>
      <c r="G264" s="2"/>
      <c r="H264" s="6">
        <v>100</v>
      </c>
      <c r="I264" s="2"/>
      <c r="J264" s="7">
        <f t="shared" si="123"/>
        <v>1.2360862669064484E-4</v>
      </c>
      <c r="K264" s="2"/>
      <c r="L264" s="6">
        <f t="shared" si="124"/>
        <v>25.14</v>
      </c>
      <c r="M264" s="2"/>
      <c r="N264" s="7">
        <f t="shared" si="125"/>
        <v>0.25140000000000001</v>
      </c>
      <c r="O264" s="11"/>
      <c r="P264" s="6">
        <v>818.94</v>
      </c>
      <c r="Q264" s="2"/>
      <c r="R264" s="7">
        <f t="shared" si="126"/>
        <v>1.1466572702396768E-4</v>
      </c>
      <c r="S264" s="2"/>
      <c r="T264" s="6">
        <v>610</v>
      </c>
      <c r="U264" s="2"/>
      <c r="V264" s="7">
        <f t="shared" si="127"/>
        <v>8.1660867786828223E-5</v>
      </c>
      <c r="W264" s="2"/>
      <c r="X264" s="6">
        <f t="shared" si="128"/>
        <v>208.94000000000005</v>
      </c>
      <c r="Y264" s="2"/>
      <c r="Z264" s="7">
        <f t="shared" si="129"/>
        <v>0.34252459016393449</v>
      </c>
    </row>
    <row r="265" spans="1:26" s="24" customFormat="1" hidden="1" outlineLevel="2" x14ac:dyDescent="0.25">
      <c r="A265" s="26"/>
      <c r="B265" s="11" t="str">
        <f>CONCATENATE("          ", "6298", " - ", "VEHICLE MILEAGE")</f>
        <v xml:space="preserve">          6298 - VEHICLE MILEAGE</v>
      </c>
      <c r="C265" s="11"/>
      <c r="D265" s="6">
        <v>38.22</v>
      </c>
      <c r="E265" s="2"/>
      <c r="F265" s="7">
        <f t="shared" si="122"/>
        <v>5.8622088275232619E-5</v>
      </c>
      <c r="G265" s="2"/>
      <c r="H265" s="6"/>
      <c r="I265" s="2"/>
      <c r="J265" s="7">
        <f t="shared" si="123"/>
        <v>0</v>
      </c>
      <c r="K265" s="2"/>
      <c r="L265" s="6">
        <f t="shared" si="124"/>
        <v>38.22</v>
      </c>
      <c r="M265" s="2"/>
      <c r="N265" s="7">
        <f t="shared" si="125"/>
        <v>0</v>
      </c>
      <c r="O265" s="11"/>
      <c r="P265" s="6">
        <v>257.56</v>
      </c>
      <c r="Q265" s="2"/>
      <c r="R265" s="7">
        <f t="shared" si="126"/>
        <v>3.6062843007171605E-5</v>
      </c>
      <c r="S265" s="2"/>
      <c r="T265" s="6">
        <v>450</v>
      </c>
      <c r="U265" s="2"/>
      <c r="V265" s="7">
        <f t="shared" si="127"/>
        <v>6.0241623777168361E-5</v>
      </c>
      <c r="W265" s="2"/>
      <c r="X265" s="6">
        <f t="shared" si="128"/>
        <v>-192.44</v>
      </c>
      <c r="Y265" s="2"/>
      <c r="Z265" s="7">
        <f t="shared" si="129"/>
        <v>-0.42764444444444444</v>
      </c>
    </row>
    <row r="266" spans="1:26" s="25" customFormat="1" outlineLevel="1" collapsed="1" x14ac:dyDescent="0.25">
      <c r="A266" s="27"/>
      <c r="B266" s="13" t="str">
        <f>CONCATENATE("     ","Utilities                                         ")</f>
        <v xml:space="preserve">     Utilities                                         </v>
      </c>
      <c r="C266" s="13"/>
      <c r="D266" s="1">
        <f>SUM(OSRRefD22_26x_0)</f>
        <v>11847.76</v>
      </c>
      <c r="E266" s="1"/>
      <c r="F266" s="5">
        <f t="shared" ref="F266:F267" si="130">IF(D$12=0,0,D266/D$12)</f>
        <v>1.8172172490417846E-2</v>
      </c>
      <c r="G266" s="1"/>
      <c r="H266" s="1">
        <f>SUM(OSRRefH22_26x_0)</f>
        <v>6198</v>
      </c>
      <c r="I266" s="1"/>
      <c r="J266" s="5">
        <f t="shared" ref="J266:J267" si="131">IF(H$12=0,0,H266/H$12)</f>
        <v>7.6612626822861671E-3</v>
      </c>
      <c r="K266" s="1"/>
      <c r="L266" s="1">
        <f t="shared" ref="L266:L267" si="132">+D266-H266</f>
        <v>5649.76</v>
      </c>
      <c r="M266" s="1"/>
      <c r="N266" s="5">
        <f t="shared" ref="N266:N267" si="133">IF(H266=0,0,L266/H266)</f>
        <v>0.91154565989028724</v>
      </c>
      <c r="O266" s="13"/>
      <c r="P266" s="1">
        <f>SUM(OSRRefP22_26x_0)</f>
        <v>37484.800000000003</v>
      </c>
      <c r="Q266" s="1"/>
      <c r="R266" s="5">
        <f t="shared" ref="R266:R267" si="134">IF(P$12=0,0,P266/P$12)</f>
        <v>5.2485186269421742E-3</v>
      </c>
      <c r="S266" s="1"/>
      <c r="T266" s="1">
        <f>SUM(OSRRefT22_26x_0)</f>
        <v>37294</v>
      </c>
      <c r="U266" s="1"/>
      <c r="V266" s="5">
        <f t="shared" ref="V266:V267" si="135">IF(T$12=0,0,T266/T$12)</f>
        <v>4.9925580381015933E-3</v>
      </c>
      <c r="W266" s="1"/>
      <c r="X266" s="1">
        <f t="shared" ref="X266:X267" si="136">+P266-T266</f>
        <v>190.80000000000291</v>
      </c>
      <c r="Y266" s="1"/>
      <c r="Z266" s="5">
        <f t="shared" ref="Z266:Z267" si="137">IF(T266=0,0,X266/T266)</f>
        <v>5.1161044672065996E-3</v>
      </c>
    </row>
    <row r="267" spans="1:26" s="24" customFormat="1" hidden="1" outlineLevel="2" x14ac:dyDescent="0.25">
      <c r="A267" s="26"/>
      <c r="B267" s="11" t="str">
        <f>CONCATENATE("          ", "6274", " - ", "UTILITIES")</f>
        <v xml:space="preserve">          6274 - UTILITIES</v>
      </c>
      <c r="C267" s="11"/>
      <c r="D267" s="6">
        <v>11847.76</v>
      </c>
      <c r="E267" s="2"/>
      <c r="F267" s="7">
        <f t="shared" si="130"/>
        <v>1.8172172490417846E-2</v>
      </c>
      <c r="G267" s="2"/>
      <c r="H267" s="6">
        <v>6198</v>
      </c>
      <c r="I267" s="2"/>
      <c r="J267" s="7">
        <f t="shared" si="131"/>
        <v>7.6612626822861671E-3</v>
      </c>
      <c r="K267" s="2"/>
      <c r="L267" s="6">
        <f t="shared" si="132"/>
        <v>5649.76</v>
      </c>
      <c r="M267" s="2"/>
      <c r="N267" s="7">
        <f t="shared" si="133"/>
        <v>0.91154565989028724</v>
      </c>
      <c r="O267" s="11"/>
      <c r="P267" s="6">
        <v>37484.800000000003</v>
      </c>
      <c r="Q267" s="2"/>
      <c r="R267" s="7">
        <f t="shared" si="134"/>
        <v>5.2485186269421742E-3</v>
      </c>
      <c r="S267" s="2"/>
      <c r="T267" s="6">
        <v>37294</v>
      </c>
      <c r="U267" s="2"/>
      <c r="V267" s="7">
        <f t="shared" si="135"/>
        <v>4.9925580381015933E-3</v>
      </c>
      <c r="W267" s="2"/>
      <c r="X267" s="6">
        <f t="shared" si="136"/>
        <v>190.80000000000291</v>
      </c>
      <c r="Y267" s="2"/>
      <c r="Z267" s="7">
        <f t="shared" si="137"/>
        <v>5.1161044672065996E-3</v>
      </c>
    </row>
    <row r="268" spans="1:26" s="53" customFormat="1" x14ac:dyDescent="0.25">
      <c r="A268" s="36"/>
      <c r="B268" s="36"/>
      <c r="C268" s="36"/>
      <c r="D268" s="1"/>
      <c r="E268" s="1"/>
      <c r="F268" s="5"/>
      <c r="G268" s="1"/>
      <c r="H268" s="1"/>
      <c r="I268" s="1"/>
      <c r="J268" s="5"/>
      <c r="K268" s="1"/>
      <c r="L268" s="1"/>
      <c r="M268" s="1"/>
      <c r="N268" s="5"/>
      <c r="O268" s="36"/>
      <c r="P268" s="1"/>
      <c r="Q268" s="1"/>
      <c r="R268" s="5"/>
      <c r="S268" s="1"/>
      <c r="T268" s="1"/>
      <c r="U268" s="1"/>
      <c r="V268" s="5"/>
      <c r="W268" s="1"/>
      <c r="X268" s="1"/>
      <c r="Y268" s="1"/>
      <c r="Z268" s="5"/>
    </row>
    <row r="269" spans="1:26" s="23" customFormat="1" collapsed="1" x14ac:dyDescent="0.25">
      <c r="A269" s="10"/>
      <c r="B269" s="28" t="s">
        <v>0</v>
      </c>
      <c r="C269" s="10"/>
      <c r="D269" s="4">
        <f>SUM(OSRRefD25x_0)</f>
        <v>23065.69</v>
      </c>
      <c r="E269" s="4"/>
      <c r="F269" s="12">
        <f t="shared" ref="F269:F278" si="138">IF(D$12=0,0,D269/D$12)</f>
        <v>3.5378307569574836E-2</v>
      </c>
      <c r="G269" s="4"/>
      <c r="H269" s="4">
        <f>SUM(OSRRefH25x_0)</f>
        <v>66425</v>
      </c>
      <c r="I269" s="4"/>
      <c r="J269" s="12">
        <f t="shared" ref="J269:J278" si="139">IF(H$12=0,0,H269/H$12)</f>
        <v>8.2107030279260834E-2</v>
      </c>
      <c r="K269" s="4"/>
      <c r="L269" s="4">
        <f t="shared" ref="L269:L278" si="140">+D269-H269</f>
        <v>-43359.31</v>
      </c>
      <c r="M269" s="4"/>
      <c r="N269" s="12">
        <f t="shared" ref="N269:N278" si="141">IF(H269=0,0,L269/H269)</f>
        <v>-0.65275589010161839</v>
      </c>
      <c r="O269" s="10"/>
      <c r="P269" s="4">
        <f>SUM(OSRRefP25x_0)</f>
        <v>423466.33</v>
      </c>
      <c r="Q269" s="4"/>
      <c r="R269" s="12">
        <f t="shared" ref="R269:R278" si="142">IF(P$12=0,0,P269/P$12)</f>
        <v>5.9292591153956846E-2</v>
      </c>
      <c r="S269" s="4"/>
      <c r="T269" s="4">
        <f>SUM(OSRRefT25x_0)</f>
        <v>443900</v>
      </c>
      <c r="U269" s="4"/>
      <c r="V269" s="12">
        <f t="shared" ref="V269:V278" si="143">IF(T$12=0,0,T269/T$12)</f>
        <v>5.942501509930008E-2</v>
      </c>
      <c r="W269" s="4"/>
      <c r="X269" s="4">
        <f t="shared" ref="X269:X278" si="144">+P269-T269</f>
        <v>-20433.669999999984</v>
      </c>
      <c r="Y269" s="4"/>
      <c r="Z269" s="12">
        <f t="shared" ref="Z269:Z278" si="145">IF(T269=0,0,X269/T269)</f>
        <v>-4.6032146879927877E-2</v>
      </c>
    </row>
    <row r="270" spans="1:26" s="24" customFormat="1" hidden="1" outlineLevel="1" x14ac:dyDescent="0.25">
      <c r="A270" s="44"/>
      <c r="B270" s="11" t="str">
        <f>CONCATENATE("          ", "4098", " - ", "TAXABLE SALES-GRAD RENTALS")</f>
        <v xml:space="preserve">          4098 - TAXABLE SALES-GRAD RENTALS</v>
      </c>
      <c r="C270" s="11"/>
      <c r="D270" s="2">
        <f t="shared" ref="D270:D272" si="146">0</f>
        <v>0</v>
      </c>
      <c r="E270" s="2"/>
      <c r="F270" s="19">
        <f t="shared" si="138"/>
        <v>0</v>
      </c>
      <c r="G270" s="2"/>
      <c r="H270" s="2"/>
      <c r="I270" s="2"/>
      <c r="J270" s="19">
        <f t="shared" si="139"/>
        <v>0</v>
      </c>
      <c r="K270" s="2"/>
      <c r="L270" s="2">
        <f t="shared" si="140"/>
        <v>0</v>
      </c>
      <c r="M270" s="2"/>
      <c r="N270" s="19">
        <f t="shared" si="141"/>
        <v>0</v>
      </c>
      <c r="O270" s="11"/>
      <c r="P270" s="2">
        <f>--1626.85</f>
        <v>1626.85</v>
      </c>
      <c r="Q270" s="2"/>
      <c r="R270" s="19">
        <f t="shared" si="142"/>
        <v>2.2778706377627397E-4</v>
      </c>
      <c r="S270" s="2"/>
      <c r="T270" s="2"/>
      <c r="U270" s="2"/>
      <c r="V270" s="19">
        <f t="shared" si="143"/>
        <v>0</v>
      </c>
      <c r="W270" s="2"/>
      <c r="X270" s="2">
        <f t="shared" si="144"/>
        <v>1626.85</v>
      </c>
      <c r="Y270" s="2"/>
      <c r="Z270" s="19">
        <f t="shared" si="145"/>
        <v>0</v>
      </c>
    </row>
    <row r="271" spans="1:26" s="24" customFormat="1" hidden="1" outlineLevel="1" x14ac:dyDescent="0.25">
      <c r="A271" s="44"/>
      <c r="B271" s="11" t="str">
        <f>CONCATENATE("          ", "4197", " - ", "NON-TAXABLE SALES-RETURNED CHE")</f>
        <v xml:space="preserve">          4197 - NON-TAXABLE SALES-RETURNED CHE</v>
      </c>
      <c r="C271" s="11"/>
      <c r="D271" s="2">
        <f t="shared" si="146"/>
        <v>0</v>
      </c>
      <c r="E271" s="2"/>
      <c r="F271" s="19">
        <f t="shared" si="138"/>
        <v>0</v>
      </c>
      <c r="G271" s="2"/>
      <c r="H271" s="2"/>
      <c r="I271" s="2"/>
      <c r="J271" s="19">
        <f t="shared" si="139"/>
        <v>0</v>
      </c>
      <c r="K271" s="2"/>
      <c r="L271" s="2">
        <f t="shared" si="140"/>
        <v>0</v>
      </c>
      <c r="M271" s="2"/>
      <c r="N271" s="19">
        <f t="shared" si="141"/>
        <v>0</v>
      </c>
      <c r="O271" s="11"/>
      <c r="P271" s="2">
        <f>--30</f>
        <v>30</v>
      </c>
      <c r="Q271" s="2"/>
      <c r="R271" s="19">
        <f t="shared" si="142"/>
        <v>4.2005175113183264E-6</v>
      </c>
      <c r="S271" s="2"/>
      <c r="T271" s="2"/>
      <c r="U271" s="2"/>
      <c r="V271" s="19">
        <f t="shared" si="143"/>
        <v>0</v>
      </c>
      <c r="W271" s="2"/>
      <c r="X271" s="2">
        <f t="shared" si="144"/>
        <v>30</v>
      </c>
      <c r="Y271" s="2"/>
      <c r="Z271" s="19">
        <f t="shared" si="145"/>
        <v>0</v>
      </c>
    </row>
    <row r="272" spans="1:26" s="24" customFormat="1" hidden="1" outlineLevel="1" x14ac:dyDescent="0.25">
      <c r="A272" s="44"/>
      <c r="B272" s="11" t="str">
        <f>CONCATENATE("          ", "4198", " - ", "NON-TAXABLE SALES-GRAD RENTALS")</f>
        <v xml:space="preserve">          4198 - NON-TAXABLE SALES-GRAD RENTALS</v>
      </c>
      <c r="C272" s="11"/>
      <c r="D272" s="2">
        <f t="shared" si="146"/>
        <v>0</v>
      </c>
      <c r="E272" s="2"/>
      <c r="F272" s="19">
        <f t="shared" si="138"/>
        <v>0</v>
      </c>
      <c r="G272" s="2"/>
      <c r="H272" s="2"/>
      <c r="I272" s="2"/>
      <c r="J272" s="19">
        <f t="shared" si="139"/>
        <v>0</v>
      </c>
      <c r="K272" s="2"/>
      <c r="L272" s="2">
        <f t="shared" si="140"/>
        <v>0</v>
      </c>
      <c r="M272" s="2"/>
      <c r="N272" s="19">
        <f t="shared" si="141"/>
        <v>0</v>
      </c>
      <c r="O272" s="11"/>
      <c r="P272" s="2">
        <f>--495</f>
        <v>495</v>
      </c>
      <c r="Q272" s="2"/>
      <c r="R272" s="19">
        <f t="shared" si="142"/>
        <v>6.9308538936752384E-5</v>
      </c>
      <c r="S272" s="2"/>
      <c r="T272" s="2"/>
      <c r="U272" s="2"/>
      <c r="V272" s="19">
        <f t="shared" si="143"/>
        <v>0</v>
      </c>
      <c r="W272" s="2"/>
      <c r="X272" s="2">
        <f t="shared" si="144"/>
        <v>495</v>
      </c>
      <c r="Y272" s="2"/>
      <c r="Z272" s="19">
        <f t="shared" si="145"/>
        <v>0</v>
      </c>
    </row>
    <row r="273" spans="1:26" s="24" customFormat="1" hidden="1" outlineLevel="1" x14ac:dyDescent="0.25">
      <c r="A273" s="44"/>
      <c r="B273" s="11" t="str">
        <f>CONCATENATE("          ", "9150", " - ", "MISC. INCOME")</f>
        <v xml:space="preserve">          9150 - MISC. INCOME</v>
      </c>
      <c r="C273" s="11"/>
      <c r="D273" s="2">
        <f>--19415.01</f>
        <v>19415.009999999998</v>
      </c>
      <c r="E273" s="2"/>
      <c r="F273" s="19">
        <f t="shared" si="138"/>
        <v>2.9778870488867713E-2</v>
      </c>
      <c r="G273" s="2"/>
      <c r="H273" s="2">
        <v>29225</v>
      </c>
      <c r="I273" s="2"/>
      <c r="J273" s="19">
        <f t="shared" si="139"/>
        <v>3.6124621150340951E-2</v>
      </c>
      <c r="K273" s="2"/>
      <c r="L273" s="2">
        <f t="shared" si="140"/>
        <v>-9809.9900000000016</v>
      </c>
      <c r="M273" s="2"/>
      <c r="N273" s="19">
        <f t="shared" si="141"/>
        <v>-0.33567117194183066</v>
      </c>
      <c r="O273" s="11"/>
      <c r="P273" s="2">
        <f>--245559.66</f>
        <v>245559.66</v>
      </c>
      <c r="Q273" s="2"/>
      <c r="R273" s="19">
        <f t="shared" si="142"/>
        <v>3.438258839677915E-2</v>
      </c>
      <c r="S273" s="2"/>
      <c r="T273" s="2">
        <v>187600</v>
      </c>
      <c r="U273" s="2"/>
      <c r="V273" s="19">
        <f t="shared" si="143"/>
        <v>2.5114063601326189E-2</v>
      </c>
      <c r="W273" s="2"/>
      <c r="X273" s="2">
        <f t="shared" si="144"/>
        <v>57959.66</v>
      </c>
      <c r="Y273" s="2"/>
      <c r="Z273" s="19">
        <f t="shared" si="145"/>
        <v>0.3089534115138593</v>
      </c>
    </row>
    <row r="274" spans="1:26" s="24" customFormat="1" hidden="1" outlineLevel="1" x14ac:dyDescent="0.25">
      <c r="A274" s="44"/>
      <c r="B274" s="11" t="str">
        <f>CONCATENATE("          ", "9151", " - ", "MISC. INCOME")</f>
        <v xml:space="preserve">          9151 - MISC. INCOME</v>
      </c>
      <c r="C274" s="11"/>
      <c r="D274" s="2">
        <f>--268.24</f>
        <v>268.24</v>
      </c>
      <c r="E274" s="2"/>
      <c r="F274" s="19">
        <f t="shared" si="138"/>
        <v>4.1142828254705387E-4</v>
      </c>
      <c r="G274" s="2"/>
      <c r="H274" s="2">
        <v>12850</v>
      </c>
      <c r="I274" s="2"/>
      <c r="J274" s="19">
        <f t="shared" si="139"/>
        <v>1.588370852974786E-2</v>
      </c>
      <c r="K274" s="2"/>
      <c r="L274" s="2">
        <f t="shared" si="140"/>
        <v>-12581.76</v>
      </c>
      <c r="M274" s="2"/>
      <c r="N274" s="19">
        <f t="shared" si="141"/>
        <v>-0.97912529182879382</v>
      </c>
      <c r="O274" s="11"/>
      <c r="P274" s="2">
        <f>--87492.51</f>
        <v>87492.51</v>
      </c>
      <c r="Q274" s="2"/>
      <c r="R274" s="19">
        <f t="shared" si="142"/>
        <v>1.2250460678806458E-2</v>
      </c>
      <c r="S274" s="2"/>
      <c r="T274" s="2">
        <v>64850</v>
      </c>
      <c r="U274" s="2"/>
      <c r="V274" s="19">
        <f t="shared" si="143"/>
        <v>8.681487337665262E-3</v>
      </c>
      <c r="W274" s="2"/>
      <c r="X274" s="2">
        <f t="shared" si="144"/>
        <v>22642.509999999995</v>
      </c>
      <c r="Y274" s="2"/>
      <c r="Z274" s="19">
        <f t="shared" si="145"/>
        <v>0.34915204317656123</v>
      </c>
    </row>
    <row r="275" spans="1:26" s="24" customFormat="1" hidden="1" outlineLevel="1" x14ac:dyDescent="0.25">
      <c r="A275" s="44"/>
      <c r="B275" s="11" t="str">
        <f>CONCATENATE("          ", "9152", " - ", "MISC. INCOME")</f>
        <v xml:space="preserve">          9152 - MISC. INCOME</v>
      </c>
      <c r="C275" s="11"/>
      <c r="D275" s="2">
        <f>--3382.44</f>
        <v>3382.44</v>
      </c>
      <c r="E275" s="2"/>
      <c r="F275" s="19">
        <f t="shared" si="138"/>
        <v>5.1880087981600693E-3</v>
      </c>
      <c r="G275" s="2"/>
      <c r="H275" s="2"/>
      <c r="I275" s="2"/>
      <c r="J275" s="19">
        <f t="shared" si="139"/>
        <v>0</v>
      </c>
      <c r="K275" s="2"/>
      <c r="L275" s="2">
        <f t="shared" si="140"/>
        <v>3382.44</v>
      </c>
      <c r="M275" s="2"/>
      <c r="N275" s="19">
        <f t="shared" si="141"/>
        <v>0</v>
      </c>
      <c r="O275" s="11"/>
      <c r="P275" s="2">
        <f>--4230.76</f>
        <v>4230.76</v>
      </c>
      <c r="Q275" s="2"/>
      <c r="R275" s="19">
        <f t="shared" si="142"/>
        <v>5.9237938220617077E-4</v>
      </c>
      <c r="S275" s="2"/>
      <c r="T275" s="2"/>
      <c r="U275" s="2"/>
      <c r="V275" s="19">
        <f t="shared" si="143"/>
        <v>0</v>
      </c>
      <c r="W275" s="2"/>
      <c r="X275" s="2">
        <f t="shared" si="144"/>
        <v>4230.76</v>
      </c>
      <c r="Y275" s="2"/>
      <c r="Z275" s="19">
        <f t="shared" si="145"/>
        <v>0</v>
      </c>
    </row>
    <row r="276" spans="1:26" s="24" customFormat="1" hidden="1" outlineLevel="1" x14ac:dyDescent="0.25">
      <c r="A276" s="44"/>
      <c r="B276" s="11" t="str">
        <f>CONCATENATE("          ", "9153", " - ", "MISC. INCOME")</f>
        <v xml:space="preserve">          9153 - MISC. INCOME</v>
      </c>
      <c r="C276" s="11"/>
      <c r="D276" s="2">
        <f t="shared" ref="D276:D278" si="147">0</f>
        <v>0</v>
      </c>
      <c r="E276" s="2"/>
      <c r="F276" s="19">
        <f t="shared" si="138"/>
        <v>0</v>
      </c>
      <c r="G276" s="2"/>
      <c r="H276" s="2"/>
      <c r="I276" s="2"/>
      <c r="J276" s="19">
        <f t="shared" si="139"/>
        <v>0</v>
      </c>
      <c r="K276" s="2"/>
      <c r="L276" s="2">
        <f t="shared" si="140"/>
        <v>0</v>
      </c>
      <c r="M276" s="2"/>
      <c r="N276" s="19">
        <f t="shared" si="141"/>
        <v>0</v>
      </c>
      <c r="O276" s="11"/>
      <c r="P276" s="2">
        <f>--450</f>
        <v>450</v>
      </c>
      <c r="Q276" s="2"/>
      <c r="R276" s="19">
        <f t="shared" si="142"/>
        <v>6.3007762669774897E-5</v>
      </c>
      <c r="S276" s="2"/>
      <c r="T276" s="2"/>
      <c r="U276" s="2"/>
      <c r="V276" s="19">
        <f t="shared" si="143"/>
        <v>0</v>
      </c>
      <c r="W276" s="2"/>
      <c r="X276" s="2">
        <f t="shared" si="144"/>
        <v>450</v>
      </c>
      <c r="Y276" s="2"/>
      <c r="Z276" s="19">
        <f t="shared" si="145"/>
        <v>0</v>
      </c>
    </row>
    <row r="277" spans="1:26" s="24" customFormat="1" hidden="1" outlineLevel="1" x14ac:dyDescent="0.25">
      <c r="A277" s="44"/>
      <c r="B277" s="11" t="str">
        <f>CONCATENATE("          ", "9160", " - ", "MISC. INCOME")</f>
        <v xml:space="preserve">          9160 - MISC. INCOME</v>
      </c>
      <c r="C277" s="11"/>
      <c r="D277" s="2">
        <f t="shared" si="147"/>
        <v>0</v>
      </c>
      <c r="E277" s="2"/>
      <c r="F277" s="19">
        <f t="shared" si="138"/>
        <v>0</v>
      </c>
      <c r="G277" s="2"/>
      <c r="H277" s="2">
        <v>24350</v>
      </c>
      <c r="I277" s="2"/>
      <c r="J277" s="19">
        <f t="shared" si="139"/>
        <v>3.0098700599172017E-2</v>
      </c>
      <c r="K277" s="2"/>
      <c r="L277" s="2">
        <f t="shared" si="140"/>
        <v>-24350</v>
      </c>
      <c r="M277" s="2"/>
      <c r="N277" s="19">
        <f t="shared" si="141"/>
        <v>-1</v>
      </c>
      <c r="O277" s="11"/>
      <c r="P277" s="2">
        <f>--22475</f>
        <v>22475</v>
      </c>
      <c r="Q277" s="2"/>
      <c r="R277" s="19">
        <f t="shared" si="142"/>
        <v>3.146887702229313E-3</v>
      </c>
      <c r="S277" s="2"/>
      <c r="T277" s="2">
        <v>191450</v>
      </c>
      <c r="U277" s="2"/>
      <c r="V277" s="19">
        <f t="shared" si="143"/>
        <v>2.5629464160308629E-2</v>
      </c>
      <c r="W277" s="2"/>
      <c r="X277" s="2">
        <f t="shared" si="144"/>
        <v>-168975</v>
      </c>
      <c r="Y277" s="2"/>
      <c r="Z277" s="19">
        <f t="shared" si="145"/>
        <v>-0.88260642465395667</v>
      </c>
    </row>
    <row r="278" spans="1:26" s="24" customFormat="1" hidden="1" outlineLevel="1" x14ac:dyDescent="0.25">
      <c r="A278" s="44"/>
      <c r="B278" s="11" t="str">
        <f>CONCATENATE("          ", "9163", " - ", "MISC. INCOME")</f>
        <v xml:space="preserve">          9163 - MISC. INCOME</v>
      </c>
      <c r="C278" s="11"/>
      <c r="D278" s="2">
        <f t="shared" si="147"/>
        <v>0</v>
      </c>
      <c r="E278" s="2"/>
      <c r="F278" s="19">
        <f t="shared" si="138"/>
        <v>0</v>
      </c>
      <c r="G278" s="2"/>
      <c r="H278" s="2"/>
      <c r="I278" s="2"/>
      <c r="J278" s="19">
        <f t="shared" si="139"/>
        <v>0</v>
      </c>
      <c r="K278" s="2"/>
      <c r="L278" s="2">
        <f t="shared" si="140"/>
        <v>0</v>
      </c>
      <c r="M278" s="2"/>
      <c r="N278" s="19">
        <f t="shared" si="141"/>
        <v>0</v>
      </c>
      <c r="O278" s="11"/>
      <c r="P278" s="2">
        <f>--61106.55</f>
        <v>61106.55</v>
      </c>
      <c r="Q278" s="2"/>
      <c r="R278" s="19">
        <f t="shared" si="142"/>
        <v>8.5559711110416298E-3</v>
      </c>
      <c r="S278" s="2"/>
      <c r="T278" s="2"/>
      <c r="U278" s="2"/>
      <c r="V278" s="19">
        <f t="shared" si="143"/>
        <v>0</v>
      </c>
      <c r="W278" s="2"/>
      <c r="X278" s="2">
        <f t="shared" si="144"/>
        <v>61106.55</v>
      </c>
      <c r="Y278" s="2"/>
      <c r="Z278" s="19">
        <f t="shared" si="145"/>
        <v>0</v>
      </c>
    </row>
    <row r="279" spans="1:26" x14ac:dyDescent="0.25">
      <c r="A279" s="9"/>
      <c r="B279" s="10"/>
      <c r="C279" s="10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O279" s="10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x14ac:dyDescent="0.25">
      <c r="A280" s="10"/>
      <c r="B280" s="29" t="s">
        <v>3</v>
      </c>
      <c r="C280" s="29"/>
      <c r="D280" s="22">
        <f>+D164-D166+D269</f>
        <v>-58353.430000000051</v>
      </c>
      <c r="E280" s="14"/>
      <c r="F280" s="20">
        <f>IF(D$12=0,0,D280/D$12)</f>
        <v>-8.9502876102109122E-2</v>
      </c>
      <c r="G280" s="14"/>
      <c r="H280" s="22">
        <f>+H164-H166+H269</f>
        <v>-12830.015294950572</v>
      </c>
      <c r="I280" s="14"/>
      <c r="J280" s="20">
        <f>IF(H$12=0,0,H280/H$12)</f>
        <v>-1.5859005710288088E-2</v>
      </c>
      <c r="K280" s="16"/>
      <c r="L280" s="22">
        <f>+D280-H280</f>
        <v>-45523.414705049479</v>
      </c>
      <c r="M280" s="16"/>
      <c r="N280" s="20">
        <f>IF(H280=0,0,L280/H280)</f>
        <v>3.5481964486017286</v>
      </c>
      <c r="O280" s="28"/>
      <c r="P280" s="22">
        <f>+P164-P166+P269</f>
        <v>691997.0700000003</v>
      </c>
      <c r="Q280" s="14"/>
      <c r="R280" s="20">
        <f>IF(P$12=0,0,P280/P$12)</f>
        <v>9.6891527010532497E-2</v>
      </c>
      <c r="S280" s="14"/>
      <c r="T280" s="22">
        <f>+T164-T166+T269</f>
        <v>726498.15743830288</v>
      </c>
      <c r="U280" s="14"/>
      <c r="V280" s="20">
        <f>IF(T$12=0,0,T280/T$12)</f>
        <v>9.7256508167120601E-2</v>
      </c>
      <c r="W280" s="16"/>
      <c r="X280" s="22">
        <f>+P280-T280</f>
        <v>-34501.08743830258</v>
      </c>
      <c r="Y280" s="16"/>
      <c r="Z280" s="20">
        <f>IF(T280=0,0,X280/T280)</f>
        <v>-4.7489573215101444E-2</v>
      </c>
    </row>
    <row r="281" spans="1:26" x14ac:dyDescent="0.25">
      <c r="A281" s="9"/>
      <c r="B281" s="10"/>
      <c r="C281" s="9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3" customFormat="1" x14ac:dyDescent="0.25">
      <c r="A282" s="52"/>
      <c r="B282" s="10" t="s">
        <v>14</v>
      </c>
      <c r="C282" s="10"/>
      <c r="D282" s="4">
        <v>84140.97</v>
      </c>
      <c r="E282" s="4"/>
      <c r="F282" s="12">
        <f>IF(D$12=0,0,D282/D$12)</f>
        <v>0.12905597516754841</v>
      </c>
      <c r="G282" s="4"/>
      <c r="H282" s="4">
        <v>118085</v>
      </c>
      <c r="I282" s="4"/>
      <c r="J282" s="12">
        <f>IF(H$12=0,0,H282/H$12)</f>
        <v>0.14596324682764794</v>
      </c>
      <c r="K282" s="4"/>
      <c r="L282" s="4">
        <f>+D282-H282</f>
        <v>-33944.03</v>
      </c>
      <c r="M282" s="4"/>
      <c r="N282" s="12">
        <f>IF(H282=0,0,L282/H282)</f>
        <v>-0.28745420671550154</v>
      </c>
      <c r="O282" s="10"/>
      <c r="P282" s="4">
        <v>771388.53999999992</v>
      </c>
      <c r="Q282" s="4"/>
      <c r="R282" s="12">
        <f>IF(P$12=0,0,P282/P$12)</f>
        <v>0.10800770234334257</v>
      </c>
      <c r="S282" s="4"/>
      <c r="T282" s="4">
        <v>962233</v>
      </c>
      <c r="U282" s="4"/>
      <c r="V282" s="12">
        <f>IF(T$12=0,0,T282/T$12)</f>
        <v>0.12881439638216899</v>
      </c>
      <c r="W282" s="4"/>
      <c r="X282" s="4">
        <f>+P282-T282</f>
        <v>-190844.46000000008</v>
      </c>
      <c r="Y282" s="4"/>
      <c r="Z282" s="12">
        <f>IF(T282=0,0,X282/T282)</f>
        <v>-0.19833497707935613</v>
      </c>
    </row>
    <row r="283" spans="1:26" x14ac:dyDescent="0.25">
      <c r="A283" s="9"/>
      <c r="B283" s="10"/>
      <c r="C283" s="10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O283" s="10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s="23" customFormat="1" ht="15.75" thickBot="1" x14ac:dyDescent="0.3">
      <c r="A284" s="10"/>
      <c r="B284" s="29" t="s">
        <v>4</v>
      </c>
      <c r="C284" s="29"/>
      <c r="D284" s="31">
        <f>+D280-D282</f>
        <v>-142494.40000000005</v>
      </c>
      <c r="E284" s="14"/>
      <c r="F284" s="32">
        <f>IF(D$12=0,0,D284/D$12)</f>
        <v>-0.21855885126965752</v>
      </c>
      <c r="G284" s="14"/>
      <c r="H284" s="31">
        <f>+H280-H282</f>
        <v>-130915.01529495057</v>
      </c>
      <c r="I284" s="14"/>
      <c r="J284" s="32">
        <f>IF(H$12=0,0,H284/H$12)</f>
        <v>-0.16182225253793603</v>
      </c>
      <c r="K284" s="16"/>
      <c r="L284" s="31">
        <f>D284-H284</f>
        <v>-11579.384705049481</v>
      </c>
      <c r="M284" s="16"/>
      <c r="N284" s="32">
        <f>IF(H284=0,0,L284/H284)</f>
        <v>8.8449630311398672E-2</v>
      </c>
      <c r="O284" s="28"/>
      <c r="P284" s="31">
        <f>+P280-P282</f>
        <v>-79391.469999999623</v>
      </c>
      <c r="Q284" s="14"/>
      <c r="R284" s="32">
        <f>IF(P$12=0,0,P284/P$12)</f>
        <v>-1.1116175332810067E-2</v>
      </c>
      <c r="S284" s="14"/>
      <c r="T284" s="31">
        <f>+T280-T282</f>
        <v>-235734.84256169712</v>
      </c>
      <c r="U284" s="14"/>
      <c r="V284" s="32">
        <f>IF(T$12=0,0,T284/T$12)</f>
        <v>-3.1557888215048388E-2</v>
      </c>
      <c r="W284" s="16"/>
      <c r="X284" s="31">
        <f>P284-T284</f>
        <v>156343.3725616975</v>
      </c>
      <c r="Y284" s="16"/>
      <c r="Z284" s="32">
        <f>IF(T284=0,0,X284/T284)</f>
        <v>-0.6632170741615292</v>
      </c>
    </row>
    <row r="285" spans="1:26" ht="15.75" thickTop="1" x14ac:dyDescent="0.25">
      <c r="A285" s="9"/>
      <c r="B285" s="9"/>
      <c r="C285" s="9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ht="15.75" thickBot="1" x14ac:dyDescent="0.3">
      <c r="A287" s="10"/>
      <c r="B287" s="29" t="s">
        <v>5</v>
      </c>
      <c r="C287" s="29"/>
      <c r="D287" s="35">
        <f>SUM(D284:D286)</f>
        <v>-142494.40000000005</v>
      </c>
      <c r="E287" s="14"/>
      <c r="F287" s="34">
        <f>IF(D$12=0,0,D287/D$12)</f>
        <v>-0.21855885126965752</v>
      </c>
      <c r="G287" s="14"/>
      <c r="H287" s="35">
        <f>SUM(H284:H286)</f>
        <v>-130915.01529495057</v>
      </c>
      <c r="I287" s="14"/>
      <c r="J287" s="34">
        <f>IF(H$12=0,0,H287/H$12)</f>
        <v>-0.16182225253793603</v>
      </c>
      <c r="K287" s="16"/>
      <c r="L287" s="35">
        <f>+D287-H287</f>
        <v>-11579.384705049481</v>
      </c>
      <c r="M287" s="16"/>
      <c r="N287" s="34">
        <f>IF(H287=0,0,L287/H287)</f>
        <v>8.8449630311398672E-2</v>
      </c>
      <c r="O287" s="28"/>
      <c r="P287" s="35">
        <f>SUM(P284:P286)</f>
        <v>-79391.469999999623</v>
      </c>
      <c r="Q287" s="14"/>
      <c r="R287" s="34">
        <f>IF(P$12=0,0,P287/P$12)</f>
        <v>-1.1116175332810067E-2</v>
      </c>
      <c r="S287" s="14"/>
      <c r="T287" s="35">
        <f>SUM(T284:T286)</f>
        <v>-235734.84256169712</v>
      </c>
      <c r="U287" s="14"/>
      <c r="V287" s="34">
        <f>IF(T$12=0,0,T287/T$12)</f>
        <v>-3.1557888215048388E-2</v>
      </c>
      <c r="W287" s="16"/>
      <c r="X287" s="35">
        <f>+P287-T287</f>
        <v>156343.3725616975</v>
      </c>
      <c r="Y287" s="16"/>
      <c r="Z287" s="34">
        <f>IF(T287=0,0,X287/T287)</f>
        <v>-0.6632170741615292</v>
      </c>
    </row>
    <row r="288" spans="1:26" ht="15.75" thickTop="1" x14ac:dyDescent="0.25">
      <c r="A288" s="9"/>
      <c r="C288" s="9"/>
      <c r="D288" s="17"/>
      <c r="E288" s="17"/>
      <c r="G288" s="17"/>
      <c r="H288" s="17"/>
      <c r="I288" s="17"/>
      <c r="J288" s="42"/>
      <c r="K288" s="17"/>
      <c r="L288" s="17"/>
      <c r="M288" s="17"/>
      <c r="P288" s="17"/>
      <c r="Q288" s="17"/>
      <c r="R288" s="42"/>
      <c r="S288" s="17"/>
      <c r="T288" s="17"/>
      <c r="U288" s="17"/>
      <c r="V288" s="42"/>
      <c r="W288" s="17"/>
      <c r="X288" s="17"/>
    </row>
    <row r="289" spans="1:24" x14ac:dyDescent="0.25">
      <c r="A289" s="9"/>
      <c r="B289" s="63">
        <v>43847.445355752316</v>
      </c>
      <c r="D289" s="17"/>
      <c r="E289" s="17"/>
      <c r="G289" s="17"/>
      <c r="H289" s="17"/>
      <c r="I289" s="17"/>
      <c r="J289" s="42"/>
      <c r="K289" s="17"/>
      <c r="L289" s="17"/>
      <c r="M289" s="17"/>
      <c r="P289" s="17"/>
      <c r="Q289" s="17"/>
      <c r="R289" s="42"/>
      <c r="S289" s="17"/>
      <c r="T289" s="17"/>
      <c r="U289" s="17"/>
      <c r="V289" s="42"/>
      <c r="W289" s="17"/>
      <c r="X289" s="17"/>
    </row>
    <row r="290" spans="1:24" x14ac:dyDescent="0.25">
      <c r="A290" s="9"/>
      <c r="B290" s="55" t="s">
        <v>314</v>
      </c>
      <c r="D290" s="17"/>
      <c r="E290" s="17"/>
      <c r="G290" s="17"/>
      <c r="H290" s="17"/>
      <c r="I290" s="17"/>
      <c r="J290" s="42"/>
      <c r="K290" s="17"/>
      <c r="L290" s="17"/>
      <c r="M290" s="17"/>
      <c r="P290" s="17"/>
      <c r="Q290" s="17"/>
      <c r="R290" s="42"/>
      <c r="S290" s="17"/>
      <c r="T290" s="17"/>
      <c r="U290" s="17"/>
      <c r="V290" s="42"/>
      <c r="W290" s="17"/>
      <c r="X290" s="17"/>
    </row>
    <row r="291" spans="1:24" x14ac:dyDescent="0.25">
      <c r="A291" s="9"/>
      <c r="B291" s="56"/>
      <c r="D291" s="17"/>
      <c r="E291" s="17"/>
      <c r="G291" s="17"/>
      <c r="H291" s="17"/>
      <c r="I291" s="17"/>
      <c r="J291" s="42"/>
      <c r="K291" s="17"/>
      <c r="L291" s="17"/>
      <c r="M291" s="17"/>
      <c r="P291" s="17"/>
      <c r="Q291" s="17"/>
      <c r="R291" s="42"/>
      <c r="S291" s="17"/>
      <c r="T291" s="17"/>
      <c r="U291" s="17"/>
      <c r="V291" s="42"/>
      <c r="W291" s="17"/>
      <c r="X291" s="17"/>
    </row>
    <row r="292" spans="1:24" x14ac:dyDescent="0.25">
      <c r="D292" s="17"/>
      <c r="E292" s="17"/>
      <c r="G292" s="17"/>
      <c r="H292" s="17"/>
      <c r="I292" s="17"/>
      <c r="J292" s="42"/>
      <c r="K292" s="17"/>
      <c r="L292" s="17"/>
      <c r="M292" s="17"/>
      <c r="P292" s="17"/>
      <c r="Q292" s="17"/>
      <c r="R292" s="42"/>
      <c r="S292" s="17"/>
      <c r="T292" s="17"/>
      <c r="U292" s="17"/>
      <c r="V292" s="42"/>
      <c r="W292" s="17"/>
      <c r="X292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444005.37999999983</v>
      </c>
      <c r="E12" s="4"/>
      <c r="F12" s="12"/>
      <c r="G12" s="4"/>
      <c r="H12" s="4">
        <f>SUM(OSRRefH13x_0)</f>
        <v>562959.02398000006</v>
      </c>
      <c r="I12" s="4"/>
      <c r="J12" s="12"/>
      <c r="K12" s="4"/>
      <c r="L12" s="4">
        <f t="shared" ref="L12:L103" si="0">+D12-H12</f>
        <v>-118953.64398000023</v>
      </c>
      <c r="M12" s="4"/>
      <c r="N12" s="12">
        <f t="shared" ref="N12:N103" si="1">IF(H12=0,0,L12/H12)</f>
        <v>-0.21130071446234822</v>
      </c>
      <c r="O12" s="10"/>
      <c r="P12" s="4">
        <f>SUM(OSRRefP13x_0)</f>
        <v>5515184.3099999987</v>
      </c>
      <c r="Q12" s="4"/>
      <c r="R12" s="12"/>
      <c r="S12" s="4"/>
      <c r="T12" s="4">
        <f>SUM(OSRRefT13x_0)</f>
        <v>5838733.9692799998</v>
      </c>
      <c r="U12" s="4"/>
      <c r="V12" s="12"/>
      <c r="W12" s="4"/>
      <c r="X12" s="4">
        <f t="shared" ref="X12:X103" si="2">+P12-T12</f>
        <v>-323549.65928000119</v>
      </c>
      <c r="Y12" s="4"/>
      <c r="Z12" s="12">
        <f t="shared" ref="Z12:Z103" si="3">IF(T12=0,0,X12/T12)</f>
        <v>-5.5414351978070944E-2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472202.02398</v>
      </c>
      <c r="I13" s="2"/>
      <c r="J13" s="19"/>
      <c r="K13" s="2"/>
      <c r="L13" s="2">
        <f t="shared" si="0"/>
        <v>-472202.02398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2502755.9692799998</v>
      </c>
      <c r="U13" s="2"/>
      <c r="V13" s="19"/>
      <c r="W13" s="2"/>
      <c r="X13" s="2">
        <f t="shared" si="2"/>
        <v>-2502755.9692799998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/>
      <c r="I14" s="2"/>
      <c r="J14" s="19"/>
      <c r="K14" s="2"/>
      <c r="L14" s="2">
        <f t="shared" si="0"/>
        <v>36689.949999999997</v>
      </c>
      <c r="M14" s="2"/>
      <c r="N14" s="19">
        <f t="shared" si="1"/>
        <v>0</v>
      </c>
      <c r="O14" s="11"/>
      <c r="P14" s="2">
        <f>--1540034.38</f>
        <v>1540034.38</v>
      </c>
      <c r="Q14" s="2"/>
      <c r="R14" s="19"/>
      <c r="S14" s="2"/>
      <c r="T14" s="2"/>
      <c r="U14" s="2"/>
      <c r="V14" s="19"/>
      <c r="W14" s="2"/>
      <c r="X14" s="2">
        <f t="shared" si="2"/>
        <v>1540034.38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/>
      <c r="I15" s="2"/>
      <c r="J15" s="19"/>
      <c r="K15" s="2"/>
      <c r="L15" s="2">
        <f t="shared" si="0"/>
        <v>10615.68</v>
      </c>
      <c r="M15" s="2"/>
      <c r="N15" s="19">
        <f t="shared" si="1"/>
        <v>0</v>
      </c>
      <c r="O15" s="11"/>
      <c r="P15" s="2">
        <f>--681094.97</f>
        <v>681094.97</v>
      </c>
      <c r="Q15" s="2"/>
      <c r="R15" s="19"/>
      <c r="S15" s="2"/>
      <c r="T15" s="2"/>
      <c r="U15" s="2"/>
      <c r="V15" s="19"/>
      <c r="W15" s="2"/>
      <c r="X15" s="2">
        <f t="shared" si="2"/>
        <v>681094.97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/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/>
      <c r="U16" s="2"/>
      <c r="V16" s="19"/>
      <c r="W16" s="2"/>
      <c r="X16" s="2">
        <f t="shared" si="2"/>
        <v>16430.669999999998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/>
      <c r="I18" s="2"/>
      <c r="J18" s="19"/>
      <c r="K18" s="2"/>
      <c r="L18" s="2">
        <f t="shared" si="0"/>
        <v>3.62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/>
      <c r="I19" s="2"/>
      <c r="J19" s="19"/>
      <c r="K19" s="2"/>
      <c r="L19" s="2">
        <f t="shared" si="0"/>
        <v>167.6</v>
      </c>
      <c r="M19" s="2"/>
      <c r="N19" s="19">
        <f t="shared" si="1"/>
        <v>0</v>
      </c>
      <c r="O19" s="11"/>
      <c r="P19" s="2">
        <f>--1280.32</f>
        <v>1280.32</v>
      </c>
      <c r="Q19" s="2"/>
      <c r="R19" s="19"/>
      <c r="S19" s="2"/>
      <c r="T19" s="2"/>
      <c r="U19" s="2"/>
      <c r="V19" s="19"/>
      <c r="W19" s="2"/>
      <c r="X19" s="2">
        <f t="shared" si="2"/>
        <v>1280.32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/>
      <c r="I20" s="2"/>
      <c r="J20" s="19"/>
      <c r="K20" s="2"/>
      <c r="L20" s="2">
        <f t="shared" si="0"/>
        <v>109.34</v>
      </c>
      <c r="M20" s="2"/>
      <c r="N20" s="19">
        <f t="shared" si="1"/>
        <v>0</v>
      </c>
      <c r="O20" s="11"/>
      <c r="P20" s="2">
        <f>--992.69</f>
        <v>992.69</v>
      </c>
      <c r="Q20" s="2"/>
      <c r="R20" s="19"/>
      <c r="S20" s="2"/>
      <c r="T20" s="2"/>
      <c r="U20" s="2"/>
      <c r="V20" s="19"/>
      <c r="W20" s="2"/>
      <c r="X20" s="2">
        <f t="shared" si="2"/>
        <v>992.69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--242.14</f>
        <v>242.14</v>
      </c>
      <c r="Q21" s="2"/>
      <c r="R21" s="19"/>
      <c r="S21" s="2"/>
      <c r="T21" s="2"/>
      <c r="U21" s="2"/>
      <c r="V21" s="19"/>
      <c r="W21" s="2"/>
      <c r="X21" s="2">
        <f t="shared" si="2"/>
        <v>242.14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/>
      <c r="I22" s="2"/>
      <c r="J22" s="19"/>
      <c r="K22" s="2"/>
      <c r="L22" s="2">
        <f t="shared" si="0"/>
        <v>157.74</v>
      </c>
      <c r="M22" s="2"/>
      <c r="N22" s="19">
        <f t="shared" si="1"/>
        <v>0</v>
      </c>
      <c r="O22" s="11"/>
      <c r="P22" s="2">
        <f>--2890.39</f>
        <v>2890.39</v>
      </c>
      <c r="Q22" s="2"/>
      <c r="R22" s="19"/>
      <c r="S22" s="2"/>
      <c r="T22" s="2"/>
      <c r="U22" s="2"/>
      <c r="V22" s="19"/>
      <c r="W22" s="2"/>
      <c r="X22" s="2">
        <f t="shared" si="2"/>
        <v>2890.39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/>
      <c r="I24" s="2"/>
      <c r="J24" s="19"/>
      <c r="K24" s="2"/>
      <c r="L24" s="2">
        <f t="shared" si="0"/>
        <v>5588.38</v>
      </c>
      <c r="M24" s="2"/>
      <c r="N24" s="19">
        <f t="shared" si="1"/>
        <v>0</v>
      </c>
      <c r="O24" s="11"/>
      <c r="P24" s="2">
        <f>--35133.1</f>
        <v>35133.1</v>
      </c>
      <c r="Q24" s="2"/>
      <c r="R24" s="19"/>
      <c r="S24" s="2"/>
      <c r="T24" s="2"/>
      <c r="U24" s="2"/>
      <c r="V24" s="19"/>
      <c r="W24" s="2"/>
      <c r="X24" s="2">
        <f t="shared" si="2"/>
        <v>35133.1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/>
      <c r="I25" s="2"/>
      <c r="J25" s="19"/>
      <c r="K25" s="2"/>
      <c r="L25" s="2">
        <f t="shared" si="0"/>
        <v>6254.22</v>
      </c>
      <c r="M25" s="2"/>
      <c r="N25" s="19">
        <f t="shared" si="1"/>
        <v>0</v>
      </c>
      <c r="O25" s="11"/>
      <c r="P25" s="2">
        <f>--49928.17</f>
        <v>49928.17</v>
      </c>
      <c r="Q25" s="2"/>
      <c r="R25" s="19"/>
      <c r="S25" s="2"/>
      <c r="T25" s="2"/>
      <c r="U25" s="2"/>
      <c r="V25" s="19"/>
      <c r="W25" s="2"/>
      <c r="X25" s="2">
        <f t="shared" si="2"/>
        <v>49928.17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/>
      <c r="I26" s="2"/>
      <c r="J26" s="19"/>
      <c r="K26" s="2"/>
      <c r="L26" s="2">
        <f t="shared" si="0"/>
        <v>10568.39</v>
      </c>
      <c r="M26" s="2"/>
      <c r="N26" s="19">
        <f t="shared" si="1"/>
        <v>0</v>
      </c>
      <c r="O26" s="11"/>
      <c r="P26" s="2">
        <f>--165357.47</f>
        <v>165357.47</v>
      </c>
      <c r="Q26" s="2"/>
      <c r="R26" s="19"/>
      <c r="S26" s="2"/>
      <c r="T26" s="2"/>
      <c r="U26" s="2"/>
      <c r="V26" s="19"/>
      <c r="W26" s="2"/>
      <c r="X26" s="2">
        <f t="shared" si="2"/>
        <v>165357.47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/>
      <c r="I27" s="2"/>
      <c r="J27" s="19"/>
      <c r="K27" s="2"/>
      <c r="L27" s="2">
        <f t="shared" si="0"/>
        <v>13684.86</v>
      </c>
      <c r="M27" s="2"/>
      <c r="N27" s="19">
        <f t="shared" si="1"/>
        <v>0</v>
      </c>
      <c r="O27" s="11"/>
      <c r="P27" s="2">
        <f>--189637.57</f>
        <v>189637.57</v>
      </c>
      <c r="Q27" s="2"/>
      <c r="R27" s="19"/>
      <c r="S27" s="2"/>
      <c r="T27" s="2"/>
      <c r="U27" s="2"/>
      <c r="V27" s="19"/>
      <c r="W27" s="2"/>
      <c r="X27" s="2">
        <f t="shared" si="2"/>
        <v>189637.57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/>
      <c r="I28" s="2"/>
      <c r="J28" s="19"/>
      <c r="K28" s="2"/>
      <c r="L28" s="2">
        <f t="shared" si="0"/>
        <v>26.89</v>
      </c>
      <c r="M28" s="2"/>
      <c r="N28" s="19">
        <f t="shared" si="1"/>
        <v>0</v>
      </c>
      <c r="O28" s="11"/>
      <c r="P28" s="2">
        <f>--306.94</f>
        <v>306.94</v>
      </c>
      <c r="Q28" s="2"/>
      <c r="R28" s="19"/>
      <c r="S28" s="2"/>
      <c r="T28" s="2"/>
      <c r="U28" s="2"/>
      <c r="V28" s="19"/>
      <c r="W28" s="2"/>
      <c r="X28" s="2">
        <f t="shared" si="2"/>
        <v>306.94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--203.26</f>
        <v>203.26</v>
      </c>
      <c r="E29" s="2"/>
      <c r="F29" s="19"/>
      <c r="G29" s="2"/>
      <c r="H29" s="2"/>
      <c r="I29" s="2"/>
      <c r="J29" s="19"/>
      <c r="K29" s="2"/>
      <c r="L29" s="2">
        <f t="shared" si="0"/>
        <v>203.26</v>
      </c>
      <c r="M29" s="2"/>
      <c r="N29" s="19">
        <f t="shared" si="1"/>
        <v>0</v>
      </c>
      <c r="O29" s="11"/>
      <c r="P29" s="2">
        <f>--866.34</f>
        <v>866.34</v>
      </c>
      <c r="Q29" s="2"/>
      <c r="R29" s="19"/>
      <c r="S29" s="2"/>
      <c r="T29" s="2"/>
      <c r="U29" s="2"/>
      <c r="V29" s="19"/>
      <c r="W29" s="2"/>
      <c r="X29" s="2">
        <f t="shared" si="2"/>
        <v>866.34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/>
      <c r="I30" s="2"/>
      <c r="J30" s="19"/>
      <c r="K30" s="2"/>
      <c r="L30" s="2">
        <f t="shared" si="0"/>
        <v>22.41</v>
      </c>
      <c r="M30" s="2"/>
      <c r="N30" s="19">
        <f t="shared" si="1"/>
        <v>0</v>
      </c>
      <c r="O30" s="11"/>
      <c r="P30" s="2">
        <f>--131.02</f>
        <v>131.02000000000001</v>
      </c>
      <c r="Q30" s="2"/>
      <c r="R30" s="19"/>
      <c r="S30" s="2"/>
      <c r="T30" s="2"/>
      <c r="U30" s="2"/>
      <c r="V30" s="19"/>
      <c r="W30" s="2"/>
      <c r="X30" s="2">
        <f t="shared" si="2"/>
        <v>131.02000000000001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--547.26</f>
        <v>547.26</v>
      </c>
      <c r="E31" s="2"/>
      <c r="F31" s="19"/>
      <c r="G31" s="2"/>
      <c r="H31" s="2"/>
      <c r="I31" s="2"/>
      <c r="J31" s="19"/>
      <c r="K31" s="2"/>
      <c r="L31" s="2">
        <f t="shared" si="0"/>
        <v>547.26</v>
      </c>
      <c r="M31" s="2"/>
      <c r="N31" s="19">
        <f t="shared" si="1"/>
        <v>0</v>
      </c>
      <c r="O31" s="11"/>
      <c r="P31" s="2">
        <f>--5271.51</f>
        <v>5271.51</v>
      </c>
      <c r="Q31" s="2"/>
      <c r="R31" s="19"/>
      <c r="S31" s="2"/>
      <c r="T31" s="2"/>
      <c r="U31" s="2"/>
      <c r="V31" s="19"/>
      <c r="W31" s="2"/>
      <c r="X31" s="2">
        <f t="shared" si="2"/>
        <v>5271.51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/>
      <c r="I32" s="2"/>
      <c r="J32" s="19"/>
      <c r="K32" s="2"/>
      <c r="L32" s="2">
        <f t="shared" si="0"/>
        <v>133.49</v>
      </c>
      <c r="M32" s="2"/>
      <c r="N32" s="19">
        <f t="shared" si="1"/>
        <v>0</v>
      </c>
      <c r="O32" s="11"/>
      <c r="P32" s="2">
        <f>--1267.09</f>
        <v>1267.0899999999999</v>
      </c>
      <c r="Q32" s="2"/>
      <c r="R32" s="19"/>
      <c r="S32" s="2"/>
      <c r="T32" s="2"/>
      <c r="U32" s="2"/>
      <c r="V32" s="19"/>
      <c r="W32" s="2"/>
      <c r="X32" s="2">
        <f t="shared" si="2"/>
        <v>1267.0899999999999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/>
      <c r="I33" s="2"/>
      <c r="J33" s="19"/>
      <c r="K33" s="2"/>
      <c r="L33" s="2">
        <f t="shared" si="0"/>
        <v>19.09</v>
      </c>
      <c r="M33" s="2"/>
      <c r="N33" s="19">
        <f t="shared" si="1"/>
        <v>0</v>
      </c>
      <c r="O33" s="11"/>
      <c r="P33" s="2">
        <f>--396.26</f>
        <v>396.26</v>
      </c>
      <c r="Q33" s="2"/>
      <c r="R33" s="19"/>
      <c r="S33" s="2"/>
      <c r="T33" s="2"/>
      <c r="U33" s="2"/>
      <c r="V33" s="19"/>
      <c r="W33" s="2"/>
      <c r="X33" s="2">
        <f t="shared" si="2"/>
        <v>396.26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/>
      <c r="I34" s="2"/>
      <c r="J34" s="19"/>
      <c r="K34" s="2"/>
      <c r="L34" s="2">
        <f t="shared" si="0"/>
        <v>193654.24</v>
      </c>
      <c r="M34" s="2"/>
      <c r="N34" s="19">
        <f t="shared" si="1"/>
        <v>0</v>
      </c>
      <c r="O34" s="11"/>
      <c r="P34" s="2">
        <f>--1291791.18</f>
        <v>1291791.18</v>
      </c>
      <c r="Q34" s="2"/>
      <c r="R34" s="19"/>
      <c r="S34" s="2"/>
      <c r="T34" s="2"/>
      <c r="U34" s="2"/>
      <c r="V34" s="19"/>
      <c r="W34" s="2"/>
      <c r="X34" s="2">
        <f t="shared" si="2"/>
        <v>1291791.18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/>
      <c r="I35" s="2"/>
      <c r="J35" s="19"/>
      <c r="K35" s="2"/>
      <c r="L35" s="2">
        <f t="shared" si="0"/>
        <v>37979.160000000003</v>
      </c>
      <c r="M35" s="2"/>
      <c r="N35" s="19">
        <f t="shared" si="1"/>
        <v>0</v>
      </c>
      <c r="O35" s="11"/>
      <c r="P35" s="2">
        <f>--296126.81</f>
        <v>296126.81</v>
      </c>
      <c r="Q35" s="2"/>
      <c r="R35" s="19"/>
      <c r="S35" s="2"/>
      <c r="T35" s="2"/>
      <c r="U35" s="2"/>
      <c r="V35" s="19"/>
      <c r="W35" s="2"/>
      <c r="X35" s="2">
        <f t="shared" si="2"/>
        <v>296126.81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/>
      <c r="I36" s="2"/>
      <c r="J36" s="19"/>
      <c r="K36" s="2"/>
      <c r="L36" s="2">
        <f t="shared" si="0"/>
        <v>44973.91</v>
      </c>
      <c r="M36" s="2"/>
      <c r="N36" s="19">
        <f t="shared" si="1"/>
        <v>0</v>
      </c>
      <c r="O36" s="11"/>
      <c r="P36" s="2">
        <f>--199952.1</f>
        <v>199952.1</v>
      </c>
      <c r="Q36" s="2"/>
      <c r="R36" s="19"/>
      <c r="S36" s="2"/>
      <c r="T36" s="2"/>
      <c r="U36" s="2"/>
      <c r="V36" s="19"/>
      <c r="W36" s="2"/>
      <c r="X36" s="2">
        <f t="shared" si="2"/>
        <v>199952.1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/>
      <c r="I37" s="2"/>
      <c r="J37" s="19"/>
      <c r="K37" s="2"/>
      <c r="L37" s="2">
        <f t="shared" si="0"/>
        <v>9497.44</v>
      </c>
      <c r="M37" s="2"/>
      <c r="N37" s="19">
        <f t="shared" si="1"/>
        <v>0</v>
      </c>
      <c r="O37" s="11"/>
      <c r="P37" s="2">
        <f>--14320.46</f>
        <v>14320.46</v>
      </c>
      <c r="Q37" s="2"/>
      <c r="R37" s="19"/>
      <c r="S37" s="2"/>
      <c r="T37" s="2"/>
      <c r="U37" s="2"/>
      <c r="V37" s="19"/>
      <c r="W37" s="2"/>
      <c r="X37" s="2">
        <f t="shared" si="2"/>
        <v>14320.46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/>
      <c r="I38" s="2"/>
      <c r="J38" s="19"/>
      <c r="K38" s="2"/>
      <c r="L38" s="2">
        <f t="shared" si="0"/>
        <v>5438.42</v>
      </c>
      <c r="M38" s="2"/>
      <c r="N38" s="19">
        <f t="shared" si="1"/>
        <v>0</v>
      </c>
      <c r="O38" s="11"/>
      <c r="P38" s="2">
        <f>--46736.2</f>
        <v>46736.2</v>
      </c>
      <c r="Q38" s="2"/>
      <c r="R38" s="19"/>
      <c r="S38" s="2"/>
      <c r="T38" s="2"/>
      <c r="U38" s="2"/>
      <c r="V38" s="19"/>
      <c r="W38" s="2"/>
      <c r="X38" s="2">
        <f t="shared" si="2"/>
        <v>46736.2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/>
      <c r="I39" s="2"/>
      <c r="J39" s="19"/>
      <c r="K39" s="2"/>
      <c r="L39" s="2">
        <f t="shared" si="0"/>
        <v>6487.38</v>
      </c>
      <c r="M39" s="2"/>
      <c r="N39" s="19">
        <f t="shared" si="1"/>
        <v>0</v>
      </c>
      <c r="O39" s="11"/>
      <c r="P39" s="2">
        <f>--61005.82</f>
        <v>61005.82</v>
      </c>
      <c r="Q39" s="2"/>
      <c r="R39" s="19"/>
      <c r="S39" s="2"/>
      <c r="T39" s="2"/>
      <c r="U39" s="2"/>
      <c r="V39" s="19"/>
      <c r="W39" s="2"/>
      <c r="X39" s="2">
        <f t="shared" si="2"/>
        <v>61005.82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/>
      <c r="I40" s="2"/>
      <c r="J40" s="19"/>
      <c r="K40" s="2"/>
      <c r="L40" s="2">
        <f t="shared" si="0"/>
        <v>115.39</v>
      </c>
      <c r="M40" s="2"/>
      <c r="N40" s="19">
        <f t="shared" si="1"/>
        <v>0</v>
      </c>
      <c r="O40" s="11"/>
      <c r="P40" s="2">
        <f>--1793.94</f>
        <v>1793.94</v>
      </c>
      <c r="Q40" s="2"/>
      <c r="R40" s="19"/>
      <c r="S40" s="2"/>
      <c r="T40" s="2"/>
      <c r="U40" s="2"/>
      <c r="V40" s="19"/>
      <c r="W40" s="2"/>
      <c r="X40" s="2">
        <f t="shared" si="2"/>
        <v>1793.94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--310.76</f>
        <v>310.76</v>
      </c>
      <c r="E41" s="2"/>
      <c r="F41" s="19"/>
      <c r="G41" s="2"/>
      <c r="H41" s="2"/>
      <c r="I41" s="2"/>
      <c r="J41" s="19"/>
      <c r="K41" s="2"/>
      <c r="L41" s="2">
        <f t="shared" si="0"/>
        <v>310.76</v>
      </c>
      <c r="M41" s="2"/>
      <c r="N41" s="19">
        <f t="shared" si="1"/>
        <v>0</v>
      </c>
      <c r="O41" s="11"/>
      <c r="P41" s="2">
        <f>--2534.43</f>
        <v>2534.4299999999998</v>
      </c>
      <c r="Q41" s="2"/>
      <c r="R41" s="19"/>
      <c r="S41" s="2"/>
      <c r="T41" s="2"/>
      <c r="U41" s="2"/>
      <c r="V41" s="19"/>
      <c r="W41" s="2"/>
      <c r="X41" s="2">
        <f t="shared" si="2"/>
        <v>2534.4299999999998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--19</f>
        <v>19</v>
      </c>
      <c r="E42" s="2"/>
      <c r="F42" s="19"/>
      <c r="G42" s="2"/>
      <c r="H42" s="2"/>
      <c r="I42" s="2"/>
      <c r="J42" s="19"/>
      <c r="K42" s="2"/>
      <c r="L42" s="2">
        <f t="shared" si="0"/>
        <v>19</v>
      </c>
      <c r="M42" s="2"/>
      <c r="N42" s="19">
        <f t="shared" si="1"/>
        <v>0</v>
      </c>
      <c r="O42" s="11"/>
      <c r="P42" s="2">
        <f>--181</f>
        <v>181</v>
      </c>
      <c r="Q42" s="2"/>
      <c r="R42" s="19"/>
      <c r="S42" s="2"/>
      <c r="T42" s="2"/>
      <c r="U42" s="2"/>
      <c r="V42" s="19"/>
      <c r="W42" s="2"/>
      <c r="X42" s="2">
        <f t="shared" si="2"/>
        <v>181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--129.88</f>
        <v>129.88</v>
      </c>
      <c r="E43" s="2"/>
      <c r="F43" s="19"/>
      <c r="G43" s="2"/>
      <c r="H43" s="2"/>
      <c r="I43" s="2"/>
      <c r="J43" s="19"/>
      <c r="K43" s="2"/>
      <c r="L43" s="2">
        <f t="shared" si="0"/>
        <v>129.88</v>
      </c>
      <c r="M43" s="2"/>
      <c r="N43" s="19">
        <f t="shared" si="1"/>
        <v>0</v>
      </c>
      <c r="O43" s="11"/>
      <c r="P43" s="2">
        <f>--699.48</f>
        <v>699.48</v>
      </c>
      <c r="Q43" s="2"/>
      <c r="R43" s="19"/>
      <c r="S43" s="2"/>
      <c r="T43" s="2"/>
      <c r="U43" s="2"/>
      <c r="V43" s="19"/>
      <c r="W43" s="2"/>
      <c r="X43" s="2">
        <f t="shared" si="2"/>
        <v>699.48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--58.98</f>
        <v>58.98</v>
      </c>
      <c r="E44" s="2"/>
      <c r="F44" s="19"/>
      <c r="G44" s="2"/>
      <c r="H44" s="2"/>
      <c r="I44" s="2"/>
      <c r="J44" s="19"/>
      <c r="K44" s="2"/>
      <c r="L44" s="2">
        <f t="shared" si="0"/>
        <v>58.98</v>
      </c>
      <c r="M44" s="2"/>
      <c r="N44" s="19">
        <f t="shared" si="1"/>
        <v>0</v>
      </c>
      <c r="O44" s="11"/>
      <c r="P44" s="2">
        <f>--698.77</f>
        <v>698.77</v>
      </c>
      <c r="Q44" s="2"/>
      <c r="R44" s="19"/>
      <c r="S44" s="2"/>
      <c r="T44" s="2"/>
      <c r="U44" s="2"/>
      <c r="V44" s="19"/>
      <c r="W44" s="2"/>
      <c r="X44" s="2">
        <f t="shared" si="2"/>
        <v>698.77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--218.75</f>
        <v>218.75</v>
      </c>
      <c r="E45" s="2"/>
      <c r="F45" s="19"/>
      <c r="G45" s="2"/>
      <c r="H45" s="2"/>
      <c r="I45" s="2"/>
      <c r="J45" s="19"/>
      <c r="K45" s="2"/>
      <c r="L45" s="2">
        <f t="shared" si="0"/>
        <v>218.75</v>
      </c>
      <c r="M45" s="2"/>
      <c r="N45" s="19">
        <f t="shared" si="1"/>
        <v>0</v>
      </c>
      <c r="O45" s="11"/>
      <c r="P45" s="2">
        <f>--7659.37</f>
        <v>7659.37</v>
      </c>
      <c r="Q45" s="2"/>
      <c r="R45" s="19"/>
      <c r="S45" s="2"/>
      <c r="T45" s="2"/>
      <c r="U45" s="2"/>
      <c r="V45" s="19"/>
      <c r="W45" s="2"/>
      <c r="X45" s="2">
        <f t="shared" si="2"/>
        <v>7659.37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--20.89</f>
        <v>20.89</v>
      </c>
      <c r="E46" s="2"/>
      <c r="F46" s="19"/>
      <c r="G46" s="2"/>
      <c r="H46" s="2"/>
      <c r="I46" s="2"/>
      <c r="J46" s="19"/>
      <c r="K46" s="2"/>
      <c r="L46" s="2">
        <f t="shared" si="0"/>
        <v>20.89</v>
      </c>
      <c r="M46" s="2"/>
      <c r="N46" s="19">
        <f t="shared" si="1"/>
        <v>0</v>
      </c>
      <c r="O46" s="11"/>
      <c r="P46" s="2">
        <f>--297.33</f>
        <v>297.33</v>
      </c>
      <c r="Q46" s="2"/>
      <c r="R46" s="19"/>
      <c r="S46" s="2"/>
      <c r="T46" s="2"/>
      <c r="U46" s="2"/>
      <c r="V46" s="19"/>
      <c r="W46" s="2"/>
      <c r="X46" s="2">
        <f t="shared" si="2"/>
        <v>297.33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--87.99</f>
        <v>87.99</v>
      </c>
      <c r="E47" s="2"/>
      <c r="F47" s="19"/>
      <c r="G47" s="2"/>
      <c r="H47" s="2">
        <v>90757</v>
      </c>
      <c r="I47" s="2"/>
      <c r="J47" s="19"/>
      <c r="K47" s="2"/>
      <c r="L47" s="2">
        <f t="shared" si="0"/>
        <v>-90669.01</v>
      </c>
      <c r="M47" s="2"/>
      <c r="N47" s="19">
        <f t="shared" si="1"/>
        <v>-0.99903048800643468</v>
      </c>
      <c r="O47" s="11"/>
      <c r="P47" s="2">
        <f>--335928.55</f>
        <v>335928.55</v>
      </c>
      <c r="Q47" s="2"/>
      <c r="R47" s="19"/>
      <c r="S47" s="2"/>
      <c r="T47" s="2">
        <v>3335978</v>
      </c>
      <c r="U47" s="2"/>
      <c r="V47" s="19"/>
      <c r="W47" s="2"/>
      <c r="X47" s="2">
        <f t="shared" si="2"/>
        <v>-3000049.45</v>
      </c>
      <c r="Y47" s="2"/>
      <c r="Z47" s="19">
        <f t="shared" si="3"/>
        <v>-0.89930132932531337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--2606.82</f>
        <v>2606.8200000000002</v>
      </c>
      <c r="E48" s="2"/>
      <c r="F48" s="19"/>
      <c r="G48" s="2"/>
      <c r="H48" s="2"/>
      <c r="I48" s="2"/>
      <c r="J48" s="19"/>
      <c r="K48" s="2"/>
      <c r="L48" s="2">
        <f t="shared" si="0"/>
        <v>2606.8200000000002</v>
      </c>
      <c r="M48" s="2"/>
      <c r="N48" s="19">
        <f t="shared" si="1"/>
        <v>0</v>
      </c>
      <c r="O48" s="11"/>
      <c r="P48" s="2">
        <f>--95287.57</f>
        <v>95287.57</v>
      </c>
      <c r="Q48" s="2"/>
      <c r="R48" s="19"/>
      <c r="S48" s="2"/>
      <c r="T48" s="2"/>
      <c r="U48" s="2"/>
      <c r="V48" s="19"/>
      <c r="W48" s="2"/>
      <c r="X48" s="2">
        <f t="shared" si="2"/>
        <v>95287.57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--595.75</f>
        <v>595.75</v>
      </c>
      <c r="E49" s="2"/>
      <c r="F49" s="19"/>
      <c r="G49" s="2"/>
      <c r="H49" s="2"/>
      <c r="I49" s="2"/>
      <c r="J49" s="19"/>
      <c r="K49" s="2"/>
      <c r="L49" s="2">
        <f t="shared" si="0"/>
        <v>595.75</v>
      </c>
      <c r="M49" s="2"/>
      <c r="N49" s="19">
        <f t="shared" si="1"/>
        <v>0</v>
      </c>
      <c r="O49" s="11"/>
      <c r="P49" s="2">
        <f>--38202.59</f>
        <v>38202.589999999997</v>
      </c>
      <c r="Q49" s="2"/>
      <c r="R49" s="19"/>
      <c r="S49" s="2"/>
      <c r="T49" s="2"/>
      <c r="U49" s="2"/>
      <c r="V49" s="19"/>
      <c r="W49" s="2"/>
      <c r="X49" s="2">
        <f t="shared" si="2"/>
        <v>38202.589999999997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/>
      <c r="U50" s="2"/>
      <c r="V50" s="19"/>
      <c r="W50" s="2"/>
      <c r="X50" s="2">
        <f t="shared" si="2"/>
        <v>329.98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--12189.74</f>
        <v>12189.74</v>
      </c>
      <c r="E51" s="2"/>
      <c r="F51" s="19"/>
      <c r="G51" s="2"/>
      <c r="H51" s="2"/>
      <c r="I51" s="2"/>
      <c r="J51" s="19"/>
      <c r="K51" s="2"/>
      <c r="L51" s="2">
        <f t="shared" si="0"/>
        <v>12189.74</v>
      </c>
      <c r="M51" s="2"/>
      <c r="N51" s="19">
        <f t="shared" si="1"/>
        <v>0</v>
      </c>
      <c r="O51" s="11"/>
      <c r="P51" s="2">
        <f>--332888.83</f>
        <v>332888.83</v>
      </c>
      <c r="Q51" s="2"/>
      <c r="R51" s="19"/>
      <c r="S51" s="2"/>
      <c r="T51" s="2"/>
      <c r="U51" s="2"/>
      <c r="V51" s="19"/>
      <c r="W51" s="2"/>
      <c r="X51" s="2">
        <f t="shared" si="2"/>
        <v>332888.83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--431.78</f>
        <v>431.78</v>
      </c>
      <c r="E52" s="2"/>
      <c r="F52" s="19"/>
      <c r="G52" s="2"/>
      <c r="H52" s="2"/>
      <c r="I52" s="2"/>
      <c r="J52" s="19"/>
      <c r="K52" s="2"/>
      <c r="L52" s="2">
        <f t="shared" si="0"/>
        <v>431.78</v>
      </c>
      <c r="M52" s="2"/>
      <c r="N52" s="19">
        <f t="shared" si="1"/>
        <v>0</v>
      </c>
      <c r="O52" s="11"/>
      <c r="P52" s="2">
        <f>--8023.97</f>
        <v>8023.97</v>
      </c>
      <c r="Q52" s="2"/>
      <c r="R52" s="19"/>
      <c r="S52" s="2"/>
      <c r="T52" s="2"/>
      <c r="U52" s="2"/>
      <c r="V52" s="19"/>
      <c r="W52" s="2"/>
      <c r="X52" s="2">
        <f t="shared" si="2"/>
        <v>8023.97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/>
      <c r="U53" s="2"/>
      <c r="V53" s="19"/>
      <c r="W53" s="2"/>
      <c r="X53" s="2">
        <f t="shared" si="2"/>
        <v>1146.72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19"/>
      <c r="G54" s="2"/>
      <c r="H54" s="2"/>
      <c r="I54" s="2"/>
      <c r="J54" s="19"/>
      <c r="K54" s="2"/>
      <c r="L54" s="2">
        <f t="shared" si="0"/>
        <v>6.95</v>
      </c>
      <c r="M54" s="2"/>
      <c r="N54" s="19">
        <f t="shared" si="1"/>
        <v>0</v>
      </c>
      <c r="O54" s="11"/>
      <c r="P54" s="2">
        <f>--41.91</f>
        <v>41.91</v>
      </c>
      <c r="Q54" s="2"/>
      <c r="R54" s="19"/>
      <c r="S54" s="2"/>
      <c r="T54" s="2"/>
      <c r="U54" s="2"/>
      <c r="V54" s="19"/>
      <c r="W54" s="2"/>
      <c r="X54" s="2">
        <f t="shared" si="2"/>
        <v>41.91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0</f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/>
      <c r="U55" s="2"/>
      <c r="V55" s="19"/>
      <c r="W55" s="2"/>
      <c r="X55" s="2">
        <f t="shared" si="2"/>
        <v>124.18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--38.73</f>
        <v>38.729999999999997</v>
      </c>
      <c r="E56" s="2"/>
      <c r="F56" s="19"/>
      <c r="G56" s="2"/>
      <c r="H56" s="2"/>
      <c r="I56" s="2"/>
      <c r="J56" s="19"/>
      <c r="K56" s="2"/>
      <c r="L56" s="2">
        <f t="shared" si="0"/>
        <v>38.729999999999997</v>
      </c>
      <c r="M56" s="2"/>
      <c r="N56" s="19">
        <f t="shared" si="1"/>
        <v>0</v>
      </c>
      <c r="O56" s="11"/>
      <c r="P56" s="2">
        <f>--1509.11</f>
        <v>1509.11</v>
      </c>
      <c r="Q56" s="2"/>
      <c r="R56" s="19"/>
      <c r="S56" s="2"/>
      <c r="T56" s="2"/>
      <c r="U56" s="2"/>
      <c r="V56" s="19"/>
      <c r="W56" s="2"/>
      <c r="X56" s="2">
        <f t="shared" si="2"/>
        <v>1509.11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 t="shared" ref="D57:D58" si="4">0</f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--2603.4</f>
        <v>2603.4</v>
      </c>
      <c r="Q57" s="2"/>
      <c r="R57" s="19"/>
      <c r="S57" s="2"/>
      <c r="T57" s="2"/>
      <c r="U57" s="2"/>
      <c r="V57" s="19"/>
      <c r="W57" s="2"/>
      <c r="X57" s="2">
        <f t="shared" si="2"/>
        <v>2603.4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 t="shared" si="4"/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--348.72</f>
        <v>348.72</v>
      </c>
      <c r="Q58" s="2"/>
      <c r="R58" s="19"/>
      <c r="S58" s="2"/>
      <c r="T58" s="2"/>
      <c r="U58" s="2"/>
      <c r="V58" s="19"/>
      <c r="W58" s="2"/>
      <c r="X58" s="2">
        <f t="shared" si="2"/>
        <v>348.72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--4058.22</f>
        <v>4058.22</v>
      </c>
      <c r="E59" s="2"/>
      <c r="F59" s="19"/>
      <c r="G59" s="2"/>
      <c r="H59" s="2"/>
      <c r="I59" s="2"/>
      <c r="J59" s="19"/>
      <c r="K59" s="2"/>
      <c r="L59" s="2">
        <f t="shared" si="0"/>
        <v>4058.22</v>
      </c>
      <c r="M59" s="2"/>
      <c r="N59" s="19">
        <f t="shared" si="1"/>
        <v>0</v>
      </c>
      <c r="O59" s="11"/>
      <c r="P59" s="2">
        <f>--39085.73</f>
        <v>39085.730000000003</v>
      </c>
      <c r="Q59" s="2"/>
      <c r="R59" s="19"/>
      <c r="S59" s="2"/>
      <c r="T59" s="2"/>
      <c r="U59" s="2"/>
      <c r="V59" s="19"/>
      <c r="W59" s="2"/>
      <c r="X59" s="2">
        <f t="shared" si="2"/>
        <v>39085.730000000003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--1170.81</f>
        <v>1170.81</v>
      </c>
      <c r="E60" s="2"/>
      <c r="F60" s="19"/>
      <c r="G60" s="2"/>
      <c r="H60" s="2"/>
      <c r="I60" s="2"/>
      <c r="J60" s="19"/>
      <c r="K60" s="2"/>
      <c r="L60" s="2">
        <f t="shared" si="0"/>
        <v>1170.81</v>
      </c>
      <c r="M60" s="2"/>
      <c r="N60" s="19">
        <f t="shared" si="1"/>
        <v>0</v>
      </c>
      <c r="O60" s="11"/>
      <c r="P60" s="2">
        <f>--11445.2</f>
        <v>11445.2</v>
      </c>
      <c r="Q60" s="2"/>
      <c r="R60" s="19"/>
      <c r="S60" s="2"/>
      <c r="T60" s="2"/>
      <c r="U60" s="2"/>
      <c r="V60" s="19"/>
      <c r="W60" s="2"/>
      <c r="X60" s="2">
        <f t="shared" si="2"/>
        <v>11445.2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--1305.22</f>
        <v>1305.22</v>
      </c>
      <c r="E61" s="2"/>
      <c r="F61" s="19"/>
      <c r="G61" s="2"/>
      <c r="H61" s="2"/>
      <c r="I61" s="2"/>
      <c r="J61" s="19"/>
      <c r="K61" s="2"/>
      <c r="L61" s="2">
        <f t="shared" si="0"/>
        <v>1305.22</v>
      </c>
      <c r="M61" s="2"/>
      <c r="N61" s="19">
        <f t="shared" si="1"/>
        <v>0</v>
      </c>
      <c r="O61" s="11"/>
      <c r="P61" s="2">
        <f>--12121.78</f>
        <v>12121.78</v>
      </c>
      <c r="Q61" s="2"/>
      <c r="R61" s="19"/>
      <c r="S61" s="2"/>
      <c r="T61" s="2"/>
      <c r="U61" s="2"/>
      <c r="V61" s="19"/>
      <c r="W61" s="2"/>
      <c r="X61" s="2">
        <f t="shared" si="2"/>
        <v>12121.78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--3.59</f>
        <v>3.59</v>
      </c>
      <c r="E62" s="2"/>
      <c r="F62" s="19"/>
      <c r="G62" s="2"/>
      <c r="H62" s="2"/>
      <c r="I62" s="2"/>
      <c r="J62" s="19"/>
      <c r="K62" s="2"/>
      <c r="L62" s="2">
        <f t="shared" si="0"/>
        <v>3.59</v>
      </c>
      <c r="M62" s="2"/>
      <c r="N62" s="19">
        <f t="shared" si="1"/>
        <v>0</v>
      </c>
      <c r="O62" s="11"/>
      <c r="P62" s="2">
        <f>--118.32</f>
        <v>118.32</v>
      </c>
      <c r="Q62" s="2"/>
      <c r="R62" s="19"/>
      <c r="S62" s="2"/>
      <c r="T62" s="2"/>
      <c r="U62" s="2"/>
      <c r="V62" s="19"/>
      <c r="W62" s="2"/>
      <c r="X62" s="2">
        <f t="shared" si="2"/>
        <v>118.32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--623.73</f>
        <v>623.73</v>
      </c>
      <c r="E63" s="2"/>
      <c r="F63" s="19"/>
      <c r="G63" s="2"/>
      <c r="H63" s="2"/>
      <c r="I63" s="2"/>
      <c r="J63" s="19"/>
      <c r="K63" s="2"/>
      <c r="L63" s="2">
        <f t="shared" si="0"/>
        <v>623.73</v>
      </c>
      <c r="M63" s="2"/>
      <c r="N63" s="19">
        <f t="shared" si="1"/>
        <v>0</v>
      </c>
      <c r="O63" s="11"/>
      <c r="P63" s="2">
        <f>--5913.07</f>
        <v>5913.07</v>
      </c>
      <c r="Q63" s="2"/>
      <c r="R63" s="19"/>
      <c r="S63" s="2"/>
      <c r="T63" s="2"/>
      <c r="U63" s="2"/>
      <c r="V63" s="19"/>
      <c r="W63" s="2"/>
      <c r="X63" s="2">
        <f t="shared" si="2"/>
        <v>5913.07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--18815.05</f>
        <v>18815.05</v>
      </c>
      <c r="E64" s="2"/>
      <c r="F64" s="19"/>
      <c r="G64" s="2"/>
      <c r="H64" s="2"/>
      <c r="I64" s="2"/>
      <c r="J64" s="19"/>
      <c r="K64" s="2"/>
      <c r="L64" s="2">
        <f t="shared" si="0"/>
        <v>18815.05</v>
      </c>
      <c r="M64" s="2"/>
      <c r="N64" s="19">
        <f t="shared" si="1"/>
        <v>0</v>
      </c>
      <c r="O64" s="11"/>
      <c r="P64" s="2">
        <f>--38823.84</f>
        <v>38823.839999999997</v>
      </c>
      <c r="Q64" s="2"/>
      <c r="R64" s="19"/>
      <c r="S64" s="2"/>
      <c r="T64" s="2"/>
      <c r="U64" s="2"/>
      <c r="V64" s="19"/>
      <c r="W64" s="2"/>
      <c r="X64" s="2">
        <f t="shared" si="2"/>
        <v>38823.839999999997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--699.6</f>
        <v>699.6</v>
      </c>
      <c r="E65" s="2"/>
      <c r="F65" s="19"/>
      <c r="G65" s="2"/>
      <c r="H65" s="2"/>
      <c r="I65" s="2"/>
      <c r="J65" s="19"/>
      <c r="K65" s="2"/>
      <c r="L65" s="2">
        <f t="shared" si="0"/>
        <v>699.6</v>
      </c>
      <c r="M65" s="2"/>
      <c r="N65" s="19">
        <f t="shared" si="1"/>
        <v>0</v>
      </c>
      <c r="O65" s="11"/>
      <c r="P65" s="2">
        <f>--2529.88</f>
        <v>2529.88</v>
      </c>
      <c r="Q65" s="2"/>
      <c r="R65" s="19"/>
      <c r="S65" s="2"/>
      <c r="T65" s="2"/>
      <c r="U65" s="2"/>
      <c r="V65" s="19"/>
      <c r="W65" s="2"/>
      <c r="X65" s="2">
        <f t="shared" si="2"/>
        <v>2529.88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--2554.55</f>
        <v>2554.5500000000002</v>
      </c>
      <c r="E66" s="2"/>
      <c r="F66" s="19"/>
      <c r="G66" s="2"/>
      <c r="H66" s="2"/>
      <c r="I66" s="2"/>
      <c r="J66" s="19"/>
      <c r="K66" s="2"/>
      <c r="L66" s="2">
        <f t="shared" si="0"/>
        <v>2554.5500000000002</v>
      </c>
      <c r="M66" s="2"/>
      <c r="N66" s="19">
        <f t="shared" si="1"/>
        <v>0</v>
      </c>
      <c r="O66" s="11"/>
      <c r="P66" s="2">
        <f>--10487.38</f>
        <v>10487.38</v>
      </c>
      <c r="Q66" s="2"/>
      <c r="R66" s="19"/>
      <c r="S66" s="2"/>
      <c r="T66" s="2"/>
      <c r="U66" s="2"/>
      <c r="V66" s="19"/>
      <c r="W66" s="2"/>
      <c r="X66" s="2">
        <f t="shared" si="2"/>
        <v>10487.38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--351.29</f>
        <v>351.29</v>
      </c>
      <c r="E67" s="2"/>
      <c r="F67" s="19"/>
      <c r="G67" s="2"/>
      <c r="H67" s="2"/>
      <c r="I67" s="2"/>
      <c r="J67" s="19"/>
      <c r="K67" s="2"/>
      <c r="L67" s="2">
        <f t="shared" si="0"/>
        <v>351.29</v>
      </c>
      <c r="M67" s="2"/>
      <c r="N67" s="19">
        <f t="shared" si="1"/>
        <v>0</v>
      </c>
      <c r="O67" s="11"/>
      <c r="P67" s="2">
        <f>--592.85</f>
        <v>592.85</v>
      </c>
      <c r="Q67" s="2"/>
      <c r="R67" s="19"/>
      <c r="S67" s="2"/>
      <c r="T67" s="2"/>
      <c r="U67" s="2"/>
      <c r="V67" s="19"/>
      <c r="W67" s="2"/>
      <c r="X67" s="2">
        <f t="shared" si="2"/>
        <v>592.85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--140</f>
        <v>140</v>
      </c>
      <c r="Q68" s="2"/>
      <c r="R68" s="19"/>
      <c r="S68" s="2"/>
      <c r="T68" s="2"/>
      <c r="U68" s="2"/>
      <c r="V68" s="19"/>
      <c r="W68" s="2"/>
      <c r="X68" s="2">
        <f t="shared" si="2"/>
        <v>140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--27126.9</f>
        <v>27126.9</v>
      </c>
      <c r="E69" s="2"/>
      <c r="F69" s="19"/>
      <c r="G69" s="2"/>
      <c r="H69" s="2"/>
      <c r="I69" s="2"/>
      <c r="J69" s="19"/>
      <c r="K69" s="2"/>
      <c r="L69" s="2">
        <f t="shared" si="0"/>
        <v>27126.9</v>
      </c>
      <c r="M69" s="2"/>
      <c r="N69" s="19">
        <f t="shared" si="1"/>
        <v>0</v>
      </c>
      <c r="O69" s="11"/>
      <c r="P69" s="2">
        <f>--146467.95</f>
        <v>146467.95000000001</v>
      </c>
      <c r="Q69" s="2"/>
      <c r="R69" s="19"/>
      <c r="S69" s="2"/>
      <c r="T69" s="2"/>
      <c r="U69" s="2"/>
      <c r="V69" s="19"/>
      <c r="W69" s="2"/>
      <c r="X69" s="2">
        <f t="shared" si="2"/>
        <v>146467.95000000001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--57.5</f>
        <v>57.5</v>
      </c>
      <c r="E70" s="2"/>
      <c r="F70" s="19"/>
      <c r="G70" s="2"/>
      <c r="H70" s="2"/>
      <c r="I70" s="2"/>
      <c r="J70" s="19"/>
      <c r="K70" s="2"/>
      <c r="L70" s="2">
        <f t="shared" si="0"/>
        <v>57.5</v>
      </c>
      <c r="M70" s="2"/>
      <c r="N70" s="19">
        <f t="shared" si="1"/>
        <v>0</v>
      </c>
      <c r="O70" s="11"/>
      <c r="P70" s="2">
        <f>--307.4</f>
        <v>307.39999999999998</v>
      </c>
      <c r="Q70" s="2"/>
      <c r="R70" s="19"/>
      <c r="S70" s="2"/>
      <c r="T70" s="2"/>
      <c r="U70" s="2"/>
      <c r="V70" s="19"/>
      <c r="W70" s="2"/>
      <c r="X70" s="2">
        <f t="shared" si="2"/>
        <v>307.39999999999998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-30.97</f>
        <v>-30.97</v>
      </c>
      <c r="Q71" s="2"/>
      <c r="R71" s="19"/>
      <c r="S71" s="2"/>
      <c r="T71" s="2"/>
      <c r="U71" s="2"/>
      <c r="V71" s="19"/>
      <c r="W71" s="2"/>
      <c r="X71" s="2">
        <f t="shared" si="2"/>
        <v>-30.97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-631.8</f>
        <v>-631.79999999999995</v>
      </c>
      <c r="E72" s="2"/>
      <c r="F72" s="19"/>
      <c r="G72" s="2"/>
      <c r="H72" s="2"/>
      <c r="I72" s="2"/>
      <c r="J72" s="19"/>
      <c r="K72" s="2"/>
      <c r="L72" s="2">
        <f t="shared" si="0"/>
        <v>-631.79999999999995</v>
      </c>
      <c r="M72" s="2"/>
      <c r="N72" s="19">
        <f t="shared" si="1"/>
        <v>0</v>
      </c>
      <c r="O72" s="11"/>
      <c r="P72" s="2">
        <f>-78730.37</f>
        <v>-78730.37</v>
      </c>
      <c r="Q72" s="2"/>
      <c r="R72" s="19"/>
      <c r="S72" s="2"/>
      <c r="T72" s="2"/>
      <c r="U72" s="2"/>
      <c r="V72" s="19"/>
      <c r="W72" s="2"/>
      <c r="X72" s="2">
        <f t="shared" si="2"/>
        <v>-78730.37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-166.15</f>
        <v>-166.15</v>
      </c>
      <c r="E73" s="2"/>
      <c r="F73" s="19"/>
      <c r="G73" s="2"/>
      <c r="H73" s="2"/>
      <c r="I73" s="2"/>
      <c r="J73" s="19"/>
      <c r="K73" s="2"/>
      <c r="L73" s="2">
        <f t="shared" si="0"/>
        <v>-166.15</v>
      </c>
      <c r="M73" s="2"/>
      <c r="N73" s="19">
        <f t="shared" si="1"/>
        <v>0</v>
      </c>
      <c r="O73" s="11"/>
      <c r="P73" s="2">
        <f>-27208.35</f>
        <v>-27208.35</v>
      </c>
      <c r="Q73" s="2"/>
      <c r="R73" s="19"/>
      <c r="S73" s="2"/>
      <c r="T73" s="2"/>
      <c r="U73" s="2"/>
      <c r="V73" s="19"/>
      <c r="W73" s="2"/>
      <c r="X73" s="2">
        <f t="shared" si="2"/>
        <v>-27208.35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 t="shared" ref="D74:D76" si="5"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/>
      <c r="U74" s="2"/>
      <c r="V74" s="19"/>
      <c r="W74" s="2"/>
      <c r="X74" s="2">
        <f t="shared" si="2"/>
        <v>-144.99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si="5"/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-11369.46</f>
        <v>-11369.46</v>
      </c>
      <c r="Q75" s="2"/>
      <c r="R75" s="19"/>
      <c r="S75" s="2"/>
      <c r="T75" s="2"/>
      <c r="U75" s="2"/>
      <c r="V75" s="19"/>
      <c r="W75" s="2"/>
      <c r="X75" s="2">
        <f t="shared" si="2"/>
        <v>-11369.46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 t="shared" si="5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-102.71</f>
        <v>-102.71</v>
      </c>
      <c r="Q76" s="2"/>
      <c r="R76" s="19"/>
      <c r="S76" s="2"/>
      <c r="T76" s="2"/>
      <c r="U76" s="2"/>
      <c r="V76" s="19"/>
      <c r="W76" s="2"/>
      <c r="X76" s="2">
        <f t="shared" si="2"/>
        <v>-102.71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"4214", " - ", "SALES RETURN TAXABLE-REMAINDER")</f>
        <v xml:space="preserve">          4214 - SALES RETURN TAXABLE-REMAINDER</v>
      </c>
      <c r="C77" s="11"/>
      <c r="D77" s="2">
        <f>-11.94</f>
        <v>-11.94</v>
      </c>
      <c r="E77" s="2"/>
      <c r="F77" s="19"/>
      <c r="G77" s="2"/>
      <c r="H77" s="2"/>
      <c r="I77" s="2"/>
      <c r="J77" s="19"/>
      <c r="K77" s="2"/>
      <c r="L77" s="2">
        <f t="shared" si="0"/>
        <v>-11.94</v>
      </c>
      <c r="M77" s="2"/>
      <c r="N77" s="19">
        <f t="shared" si="1"/>
        <v>0</v>
      </c>
      <c r="O77" s="11"/>
      <c r="P77" s="2">
        <f>-11.94</f>
        <v>-11.94</v>
      </c>
      <c r="Q77" s="2"/>
      <c r="R77" s="19"/>
      <c r="S77" s="2"/>
      <c r="T77" s="2"/>
      <c r="U77" s="2"/>
      <c r="V77" s="19"/>
      <c r="W77" s="2"/>
      <c r="X77" s="2">
        <f t="shared" si="2"/>
        <v>-11.94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"4217", " - ", "NON-TAXABLE SALES-DORM/HOUSEWA")</f>
        <v xml:space="preserve">          4217 - NON-TAXABLE SALES-DORM/HOUSEWA</v>
      </c>
      <c r="C78" s="11"/>
      <c r="D78" s="2">
        <f t="shared" ref="D78:D79" si="6"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-2.98</f>
        <v>-2.98</v>
      </c>
      <c r="Q78" s="2"/>
      <c r="R78" s="19"/>
      <c r="S78" s="2"/>
      <c r="T78" s="2"/>
      <c r="U78" s="2"/>
      <c r="V78" s="19"/>
      <c r="W78" s="2"/>
      <c r="X78" s="2">
        <f t="shared" si="2"/>
        <v>-2.98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"4218", " - ", "SALES RETURN TAXABLE-STUDY GUI")</f>
        <v xml:space="preserve">          4218 - SALES RETURN TAXABLE-STUDY GUI</v>
      </c>
      <c r="C79" s="11"/>
      <c r="D79" s="2">
        <f t="shared" si="6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-32.75</f>
        <v>-32.75</v>
      </c>
      <c r="Q79" s="2"/>
      <c r="R79" s="19"/>
      <c r="S79" s="2"/>
      <c r="T79" s="2"/>
      <c r="U79" s="2"/>
      <c r="V79" s="19"/>
      <c r="W79" s="2"/>
      <c r="X79" s="2">
        <f t="shared" si="2"/>
        <v>-32.75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"4225", " - ", "SALES RETURN TAXABLE-TEST FORM")</f>
        <v xml:space="preserve">          4225 - SALES RETURN TAXABLE-TEST FORM</v>
      </c>
      <c r="C80" s="11"/>
      <c r="D80" s="2">
        <f>-15.51</f>
        <v>-15.51</v>
      </c>
      <c r="E80" s="2"/>
      <c r="F80" s="19"/>
      <c r="G80" s="2"/>
      <c r="H80" s="2"/>
      <c r="I80" s="2"/>
      <c r="J80" s="19"/>
      <c r="K80" s="2"/>
      <c r="L80" s="2">
        <f t="shared" si="0"/>
        <v>-15.51</v>
      </c>
      <c r="M80" s="2"/>
      <c r="N80" s="19">
        <f t="shared" si="1"/>
        <v>0</v>
      </c>
      <c r="O80" s="11"/>
      <c r="P80" s="2">
        <f>-80.97</f>
        <v>-80.97</v>
      </c>
      <c r="Q80" s="2"/>
      <c r="R80" s="19"/>
      <c r="S80" s="2"/>
      <c r="T80" s="2"/>
      <c r="U80" s="2"/>
      <c r="V80" s="19"/>
      <c r="W80" s="2"/>
      <c r="X80" s="2">
        <f t="shared" si="2"/>
        <v>-80.97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"4226", " - ", "SALES RETURN TAXABLE-WRITING I")</f>
        <v xml:space="preserve">          4226 - SALES RETURN TAXABLE-WRITING I</v>
      </c>
      <c r="C81" s="11"/>
      <c r="D81" s="2">
        <f>-41.65</f>
        <v>-41.65</v>
      </c>
      <c r="E81" s="2"/>
      <c r="F81" s="19"/>
      <c r="G81" s="2"/>
      <c r="H81" s="2"/>
      <c r="I81" s="2"/>
      <c r="J81" s="19"/>
      <c r="K81" s="2"/>
      <c r="L81" s="2">
        <f t="shared" si="0"/>
        <v>-41.65</v>
      </c>
      <c r="M81" s="2"/>
      <c r="N81" s="19">
        <f t="shared" si="1"/>
        <v>0</v>
      </c>
      <c r="O81" s="11"/>
      <c r="P81" s="2">
        <f>-531.36</f>
        <v>-531.36</v>
      </c>
      <c r="Q81" s="2"/>
      <c r="R81" s="19"/>
      <c r="S81" s="2"/>
      <c r="T81" s="2"/>
      <c r="U81" s="2"/>
      <c r="V81" s="19"/>
      <c r="W81" s="2"/>
      <c r="X81" s="2">
        <f t="shared" si="2"/>
        <v>-531.36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"4227", " - ", "SALES RETURN TAXABLE-SCHOOL SU")</f>
        <v xml:space="preserve">          4227 - SALES RETURN TAXABLE-SCHOOL SU</v>
      </c>
      <c r="C82" s="11"/>
      <c r="D82" s="2">
        <f>-204.76</f>
        <v>-204.76</v>
      </c>
      <c r="E82" s="2"/>
      <c r="F82" s="19"/>
      <c r="G82" s="2"/>
      <c r="H82" s="2"/>
      <c r="I82" s="2"/>
      <c r="J82" s="19"/>
      <c r="K82" s="2"/>
      <c r="L82" s="2">
        <f t="shared" si="0"/>
        <v>-204.76</v>
      </c>
      <c r="M82" s="2"/>
      <c r="N82" s="19">
        <f t="shared" si="1"/>
        <v>0</v>
      </c>
      <c r="O82" s="11"/>
      <c r="P82" s="2">
        <f>-5948.58</f>
        <v>-5948.58</v>
      </c>
      <c r="Q82" s="2"/>
      <c r="R82" s="19"/>
      <c r="S82" s="2"/>
      <c r="T82" s="2"/>
      <c r="U82" s="2"/>
      <c r="V82" s="19"/>
      <c r="W82" s="2"/>
      <c r="X82" s="2">
        <f t="shared" si="2"/>
        <v>-5948.58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"4228", " - ", "SALES RETURN TAXABLE-ART/TECH")</f>
        <v xml:space="preserve">          4228 - SALES RETURN TAXABLE-ART/TECH</v>
      </c>
      <c r="C83" s="11"/>
      <c r="D83" s="2">
        <f>-277.33</f>
        <v>-277.33</v>
      </c>
      <c r="E83" s="2"/>
      <c r="F83" s="19"/>
      <c r="G83" s="2"/>
      <c r="H83" s="2"/>
      <c r="I83" s="2"/>
      <c r="J83" s="19"/>
      <c r="K83" s="2"/>
      <c r="L83" s="2">
        <f t="shared" si="0"/>
        <v>-277.33</v>
      </c>
      <c r="M83" s="2"/>
      <c r="N83" s="19">
        <f t="shared" si="1"/>
        <v>0</v>
      </c>
      <c r="O83" s="11"/>
      <c r="P83" s="2">
        <f>-3148.62</f>
        <v>-3148.62</v>
      </c>
      <c r="Q83" s="2"/>
      <c r="R83" s="19"/>
      <c r="S83" s="2"/>
      <c r="T83" s="2"/>
      <c r="U83" s="2"/>
      <c r="V83" s="19"/>
      <c r="W83" s="2"/>
      <c r="X83" s="2">
        <f t="shared" si="2"/>
        <v>-3148.62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"4233", " - ", "SALES RETURN TAXABLE-CANDY")</f>
        <v xml:space="preserve">          4233 - SALES RETURN TAXABLE-CANDY</v>
      </c>
      <c r="C84" s="11"/>
      <c r="D84" s="2">
        <f>0</f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-1.29</f>
        <v>-1.29</v>
      </c>
      <c r="Q84" s="2"/>
      <c r="R84" s="19"/>
      <c r="S84" s="2"/>
      <c r="T84" s="2"/>
      <c r="U84" s="2"/>
      <c r="V84" s="19"/>
      <c r="W84" s="2"/>
      <c r="X84" s="2">
        <f t="shared" si="2"/>
        <v>-1.29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-8212.91</f>
        <v>-8212.91</v>
      </c>
      <c r="E85" s="2"/>
      <c r="F85" s="19"/>
      <c r="G85" s="2"/>
      <c r="H85" s="2"/>
      <c r="I85" s="2"/>
      <c r="J85" s="19"/>
      <c r="K85" s="2"/>
      <c r="L85" s="2">
        <f t="shared" si="0"/>
        <v>-8212.91</v>
      </c>
      <c r="M85" s="2"/>
      <c r="N85" s="19">
        <f t="shared" si="1"/>
        <v>0</v>
      </c>
      <c r="O85" s="11"/>
      <c r="P85" s="2">
        <f>-49321.94</f>
        <v>-49321.94</v>
      </c>
      <c r="Q85" s="2"/>
      <c r="R85" s="19"/>
      <c r="S85" s="2"/>
      <c r="T85" s="2"/>
      <c r="U85" s="2"/>
      <c r="V85" s="19"/>
      <c r="W85" s="2"/>
      <c r="X85" s="2">
        <f t="shared" si="2"/>
        <v>-49321.94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-939.28</f>
        <v>-939.28</v>
      </c>
      <c r="E86" s="2"/>
      <c r="F86" s="19"/>
      <c r="G86" s="2"/>
      <c r="H86" s="2"/>
      <c r="I86" s="2"/>
      <c r="J86" s="19"/>
      <c r="K86" s="2"/>
      <c r="L86" s="2">
        <f t="shared" si="0"/>
        <v>-939.28</v>
      </c>
      <c r="M86" s="2"/>
      <c r="N86" s="19">
        <f t="shared" si="1"/>
        <v>0</v>
      </c>
      <c r="O86" s="11"/>
      <c r="P86" s="2">
        <f>-4148.87</f>
        <v>-4148.87</v>
      </c>
      <c r="Q86" s="2"/>
      <c r="R86" s="19"/>
      <c r="S86" s="2"/>
      <c r="T86" s="2"/>
      <c r="U86" s="2"/>
      <c r="V86" s="19"/>
      <c r="W86" s="2"/>
      <c r="X86" s="2">
        <f t="shared" si="2"/>
        <v>-4148.87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-1097.55</f>
        <v>-1097.55</v>
      </c>
      <c r="E87" s="2"/>
      <c r="F87" s="19"/>
      <c r="G87" s="2"/>
      <c r="H87" s="2"/>
      <c r="I87" s="2"/>
      <c r="J87" s="19"/>
      <c r="K87" s="2"/>
      <c r="L87" s="2">
        <f t="shared" si="0"/>
        <v>-1097.55</v>
      </c>
      <c r="M87" s="2"/>
      <c r="N87" s="19">
        <f t="shared" si="1"/>
        <v>0</v>
      </c>
      <c r="O87" s="11"/>
      <c r="P87" s="2">
        <f>-2789.42</f>
        <v>-2789.42</v>
      </c>
      <c r="Q87" s="2"/>
      <c r="R87" s="19"/>
      <c r="S87" s="2"/>
      <c r="T87" s="2"/>
      <c r="U87" s="2"/>
      <c r="V87" s="19"/>
      <c r="W87" s="2"/>
      <c r="X87" s="2">
        <f t="shared" si="2"/>
        <v>-2789.42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"4243", " - ", "SALES RETURN TAXABLE-CARDS")</f>
        <v xml:space="preserve">          4243 - SALES RETURN TAXABLE-CARDS</v>
      </c>
      <c r="C88" s="11"/>
      <c r="D88" s="2">
        <f>-558.63</f>
        <v>-558.63</v>
      </c>
      <c r="E88" s="2"/>
      <c r="F88" s="19"/>
      <c r="G88" s="2"/>
      <c r="H88" s="2"/>
      <c r="I88" s="2"/>
      <c r="J88" s="19"/>
      <c r="K88" s="2"/>
      <c r="L88" s="2">
        <f t="shared" si="0"/>
        <v>-558.63</v>
      </c>
      <c r="M88" s="2"/>
      <c r="N88" s="19">
        <f t="shared" si="1"/>
        <v>0</v>
      </c>
      <c r="O88" s="11"/>
      <c r="P88" s="2">
        <f>-879.47</f>
        <v>-879.47</v>
      </c>
      <c r="Q88" s="2"/>
      <c r="R88" s="19"/>
      <c r="S88" s="2"/>
      <c r="T88" s="2"/>
      <c r="U88" s="2"/>
      <c r="V88" s="19"/>
      <c r="W88" s="2"/>
      <c r="X88" s="2">
        <f t="shared" si="2"/>
        <v>-879.47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-202.71</f>
        <v>-202.71</v>
      </c>
      <c r="E89" s="2"/>
      <c r="F89" s="19"/>
      <c r="G89" s="2"/>
      <c r="H89" s="2"/>
      <c r="I89" s="2"/>
      <c r="J89" s="19"/>
      <c r="K89" s="2"/>
      <c r="L89" s="2">
        <f t="shared" si="0"/>
        <v>-202.71</v>
      </c>
      <c r="M89" s="2"/>
      <c r="N89" s="19">
        <f t="shared" si="1"/>
        <v>0</v>
      </c>
      <c r="O89" s="11"/>
      <c r="P89" s="2">
        <f>-1731.77</f>
        <v>-1731.77</v>
      </c>
      <c r="Q89" s="2"/>
      <c r="R89" s="19"/>
      <c r="S89" s="2"/>
      <c r="T89" s="2"/>
      <c r="U89" s="2"/>
      <c r="V89" s="19"/>
      <c r="W89" s="2"/>
      <c r="X89" s="2">
        <f t="shared" si="2"/>
        <v>-1731.77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-91.96</f>
        <v>-91.96</v>
      </c>
      <c r="Q90" s="2"/>
      <c r="R90" s="19"/>
      <c r="S90" s="2"/>
      <c r="T90" s="2"/>
      <c r="U90" s="2"/>
      <c r="V90" s="19"/>
      <c r="W90" s="2"/>
      <c r="X90" s="2">
        <f t="shared" si="2"/>
        <v>-91.96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>-9.99</f>
        <v>-9.99</v>
      </c>
      <c r="E91" s="2"/>
      <c r="F91" s="19"/>
      <c r="G91" s="2"/>
      <c r="H91" s="2"/>
      <c r="I91" s="2"/>
      <c r="J91" s="19"/>
      <c r="K91" s="2"/>
      <c r="L91" s="2">
        <f t="shared" si="0"/>
        <v>-9.99</v>
      </c>
      <c r="M91" s="2"/>
      <c r="N91" s="19">
        <f t="shared" si="1"/>
        <v>0</v>
      </c>
      <c r="O91" s="11"/>
      <c r="P91" s="2">
        <f>-54.97</f>
        <v>-54.97</v>
      </c>
      <c r="Q91" s="2"/>
      <c r="R91" s="19"/>
      <c r="S91" s="2"/>
      <c r="T91" s="2"/>
      <c r="U91" s="2"/>
      <c r="V91" s="19"/>
      <c r="W91" s="2"/>
      <c r="X91" s="2">
        <f t="shared" si="2"/>
        <v>-54.97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"4292", " - ", "SALES RETURN TAXABLE-GRAD MERC")</f>
        <v xml:space="preserve">          4292 - SALES RETURN TAXABLE-GRAD MERC</v>
      </c>
      <c r="C92" s="11"/>
      <c r="D92" s="2">
        <f t="shared" ref="D92:D94" si="7"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-419.05</f>
        <v>-419.05</v>
      </c>
      <c r="Q92" s="2"/>
      <c r="R92" s="19"/>
      <c r="S92" s="2"/>
      <c r="T92" s="2"/>
      <c r="U92" s="2"/>
      <c r="V92" s="19"/>
      <c r="W92" s="2"/>
      <c r="X92" s="2">
        <f t="shared" si="2"/>
        <v>-419.05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"4295", " - ", "SALES RETURN TAXABLE-CUSTOMER")</f>
        <v xml:space="preserve">          4295 - SALES RETURN TAXABLE-CUSTOMER</v>
      </c>
      <c r="C93" s="11"/>
      <c r="D93" s="2">
        <f t="shared" si="7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--0.99</f>
        <v>0.99</v>
      </c>
      <c r="Q93" s="2"/>
      <c r="R93" s="19"/>
      <c r="S93" s="2"/>
      <c r="T93" s="2"/>
      <c r="U93" s="2"/>
      <c r="V93" s="19"/>
      <c r="W93" s="2"/>
      <c r="X93" s="2">
        <f t="shared" si="2"/>
        <v>0.99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"4301", " - ", "SALES RETURN NON TAXABLE-NEW T")</f>
        <v xml:space="preserve">          4301 - SALES RETURN NON TAXABLE-NEW T</v>
      </c>
      <c r="C94" s="11"/>
      <c r="D94" s="2">
        <f t="shared" si="7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-12310.98</f>
        <v>-12310.98</v>
      </c>
      <c r="Q94" s="2"/>
      <c r="R94" s="19"/>
      <c r="S94" s="2"/>
      <c r="T94" s="2"/>
      <c r="U94" s="2"/>
      <c r="V94" s="19"/>
      <c r="W94" s="2"/>
      <c r="X94" s="2">
        <f t="shared" si="2"/>
        <v>-12310.98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"4302", " - ", "SALES RETURN NON TAXABLE-TEXT")</f>
        <v xml:space="preserve">          4302 - SALES RETURN NON TAXABLE-TEXT</v>
      </c>
      <c r="C95" s="11"/>
      <c r="D95" s="2">
        <f>-14.1</f>
        <v>-14.1</v>
      </c>
      <c r="E95" s="2"/>
      <c r="F95" s="19"/>
      <c r="G95" s="2"/>
      <c r="H95" s="2"/>
      <c r="I95" s="2"/>
      <c r="J95" s="19"/>
      <c r="K95" s="2"/>
      <c r="L95" s="2">
        <f t="shared" si="0"/>
        <v>-14.1</v>
      </c>
      <c r="M95" s="2"/>
      <c r="N95" s="19">
        <f t="shared" si="1"/>
        <v>0</v>
      </c>
      <c r="O95" s="11"/>
      <c r="P95" s="2">
        <f>-697.9</f>
        <v>-697.9</v>
      </c>
      <c r="Q95" s="2"/>
      <c r="R95" s="19"/>
      <c r="S95" s="2"/>
      <c r="T95" s="2"/>
      <c r="U95" s="2"/>
      <c r="V95" s="19"/>
      <c r="W95" s="2"/>
      <c r="X95" s="2">
        <f t="shared" si="2"/>
        <v>-697.9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"4303", " - ", "SALES RETURN NON-TAXABLE-RENTA")</f>
        <v xml:space="preserve">          4303 - SALES RETURN NON-TAXABLE-RENTA</v>
      </c>
      <c r="C96" s="11"/>
      <c r="D96" s="2">
        <f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-184.99</f>
        <v>-184.99</v>
      </c>
      <c r="Q96" s="2"/>
      <c r="R96" s="19"/>
      <c r="S96" s="2"/>
      <c r="T96" s="2"/>
      <c r="U96" s="2"/>
      <c r="V96" s="19"/>
      <c r="W96" s="2"/>
      <c r="X96" s="2">
        <f t="shared" si="2"/>
        <v>-184.99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"4304", " - ", "SALES RETURN NON TAXABLE-DIGIT")</f>
        <v xml:space="preserve">          4304 - SALES RETURN NON TAXABLE-DIGIT</v>
      </c>
      <c r="C97" s="11"/>
      <c r="D97" s="2">
        <f>-226.45</f>
        <v>-226.45</v>
      </c>
      <c r="E97" s="2"/>
      <c r="F97" s="19"/>
      <c r="G97" s="2"/>
      <c r="H97" s="2"/>
      <c r="I97" s="2"/>
      <c r="J97" s="19"/>
      <c r="K97" s="2"/>
      <c r="L97" s="2">
        <f t="shared" si="0"/>
        <v>-226.45</v>
      </c>
      <c r="M97" s="2"/>
      <c r="N97" s="19">
        <f t="shared" si="1"/>
        <v>0</v>
      </c>
      <c r="O97" s="11"/>
      <c r="P97" s="2">
        <f>-13430.32</f>
        <v>-13430.32</v>
      </c>
      <c r="Q97" s="2"/>
      <c r="R97" s="19"/>
      <c r="S97" s="2"/>
      <c r="T97" s="2"/>
      <c r="U97" s="2"/>
      <c r="V97" s="19"/>
      <c r="W97" s="2"/>
      <c r="X97" s="2">
        <f t="shared" si="2"/>
        <v>-13430.32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"4311", " - ", "SALES RETURN NON TAXABLE-NO VA")</f>
        <v xml:space="preserve">          4311 - SALES RETURN NON TAXABLE-NO VA</v>
      </c>
      <c r="C98" s="11"/>
      <c r="D98" s="2">
        <f t="shared" ref="D98:D99" si="8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-387.96</f>
        <v>-387.96</v>
      </c>
      <c r="Q98" s="2"/>
      <c r="R98" s="19"/>
      <c r="S98" s="2"/>
      <c r="T98" s="2"/>
      <c r="U98" s="2"/>
      <c r="V98" s="19"/>
      <c r="W98" s="2"/>
      <c r="X98" s="2">
        <f t="shared" si="2"/>
        <v>-387.96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"4327", " - ", "SALES RETURN NON TAXABLE-SCHOO")</f>
        <v xml:space="preserve">          4327 - SALES RETURN NON TAXABLE-SCHOO</v>
      </c>
      <c r="C99" s="11"/>
      <c r="D99" s="2">
        <f t="shared" si="8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-21.87</f>
        <v>-21.87</v>
      </c>
      <c r="Q99" s="2"/>
      <c r="R99" s="19"/>
      <c r="S99" s="2"/>
      <c r="T99" s="2"/>
      <c r="U99" s="2"/>
      <c r="V99" s="19"/>
      <c r="W99" s="2"/>
      <c r="X99" s="2">
        <f t="shared" si="2"/>
        <v>-21.87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"4340", " - ", "SALES RETURN NON TAXABLE-LOGO")</f>
        <v xml:space="preserve">          4340 - SALES RETURN NON TAXABLE-LOGO</v>
      </c>
      <c r="C100" s="11"/>
      <c r="D100" s="2">
        <f>-391.5</f>
        <v>-391.5</v>
      </c>
      <c r="E100" s="2"/>
      <c r="F100" s="19"/>
      <c r="G100" s="2"/>
      <c r="H100" s="2"/>
      <c r="I100" s="2"/>
      <c r="J100" s="19"/>
      <c r="K100" s="2"/>
      <c r="L100" s="2">
        <f t="shared" si="0"/>
        <v>-391.5</v>
      </c>
      <c r="M100" s="2"/>
      <c r="N100" s="19">
        <f t="shared" si="1"/>
        <v>0</v>
      </c>
      <c r="O100" s="11"/>
      <c r="P100" s="2">
        <f>-714.9</f>
        <v>-714.9</v>
      </c>
      <c r="Q100" s="2"/>
      <c r="R100" s="19"/>
      <c r="S100" s="2"/>
      <c r="T100" s="2"/>
      <c r="U100" s="2"/>
      <c r="V100" s="19"/>
      <c r="W100" s="2"/>
      <c r="X100" s="2">
        <f t="shared" si="2"/>
        <v>-714.9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"4341", " - ", "SALES RETURN NON TAXABLE-LOGO")</f>
        <v xml:space="preserve">          4341 - SALES RETURN NON TAXABLE-LOGO</v>
      </c>
      <c r="C101" s="11"/>
      <c r="D101" s="2">
        <f>-9.95</f>
        <v>-9.9499999999999993</v>
      </c>
      <c r="E101" s="2"/>
      <c r="F101" s="19"/>
      <c r="G101" s="2"/>
      <c r="H101" s="2"/>
      <c r="I101" s="2"/>
      <c r="J101" s="19"/>
      <c r="K101" s="2"/>
      <c r="L101" s="2">
        <f t="shared" si="0"/>
        <v>-9.9499999999999993</v>
      </c>
      <c r="M101" s="2"/>
      <c r="N101" s="19">
        <f t="shared" si="1"/>
        <v>0</v>
      </c>
      <c r="O101" s="11"/>
      <c r="P101" s="2">
        <f>-20.85</f>
        <v>-20.85</v>
      </c>
      <c r="Q101" s="2"/>
      <c r="R101" s="19"/>
      <c r="S101" s="2"/>
      <c r="T101" s="2"/>
      <c r="U101" s="2"/>
      <c r="V101" s="19"/>
      <c r="W101" s="2"/>
      <c r="X101" s="2">
        <f t="shared" si="2"/>
        <v>-20.85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"4342", " - ", "SALES RETURN NON TAXABLE-EVERY")</f>
        <v xml:space="preserve">          4342 - SALES RETURN NON TAXABLE-EVERY</v>
      </c>
      <c r="C102" s="11"/>
      <c r="D102" s="2">
        <f t="shared" ref="D102:D103" si="9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-109.8</f>
        <v>-109.8</v>
      </c>
      <c r="Q102" s="2"/>
      <c r="R102" s="19"/>
      <c r="S102" s="2"/>
      <c r="T102" s="2"/>
      <c r="U102" s="2"/>
      <c r="V102" s="19"/>
      <c r="W102" s="2"/>
      <c r="X102" s="2">
        <f t="shared" si="2"/>
        <v>-109.8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"4346", " - ", "SALES RETURN NON TAXABLE-COIN-")</f>
        <v xml:space="preserve">          4346 - SALES RETURN NON TAXABLE-COIN-</v>
      </c>
      <c r="C103" s="11"/>
      <c r="D103" s="2">
        <f t="shared" si="9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-8.15</f>
        <v>-8.15</v>
      </c>
      <c r="Q103" s="2"/>
      <c r="R103" s="19"/>
      <c r="S103" s="2"/>
      <c r="T103" s="2"/>
      <c r="U103" s="2"/>
      <c r="V103" s="19"/>
      <c r="W103" s="2"/>
      <c r="X103" s="2">
        <f t="shared" si="2"/>
        <v>-8.15</v>
      </c>
      <c r="Y103" s="2"/>
      <c r="Z103" s="19">
        <f t="shared" si="3"/>
        <v>0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collapsed="1" x14ac:dyDescent="0.25">
      <c r="A105" s="10"/>
      <c r="B105" s="28" t="s">
        <v>8</v>
      </c>
      <c r="C105" s="10"/>
      <c r="D105" s="4">
        <f>SUM(OSRRefD16x_0)</f>
        <v>194163.06000000006</v>
      </c>
      <c r="E105" s="4"/>
      <c r="F105" s="12">
        <f t="shared" ref="F105:F156" si="10">IF(D$12=0,0,D105/D$12)</f>
        <v>0.43729889038731945</v>
      </c>
      <c r="G105" s="4"/>
      <c r="H105" s="4">
        <f>SUM(OSRRefH16x_0)</f>
        <v>246804.75767000002</v>
      </c>
      <c r="I105" s="4"/>
      <c r="J105" s="12">
        <f t="shared" ref="J105:J156" si="11">IF(H$12=0,0,H105/H$12)</f>
        <v>0.43840625544136963</v>
      </c>
      <c r="K105" s="4"/>
      <c r="L105" s="4">
        <f t="shared" ref="L105:L156" si="12">+D105-H105</f>
        <v>-52641.697669999965</v>
      </c>
      <c r="M105" s="4"/>
      <c r="N105" s="12">
        <f t="shared" ref="N105:N156" si="13">IF(H105=0,0,L105/H105)</f>
        <v>-0.21329288044109188</v>
      </c>
      <c r="O105" s="10"/>
      <c r="P105" s="4">
        <f>SUM(OSRRefP16x_0)</f>
        <v>3220426.9600000009</v>
      </c>
      <c r="Q105" s="4"/>
      <c r="R105" s="12">
        <f t="shared" ref="R105:R156" si="14">IF(P$12=0,0,P105/P$12)</f>
        <v>0.58392009749534579</v>
      </c>
      <c r="S105" s="4"/>
      <c r="T105" s="4">
        <f>SUM(OSRRefT16x_0)</f>
        <v>3346186.8078600001</v>
      </c>
      <c r="U105" s="4"/>
      <c r="V105" s="12">
        <f t="shared" ref="V105:V156" si="15">IF(T$12=0,0,T105/T$12)</f>
        <v>0.57310143354118825</v>
      </c>
      <c r="W105" s="4"/>
      <c r="X105" s="4">
        <f t="shared" ref="X105:X156" si="16">+P105-T105</f>
        <v>-125759.84785999916</v>
      </c>
      <c r="Y105" s="4"/>
      <c r="Z105" s="12">
        <f t="shared" ref="Z105:Z156" si="17">IF(T105=0,0,X105/T105)</f>
        <v>-3.7583032592381431E-2</v>
      </c>
    </row>
    <row r="106" spans="1:26" s="24" customFormat="1" hidden="1" outlineLevel="1" x14ac:dyDescent="0.25">
      <c r="A106" s="44"/>
      <c r="B106" s="11" t="str">
        <f>CONCATENATE("          ", "5000", " - ", "PURCHASES @ COST")</f>
        <v xml:space="preserve">          5000 - PURCHASES @ COST</v>
      </c>
      <c r="C106" s="11"/>
      <c r="D106" s="2"/>
      <c r="E106" s="2"/>
      <c r="F106" s="19">
        <f t="shared" si="10"/>
        <v>0</v>
      </c>
      <c r="G106" s="2"/>
      <c r="H106" s="2">
        <v>246804.75767000002</v>
      </c>
      <c r="I106" s="2"/>
      <c r="J106" s="19">
        <f t="shared" si="11"/>
        <v>0.43840625544136963</v>
      </c>
      <c r="K106" s="2"/>
      <c r="L106" s="2">
        <f t="shared" si="12"/>
        <v>-246804.75767000002</v>
      </c>
      <c r="M106" s="2"/>
      <c r="N106" s="19">
        <f t="shared" si="13"/>
        <v>-1</v>
      </c>
      <c r="O106" s="11"/>
      <c r="P106" s="2"/>
      <c r="Q106" s="2"/>
      <c r="R106" s="19">
        <f t="shared" si="14"/>
        <v>0</v>
      </c>
      <c r="S106" s="2"/>
      <c r="T106" s="2">
        <v>3346186.8078600001</v>
      </c>
      <c r="U106" s="2"/>
      <c r="V106" s="19">
        <f t="shared" si="15"/>
        <v>0.57310143354118825</v>
      </c>
      <c r="W106" s="2"/>
      <c r="X106" s="2">
        <f t="shared" si="16"/>
        <v>-3346186.8078600001</v>
      </c>
      <c r="Y106" s="2"/>
      <c r="Z106" s="19">
        <f t="shared" si="17"/>
        <v>-1</v>
      </c>
    </row>
    <row r="107" spans="1:26" s="24" customFormat="1" hidden="1" outlineLevel="1" x14ac:dyDescent="0.25">
      <c r="A107" s="44"/>
      <c r="B107" s="11" t="str">
        <f>CONCATENATE("          ", "5001", " - ", "PURCHASES @ COST-NEW TEXT")</f>
        <v xml:space="preserve">          5001 - PURCHASES @ COST-NEW TEXT</v>
      </c>
      <c r="C107" s="11"/>
      <c r="D107" s="2">
        <v>155219.06</v>
      </c>
      <c r="E107" s="2"/>
      <c r="F107" s="19">
        <f t="shared" si="10"/>
        <v>0.34958824147581286</v>
      </c>
      <c r="G107" s="2"/>
      <c r="H107" s="2"/>
      <c r="I107" s="2"/>
      <c r="J107" s="19">
        <f t="shared" si="11"/>
        <v>0</v>
      </c>
      <c r="K107" s="2"/>
      <c r="L107" s="2">
        <f t="shared" si="12"/>
        <v>155219.06</v>
      </c>
      <c r="M107" s="2"/>
      <c r="N107" s="19">
        <f t="shared" si="13"/>
        <v>0</v>
      </c>
      <c r="O107" s="11"/>
      <c r="P107" s="2">
        <v>1737069.75</v>
      </c>
      <c r="Q107" s="2"/>
      <c r="R107" s="19">
        <f t="shared" si="14"/>
        <v>0.3149613235681693</v>
      </c>
      <c r="S107" s="2"/>
      <c r="T107" s="2"/>
      <c r="U107" s="2"/>
      <c r="V107" s="19">
        <f t="shared" si="15"/>
        <v>0</v>
      </c>
      <c r="W107" s="2"/>
      <c r="X107" s="2">
        <f t="shared" si="16"/>
        <v>1737069.75</v>
      </c>
      <c r="Y107" s="2"/>
      <c r="Z107" s="19">
        <f t="shared" si="17"/>
        <v>0</v>
      </c>
    </row>
    <row r="108" spans="1:26" s="24" customFormat="1" hidden="1" outlineLevel="1" x14ac:dyDescent="0.25">
      <c r="A108" s="44"/>
      <c r="B108" s="11" t="str">
        <f>CONCATENATE("          ", "5002", " - ", "PURCHASES @ COST-USED TEXT")</f>
        <v xml:space="preserve">          5002 - PURCHASES @ COST-USED TEXT</v>
      </c>
      <c r="C108" s="11"/>
      <c r="D108" s="2">
        <v>40274.950000000004</v>
      </c>
      <c r="E108" s="2"/>
      <c r="F108" s="19">
        <f t="shared" si="10"/>
        <v>9.0708247724385724E-2</v>
      </c>
      <c r="G108" s="2"/>
      <c r="H108" s="2"/>
      <c r="I108" s="2"/>
      <c r="J108" s="19">
        <f t="shared" si="11"/>
        <v>0</v>
      </c>
      <c r="K108" s="2"/>
      <c r="L108" s="2">
        <f t="shared" si="12"/>
        <v>40274.950000000004</v>
      </c>
      <c r="M108" s="2"/>
      <c r="N108" s="19">
        <f t="shared" si="13"/>
        <v>0</v>
      </c>
      <c r="O108" s="11"/>
      <c r="P108" s="2">
        <v>252522.85</v>
      </c>
      <c r="Q108" s="2"/>
      <c r="R108" s="19">
        <f t="shared" si="14"/>
        <v>4.5786837901705603E-2</v>
      </c>
      <c r="S108" s="2"/>
      <c r="T108" s="2"/>
      <c r="U108" s="2"/>
      <c r="V108" s="19">
        <f t="shared" si="15"/>
        <v>0</v>
      </c>
      <c r="W108" s="2"/>
      <c r="X108" s="2">
        <f t="shared" si="16"/>
        <v>252522.85</v>
      </c>
      <c r="Y108" s="2"/>
      <c r="Z108" s="19">
        <f t="shared" si="17"/>
        <v>0</v>
      </c>
    </row>
    <row r="109" spans="1:26" s="24" customFormat="1" hidden="1" outlineLevel="1" x14ac:dyDescent="0.25">
      <c r="A109" s="44"/>
      <c r="B109" s="11" t="str">
        <f>CONCATENATE("          ", "5003", " - ", "PURCHASES @ COST-RENTAL TEXT")</f>
        <v xml:space="preserve">          5003 - PURCHASES @ COST-RENTAL TEXT</v>
      </c>
      <c r="C109" s="11"/>
      <c r="D109" s="2"/>
      <c r="E109" s="2"/>
      <c r="F109" s="19">
        <f t="shared" si="10"/>
        <v>0</v>
      </c>
      <c r="G109" s="2"/>
      <c r="H109" s="2"/>
      <c r="I109" s="2"/>
      <c r="J109" s="19">
        <f t="shared" si="11"/>
        <v>0</v>
      </c>
      <c r="K109" s="2"/>
      <c r="L109" s="2">
        <f t="shared" si="12"/>
        <v>0</v>
      </c>
      <c r="M109" s="2"/>
      <c r="N109" s="19">
        <f t="shared" si="13"/>
        <v>0</v>
      </c>
      <c r="O109" s="11"/>
      <c r="P109" s="2">
        <v>-78.400000000000006</v>
      </c>
      <c r="Q109" s="2"/>
      <c r="R109" s="19">
        <f t="shared" si="14"/>
        <v>-1.4215300086680154E-5</v>
      </c>
      <c r="S109" s="2"/>
      <c r="T109" s="2"/>
      <c r="U109" s="2"/>
      <c r="V109" s="19">
        <f t="shared" si="15"/>
        <v>0</v>
      </c>
      <c r="W109" s="2"/>
      <c r="X109" s="2">
        <f t="shared" si="16"/>
        <v>-78.400000000000006</v>
      </c>
      <c r="Y109" s="2"/>
      <c r="Z109" s="19">
        <f t="shared" si="17"/>
        <v>0</v>
      </c>
    </row>
    <row r="110" spans="1:26" s="24" customFormat="1" hidden="1" outlineLevel="1" x14ac:dyDescent="0.25">
      <c r="A110" s="44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31572.300000000003</v>
      </c>
      <c r="E110" s="2"/>
      <c r="F110" s="19">
        <f t="shared" si="10"/>
        <v>7.1107922160763046E-2</v>
      </c>
      <c r="G110" s="2"/>
      <c r="H110" s="2"/>
      <c r="I110" s="2"/>
      <c r="J110" s="19">
        <f t="shared" si="11"/>
        <v>0</v>
      </c>
      <c r="K110" s="2"/>
      <c r="L110" s="2">
        <f t="shared" si="12"/>
        <v>31572.300000000003</v>
      </c>
      <c r="M110" s="2"/>
      <c r="N110" s="19">
        <f t="shared" si="13"/>
        <v>0</v>
      </c>
      <c r="O110" s="11"/>
      <c r="P110" s="2">
        <v>354352.27</v>
      </c>
      <c r="Q110" s="2"/>
      <c r="R110" s="19">
        <f t="shared" si="14"/>
        <v>6.4250304265896799E-2</v>
      </c>
      <c r="S110" s="2"/>
      <c r="T110" s="2"/>
      <c r="U110" s="2"/>
      <c r="V110" s="19">
        <f t="shared" si="15"/>
        <v>0</v>
      </c>
      <c r="W110" s="2"/>
      <c r="X110" s="2">
        <f t="shared" si="16"/>
        <v>354352.27</v>
      </c>
      <c r="Y110" s="2"/>
      <c r="Z110" s="19">
        <f t="shared" si="17"/>
        <v>0</v>
      </c>
    </row>
    <row r="111" spans="1:26" s="24" customFormat="1" hidden="1" outlineLevel="1" x14ac:dyDescent="0.25">
      <c r="A111" s="44"/>
      <c r="B111" s="11" t="str">
        <f>CONCATENATE("          ", "5011", " - ", "PURCHASES @ COST-NO VALUE TEXT")</f>
        <v xml:space="preserve">          5011 - PURCHASES @ COST-NO VALUE TEXT</v>
      </c>
      <c r="C111" s="11"/>
      <c r="D111" s="2">
        <v>1161</v>
      </c>
      <c r="E111" s="2"/>
      <c r="F111" s="19">
        <f t="shared" si="10"/>
        <v>2.6148331806249746E-3</v>
      </c>
      <c r="G111" s="2"/>
      <c r="H111" s="2"/>
      <c r="I111" s="2"/>
      <c r="J111" s="19">
        <f t="shared" si="11"/>
        <v>0</v>
      </c>
      <c r="K111" s="2"/>
      <c r="L111" s="2">
        <f t="shared" si="12"/>
        <v>1161</v>
      </c>
      <c r="M111" s="2"/>
      <c r="N111" s="19">
        <f t="shared" si="13"/>
        <v>0</v>
      </c>
      <c r="O111" s="11"/>
      <c r="P111" s="2">
        <v>4902</v>
      </c>
      <c r="Q111" s="2"/>
      <c r="R111" s="19">
        <f t="shared" si="14"/>
        <v>8.8881889062380245E-4</v>
      </c>
      <c r="S111" s="2"/>
      <c r="T111" s="2"/>
      <c r="U111" s="2"/>
      <c r="V111" s="19">
        <f t="shared" si="15"/>
        <v>0</v>
      </c>
      <c r="W111" s="2"/>
      <c r="X111" s="2">
        <f t="shared" si="16"/>
        <v>4902</v>
      </c>
      <c r="Y111" s="2"/>
      <c r="Z111" s="19">
        <f t="shared" si="17"/>
        <v>0</v>
      </c>
    </row>
    <row r="112" spans="1:26" s="24" customFormat="1" hidden="1" outlineLevel="1" x14ac:dyDescent="0.25">
      <c r="A112" s="44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37.17</v>
      </c>
      <c r="E112" s="2"/>
      <c r="F112" s="19">
        <f t="shared" si="10"/>
        <v>8.3715201829311206E-5</v>
      </c>
      <c r="G112" s="2"/>
      <c r="H112" s="2"/>
      <c r="I112" s="2"/>
      <c r="J112" s="19">
        <f t="shared" si="11"/>
        <v>0</v>
      </c>
      <c r="K112" s="2"/>
      <c r="L112" s="2">
        <f t="shared" si="12"/>
        <v>37.17</v>
      </c>
      <c r="M112" s="2"/>
      <c r="N112" s="19">
        <f t="shared" si="13"/>
        <v>0</v>
      </c>
      <c r="O112" s="11"/>
      <c r="P112" s="2">
        <v>735.31</v>
      </c>
      <c r="Q112" s="2"/>
      <c r="R112" s="19">
        <f t="shared" si="14"/>
        <v>1.3332464676960181E-4</v>
      </c>
      <c r="S112" s="2"/>
      <c r="T112" s="2"/>
      <c r="U112" s="2"/>
      <c r="V112" s="19">
        <f t="shared" si="15"/>
        <v>0</v>
      </c>
      <c r="W112" s="2"/>
      <c r="X112" s="2">
        <f t="shared" si="16"/>
        <v>735.31</v>
      </c>
      <c r="Y112" s="2"/>
      <c r="Z112" s="19">
        <f t="shared" si="17"/>
        <v>0</v>
      </c>
    </row>
    <row r="113" spans="1:26" s="24" customFormat="1" hidden="1" outlineLevel="1" x14ac:dyDescent="0.25">
      <c r="A113" s="44"/>
      <c r="B113" s="11" t="str">
        <f>CONCATENATE("          ", "5014", " - ", "PURCHASES @ COST-REMAINDERS")</f>
        <v xml:space="preserve">          5014 - PURCHASES @ COST-REMAINDERS</v>
      </c>
      <c r="C113" s="11"/>
      <c r="D113" s="2">
        <v>56.98</v>
      </c>
      <c r="E113" s="2"/>
      <c r="F113" s="19">
        <f t="shared" si="10"/>
        <v>1.2833177832214559E-4</v>
      </c>
      <c r="G113" s="2"/>
      <c r="H113" s="2"/>
      <c r="I113" s="2"/>
      <c r="J113" s="19">
        <f t="shared" si="11"/>
        <v>0</v>
      </c>
      <c r="K113" s="2"/>
      <c r="L113" s="2">
        <f t="shared" si="12"/>
        <v>56.98</v>
      </c>
      <c r="M113" s="2"/>
      <c r="N113" s="19">
        <f t="shared" si="13"/>
        <v>0</v>
      </c>
      <c r="O113" s="11"/>
      <c r="P113" s="2">
        <v>513.79</v>
      </c>
      <c r="Q113" s="2"/>
      <c r="R113" s="19">
        <f t="shared" si="14"/>
        <v>9.3159171320604533E-5</v>
      </c>
      <c r="S113" s="2"/>
      <c r="T113" s="2"/>
      <c r="U113" s="2"/>
      <c r="V113" s="19">
        <f t="shared" si="15"/>
        <v>0</v>
      </c>
      <c r="W113" s="2"/>
      <c r="X113" s="2">
        <f t="shared" si="16"/>
        <v>513.79</v>
      </c>
      <c r="Y113" s="2"/>
      <c r="Z113" s="19">
        <f t="shared" si="17"/>
        <v>0</v>
      </c>
    </row>
    <row r="114" spans="1:26" s="24" customFormat="1" hidden="1" outlineLevel="1" x14ac:dyDescent="0.25">
      <c r="A114" s="44"/>
      <c r="B114" s="11" t="str">
        <f>CONCATENATE("          ", "5017", " - ", "PURCHASES @ COST-DORM/HOUSEWAR")</f>
        <v xml:space="preserve">          5017 - PURCHASES @ COST-DORM/HOUSEWAR</v>
      </c>
      <c r="C114" s="11"/>
      <c r="D114" s="2"/>
      <c r="E114" s="2"/>
      <c r="F114" s="19">
        <f t="shared" si="10"/>
        <v>0</v>
      </c>
      <c r="G114" s="2"/>
      <c r="H114" s="2"/>
      <c r="I114" s="2"/>
      <c r="J114" s="19">
        <f t="shared" si="11"/>
        <v>0</v>
      </c>
      <c r="K114" s="2"/>
      <c r="L114" s="2">
        <f t="shared" si="12"/>
        <v>0</v>
      </c>
      <c r="M114" s="2"/>
      <c r="N114" s="19">
        <f t="shared" si="13"/>
        <v>0</v>
      </c>
      <c r="O114" s="11"/>
      <c r="P114" s="2">
        <v>0</v>
      </c>
      <c r="Q114" s="2"/>
      <c r="R114" s="19">
        <f t="shared" si="14"/>
        <v>0</v>
      </c>
      <c r="S114" s="2"/>
      <c r="T114" s="2"/>
      <c r="U114" s="2"/>
      <c r="V114" s="19">
        <f t="shared" si="15"/>
        <v>0</v>
      </c>
      <c r="W114" s="2"/>
      <c r="X114" s="2">
        <f t="shared" si="16"/>
        <v>0</v>
      </c>
      <c r="Y114" s="2"/>
      <c r="Z114" s="19">
        <f t="shared" si="17"/>
        <v>0</v>
      </c>
    </row>
    <row r="115" spans="1:26" s="24" customFormat="1" hidden="1" outlineLevel="1" x14ac:dyDescent="0.25">
      <c r="A115" s="44"/>
      <c r="B115" s="11" t="str">
        <f>CONCATENATE("          ", "5018", " - ", "PURCHASES @ COST-STUDY GUIDES")</f>
        <v xml:space="preserve">          5018 - PURCHASES @ COST-STUDY GUIDES</v>
      </c>
      <c r="C115" s="11"/>
      <c r="D115" s="2">
        <v>196.31</v>
      </c>
      <c r="E115" s="2"/>
      <c r="F115" s="19">
        <f t="shared" si="10"/>
        <v>4.4213428224676031E-4</v>
      </c>
      <c r="G115" s="2"/>
      <c r="H115" s="2"/>
      <c r="I115" s="2"/>
      <c r="J115" s="19">
        <f t="shared" si="11"/>
        <v>0</v>
      </c>
      <c r="K115" s="2"/>
      <c r="L115" s="2">
        <f t="shared" si="12"/>
        <v>196.31</v>
      </c>
      <c r="M115" s="2"/>
      <c r="N115" s="19">
        <f t="shared" si="13"/>
        <v>0</v>
      </c>
      <c r="O115" s="11"/>
      <c r="P115" s="2">
        <v>998.4</v>
      </c>
      <c r="Q115" s="2"/>
      <c r="R115" s="19">
        <f t="shared" si="14"/>
        <v>1.8102749498139623E-4</v>
      </c>
      <c r="S115" s="2"/>
      <c r="T115" s="2"/>
      <c r="U115" s="2"/>
      <c r="V115" s="19">
        <f t="shared" si="15"/>
        <v>0</v>
      </c>
      <c r="W115" s="2"/>
      <c r="X115" s="2">
        <f t="shared" si="16"/>
        <v>998.4</v>
      </c>
      <c r="Y115" s="2"/>
      <c r="Z115" s="19">
        <f t="shared" si="17"/>
        <v>0</v>
      </c>
    </row>
    <row r="116" spans="1:26" s="24" customFormat="1" hidden="1" outlineLevel="1" x14ac:dyDescent="0.25">
      <c r="A116" s="44"/>
      <c r="B116" s="11" t="str">
        <f>CONCATENATE("          ", "5025", " - ", "PURCHASES @ COST-TEST FORMS")</f>
        <v xml:space="preserve">          5025 - PURCHASES @ COST-TEST FORMS</v>
      </c>
      <c r="C116" s="11"/>
      <c r="D116" s="2">
        <v>0</v>
      </c>
      <c r="E116" s="2"/>
      <c r="F116" s="19">
        <f t="shared" si="10"/>
        <v>0</v>
      </c>
      <c r="G116" s="2"/>
      <c r="H116" s="2"/>
      <c r="I116" s="2"/>
      <c r="J116" s="19">
        <f t="shared" si="11"/>
        <v>0</v>
      </c>
      <c r="K116" s="2"/>
      <c r="L116" s="2">
        <f t="shared" si="12"/>
        <v>0</v>
      </c>
      <c r="M116" s="2"/>
      <c r="N116" s="19">
        <f t="shared" si="13"/>
        <v>0</v>
      </c>
      <c r="O116" s="11"/>
      <c r="P116" s="2">
        <v>22098.390000000003</v>
      </c>
      <c r="Q116" s="2"/>
      <c r="R116" s="19">
        <f t="shared" si="14"/>
        <v>4.0068271081950494E-3</v>
      </c>
      <c r="S116" s="2"/>
      <c r="T116" s="2"/>
      <c r="U116" s="2"/>
      <c r="V116" s="19">
        <f t="shared" si="15"/>
        <v>0</v>
      </c>
      <c r="W116" s="2"/>
      <c r="X116" s="2">
        <f t="shared" si="16"/>
        <v>22098.390000000003</v>
      </c>
      <c r="Y116" s="2"/>
      <c r="Z116" s="19">
        <f t="shared" si="17"/>
        <v>0</v>
      </c>
    </row>
    <row r="117" spans="1:26" s="24" customFormat="1" hidden="1" outlineLevel="1" x14ac:dyDescent="0.25">
      <c r="A117" s="44"/>
      <c r="B117" s="11" t="str">
        <f>CONCATENATE("          ", "5026", " - ", "PURCHASES @ COST-WRITING INSTR")</f>
        <v xml:space="preserve">          5026 - PURCHASES @ COST-WRITING INSTR</v>
      </c>
      <c r="C117" s="11"/>
      <c r="D117" s="2">
        <v>4344.2</v>
      </c>
      <c r="E117" s="2"/>
      <c r="F117" s="19">
        <f t="shared" si="10"/>
        <v>9.7841156789586683E-3</v>
      </c>
      <c r="G117" s="2"/>
      <c r="H117" s="2"/>
      <c r="I117" s="2"/>
      <c r="J117" s="19">
        <f t="shared" si="11"/>
        <v>0</v>
      </c>
      <c r="K117" s="2"/>
      <c r="L117" s="2">
        <f t="shared" si="12"/>
        <v>4344.2</v>
      </c>
      <c r="M117" s="2"/>
      <c r="N117" s="19">
        <f t="shared" si="13"/>
        <v>0</v>
      </c>
      <c r="O117" s="11"/>
      <c r="P117" s="2">
        <v>34294.769999999997</v>
      </c>
      <c r="Q117" s="2"/>
      <c r="R117" s="19">
        <f t="shared" si="14"/>
        <v>6.2182454968581101E-3</v>
      </c>
      <c r="S117" s="2"/>
      <c r="T117" s="2"/>
      <c r="U117" s="2"/>
      <c r="V117" s="19">
        <f t="shared" si="15"/>
        <v>0</v>
      </c>
      <c r="W117" s="2"/>
      <c r="X117" s="2">
        <f t="shared" si="16"/>
        <v>34294.769999999997</v>
      </c>
      <c r="Y117" s="2"/>
      <c r="Z117" s="19">
        <f t="shared" si="17"/>
        <v>0</v>
      </c>
    </row>
    <row r="118" spans="1:26" s="24" customFormat="1" hidden="1" outlineLevel="1" x14ac:dyDescent="0.25">
      <c r="A118" s="44"/>
      <c r="B118" s="11" t="str">
        <f>CONCATENATE("          ", "5027", " - ", "PURCHASES @ COST-SCHOOL SUPPLI")</f>
        <v xml:space="preserve">          5027 - PURCHASES @ COST-SCHOOL SUPPLI</v>
      </c>
      <c r="C118" s="11"/>
      <c r="D118" s="2">
        <v>2493.64</v>
      </c>
      <c r="E118" s="2"/>
      <c r="F118" s="19">
        <f t="shared" si="10"/>
        <v>5.6162382536896309E-3</v>
      </c>
      <c r="G118" s="2"/>
      <c r="H118" s="2"/>
      <c r="I118" s="2"/>
      <c r="J118" s="19">
        <f t="shared" si="11"/>
        <v>0</v>
      </c>
      <c r="K118" s="2"/>
      <c r="L118" s="2">
        <f t="shared" si="12"/>
        <v>2493.64</v>
      </c>
      <c r="M118" s="2"/>
      <c r="N118" s="19">
        <f t="shared" si="13"/>
        <v>0</v>
      </c>
      <c r="O118" s="11"/>
      <c r="P118" s="2">
        <v>78000</v>
      </c>
      <c r="Q118" s="2"/>
      <c r="R118" s="19">
        <f t="shared" si="14"/>
        <v>1.4142773045421581E-2</v>
      </c>
      <c r="S118" s="2"/>
      <c r="T118" s="2"/>
      <c r="U118" s="2"/>
      <c r="V118" s="19">
        <f t="shared" si="15"/>
        <v>0</v>
      </c>
      <c r="W118" s="2"/>
      <c r="X118" s="2">
        <f t="shared" si="16"/>
        <v>78000</v>
      </c>
      <c r="Y118" s="2"/>
      <c r="Z118" s="19">
        <f t="shared" si="17"/>
        <v>0</v>
      </c>
    </row>
    <row r="119" spans="1:26" s="24" customFormat="1" hidden="1" outlineLevel="1" x14ac:dyDescent="0.25">
      <c r="A119" s="44"/>
      <c r="B119" s="11" t="str">
        <f>CONCATENATE("          ", "5028", " - ", "PURCHASES @ COST-ART/TECH")</f>
        <v xml:space="preserve">          5028 - PURCHASES @ COST-ART/TECH</v>
      </c>
      <c r="C119" s="11"/>
      <c r="D119" s="2">
        <v>7730.31</v>
      </c>
      <c r="E119" s="2"/>
      <c r="F119" s="19">
        <f t="shared" si="10"/>
        <v>1.7410397144286861E-2</v>
      </c>
      <c r="G119" s="2"/>
      <c r="H119" s="2"/>
      <c r="I119" s="2"/>
      <c r="J119" s="19">
        <f t="shared" si="11"/>
        <v>0</v>
      </c>
      <c r="K119" s="2"/>
      <c r="L119" s="2">
        <f t="shared" si="12"/>
        <v>7730.31</v>
      </c>
      <c r="M119" s="2"/>
      <c r="N119" s="19">
        <f t="shared" si="13"/>
        <v>0</v>
      </c>
      <c r="O119" s="11"/>
      <c r="P119" s="2">
        <v>103000.81999999999</v>
      </c>
      <c r="Q119" s="2"/>
      <c r="R119" s="19">
        <f t="shared" si="14"/>
        <v>1.8675861804516924E-2</v>
      </c>
      <c r="S119" s="2"/>
      <c r="T119" s="2"/>
      <c r="U119" s="2"/>
      <c r="V119" s="19">
        <f t="shared" si="15"/>
        <v>0</v>
      </c>
      <c r="W119" s="2"/>
      <c r="X119" s="2">
        <f t="shared" si="16"/>
        <v>103000.81999999999</v>
      </c>
      <c r="Y119" s="2"/>
      <c r="Z119" s="19">
        <f t="shared" si="17"/>
        <v>0</v>
      </c>
    </row>
    <row r="120" spans="1:26" s="24" customFormat="1" hidden="1" outlineLevel="1" x14ac:dyDescent="0.25">
      <c r="A120" s="44"/>
      <c r="B120" s="11" t="str">
        <f>CONCATENATE("          ", "5031", " - ", "PURCHASES @ COST-FOOD")</f>
        <v xml:space="preserve">          5031 - PURCHASES @ COST-FOOD</v>
      </c>
      <c r="C120" s="11"/>
      <c r="D120" s="2">
        <v>1695.24</v>
      </c>
      <c r="E120" s="2"/>
      <c r="F120" s="19">
        <f t="shared" si="10"/>
        <v>3.8180618442055828E-3</v>
      </c>
      <c r="G120" s="2"/>
      <c r="H120" s="2"/>
      <c r="I120" s="2"/>
      <c r="J120" s="19">
        <f t="shared" si="11"/>
        <v>0</v>
      </c>
      <c r="K120" s="2"/>
      <c r="L120" s="2">
        <f t="shared" si="12"/>
        <v>1695.24</v>
      </c>
      <c r="M120" s="2"/>
      <c r="N120" s="19">
        <f t="shared" si="13"/>
        <v>0</v>
      </c>
      <c r="O120" s="11"/>
      <c r="P120" s="2">
        <v>22509.73</v>
      </c>
      <c r="Q120" s="2"/>
      <c r="R120" s="19">
        <f t="shared" si="14"/>
        <v>4.0814102910733015E-3</v>
      </c>
      <c r="S120" s="2"/>
      <c r="T120" s="2"/>
      <c r="U120" s="2"/>
      <c r="V120" s="19">
        <f t="shared" si="15"/>
        <v>0</v>
      </c>
      <c r="W120" s="2"/>
      <c r="X120" s="2">
        <f t="shared" si="16"/>
        <v>22509.73</v>
      </c>
      <c r="Y120" s="2"/>
      <c r="Z120" s="19">
        <f t="shared" si="17"/>
        <v>0</v>
      </c>
    </row>
    <row r="121" spans="1:26" s="24" customFormat="1" hidden="1" outlineLevel="1" x14ac:dyDescent="0.25">
      <c r="A121" s="44"/>
      <c r="B121" s="11" t="str">
        <f>CONCATENATE("          ", "5032", " - ", "PURCHASES @ COST-JUICE")</f>
        <v xml:space="preserve">          5032 - PURCHASES @ COST-JUICE</v>
      </c>
      <c r="C121" s="11"/>
      <c r="D121" s="2">
        <v>358.99</v>
      </c>
      <c r="E121" s="2"/>
      <c r="F121" s="19">
        <f t="shared" si="10"/>
        <v>8.0852623902890578E-4</v>
      </c>
      <c r="G121" s="2"/>
      <c r="H121" s="2"/>
      <c r="I121" s="2"/>
      <c r="J121" s="19">
        <f t="shared" si="11"/>
        <v>0</v>
      </c>
      <c r="K121" s="2"/>
      <c r="L121" s="2">
        <f t="shared" si="12"/>
        <v>358.99</v>
      </c>
      <c r="M121" s="2"/>
      <c r="N121" s="19">
        <f t="shared" si="13"/>
        <v>0</v>
      </c>
      <c r="O121" s="11"/>
      <c r="P121" s="2">
        <v>5021.4799999999996</v>
      </c>
      <c r="Q121" s="2"/>
      <c r="R121" s="19">
        <f t="shared" si="14"/>
        <v>9.1048271784773785E-4</v>
      </c>
      <c r="S121" s="2"/>
      <c r="T121" s="2"/>
      <c r="U121" s="2"/>
      <c r="V121" s="19">
        <f t="shared" si="15"/>
        <v>0</v>
      </c>
      <c r="W121" s="2"/>
      <c r="X121" s="2">
        <f t="shared" si="16"/>
        <v>5021.4799999999996</v>
      </c>
      <c r="Y121" s="2"/>
      <c r="Z121" s="19">
        <f t="shared" si="17"/>
        <v>0</v>
      </c>
    </row>
    <row r="122" spans="1:26" s="24" customFormat="1" hidden="1" outlineLevel="1" x14ac:dyDescent="0.25">
      <c r="A122" s="44"/>
      <c r="B122" s="11" t="str">
        <f>CONCATENATE("          ", "5033", " - ", "PURCHASES @ COST-CANDY")</f>
        <v xml:space="preserve">          5033 - PURCHASES @ COST-CANDY</v>
      </c>
      <c r="C122" s="11"/>
      <c r="D122" s="2">
        <v>260.19</v>
      </c>
      <c r="E122" s="2"/>
      <c r="F122" s="19">
        <f t="shared" si="10"/>
        <v>5.8600641280517841E-4</v>
      </c>
      <c r="G122" s="2"/>
      <c r="H122" s="2"/>
      <c r="I122" s="2"/>
      <c r="J122" s="19">
        <f t="shared" si="11"/>
        <v>0</v>
      </c>
      <c r="K122" s="2"/>
      <c r="L122" s="2">
        <f t="shared" si="12"/>
        <v>260.19</v>
      </c>
      <c r="M122" s="2"/>
      <c r="N122" s="19">
        <f t="shared" si="13"/>
        <v>0</v>
      </c>
      <c r="O122" s="11"/>
      <c r="P122" s="2">
        <v>6197.93</v>
      </c>
      <c r="Q122" s="2"/>
      <c r="R122" s="19">
        <f t="shared" si="14"/>
        <v>1.1237938120693561E-3</v>
      </c>
      <c r="S122" s="2"/>
      <c r="T122" s="2"/>
      <c r="U122" s="2"/>
      <c r="V122" s="19">
        <f t="shared" si="15"/>
        <v>0</v>
      </c>
      <c r="W122" s="2"/>
      <c r="X122" s="2">
        <f t="shared" si="16"/>
        <v>6197.93</v>
      </c>
      <c r="Y122" s="2"/>
      <c r="Z122" s="19">
        <f t="shared" si="17"/>
        <v>0</v>
      </c>
    </row>
    <row r="123" spans="1:26" s="24" customFormat="1" hidden="1" outlineLevel="1" x14ac:dyDescent="0.25">
      <c r="A123" s="44"/>
      <c r="B123" s="11" t="str">
        <f>CONCATENATE("          ", "5034", " - ", "PURCHASES @ COST-SODA")</f>
        <v xml:space="preserve">          5034 - PURCHASES @ COST-SODA</v>
      </c>
      <c r="C123" s="11"/>
      <c r="D123" s="2">
        <v>42.24</v>
      </c>
      <c r="E123" s="2"/>
      <c r="F123" s="19">
        <f t="shared" si="10"/>
        <v>9.5133982385528799E-5</v>
      </c>
      <c r="G123" s="2"/>
      <c r="H123" s="2"/>
      <c r="I123" s="2"/>
      <c r="J123" s="19">
        <f t="shared" si="11"/>
        <v>0</v>
      </c>
      <c r="K123" s="2"/>
      <c r="L123" s="2">
        <f t="shared" si="12"/>
        <v>42.24</v>
      </c>
      <c r="M123" s="2"/>
      <c r="N123" s="19">
        <f t="shared" si="13"/>
        <v>0</v>
      </c>
      <c r="O123" s="11"/>
      <c r="P123" s="2">
        <v>2124.16</v>
      </c>
      <c r="Q123" s="2"/>
      <c r="R123" s="19">
        <f t="shared" si="14"/>
        <v>3.8514759989952184E-4</v>
      </c>
      <c r="S123" s="2"/>
      <c r="T123" s="2"/>
      <c r="U123" s="2"/>
      <c r="V123" s="19">
        <f t="shared" si="15"/>
        <v>0</v>
      </c>
      <c r="W123" s="2"/>
      <c r="X123" s="2">
        <f t="shared" si="16"/>
        <v>2124.16</v>
      </c>
      <c r="Y123" s="2"/>
      <c r="Z123" s="19">
        <f t="shared" si="17"/>
        <v>0</v>
      </c>
    </row>
    <row r="124" spans="1:26" s="24" customFormat="1" hidden="1" outlineLevel="1" x14ac:dyDescent="0.25">
      <c r="A124" s="44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>
        <v>23.17</v>
      </c>
      <c r="E124" s="2"/>
      <c r="F124" s="19">
        <f t="shared" si="10"/>
        <v>5.2184052364410565E-5</v>
      </c>
      <c r="G124" s="2"/>
      <c r="H124" s="2"/>
      <c r="I124" s="2"/>
      <c r="J124" s="19">
        <f t="shared" si="11"/>
        <v>0</v>
      </c>
      <c r="K124" s="2"/>
      <c r="L124" s="2">
        <f t="shared" si="12"/>
        <v>23.17</v>
      </c>
      <c r="M124" s="2"/>
      <c r="N124" s="19">
        <f t="shared" si="13"/>
        <v>0</v>
      </c>
      <c r="O124" s="11"/>
      <c r="P124" s="2">
        <v>824.38</v>
      </c>
      <c r="Q124" s="2"/>
      <c r="R124" s="19">
        <f t="shared" si="14"/>
        <v>1.4947460568185439E-4</v>
      </c>
      <c r="S124" s="2"/>
      <c r="T124" s="2"/>
      <c r="U124" s="2"/>
      <c r="V124" s="19">
        <f t="shared" si="15"/>
        <v>0</v>
      </c>
      <c r="W124" s="2"/>
      <c r="X124" s="2">
        <f t="shared" si="16"/>
        <v>824.38</v>
      </c>
      <c r="Y124" s="2"/>
      <c r="Z124" s="19">
        <f t="shared" si="17"/>
        <v>0</v>
      </c>
    </row>
    <row r="125" spans="1:26" s="24" customFormat="1" hidden="1" outlineLevel="1" x14ac:dyDescent="0.25">
      <c r="A125" s="44"/>
      <c r="B125" s="11" t="str">
        <f>CONCATENATE("          ", "5037", " - ", "PURCHASES @ COST-WATER")</f>
        <v xml:space="preserve">          5037 - PURCHASES @ COST-WATER</v>
      </c>
      <c r="C125" s="11"/>
      <c r="D125" s="2">
        <v>235.9</v>
      </c>
      <c r="E125" s="2"/>
      <c r="F125" s="19">
        <f t="shared" si="10"/>
        <v>5.312998684835758E-4</v>
      </c>
      <c r="G125" s="2"/>
      <c r="H125" s="2"/>
      <c r="I125" s="2"/>
      <c r="J125" s="19">
        <f t="shared" si="11"/>
        <v>0</v>
      </c>
      <c r="K125" s="2"/>
      <c r="L125" s="2">
        <f t="shared" si="12"/>
        <v>235.9</v>
      </c>
      <c r="M125" s="2"/>
      <c r="N125" s="19">
        <f t="shared" si="13"/>
        <v>0</v>
      </c>
      <c r="O125" s="11"/>
      <c r="P125" s="2">
        <v>3759.27</v>
      </c>
      <c r="Q125" s="2"/>
      <c r="R125" s="19">
        <f t="shared" si="14"/>
        <v>6.8162182598028188E-4</v>
      </c>
      <c r="S125" s="2"/>
      <c r="T125" s="2"/>
      <c r="U125" s="2"/>
      <c r="V125" s="19">
        <f t="shared" si="15"/>
        <v>0</v>
      </c>
      <c r="W125" s="2"/>
      <c r="X125" s="2">
        <f t="shared" si="16"/>
        <v>3759.27</v>
      </c>
      <c r="Y125" s="2"/>
      <c r="Z125" s="19">
        <f t="shared" si="17"/>
        <v>0</v>
      </c>
    </row>
    <row r="126" spans="1:26" s="24" customFormat="1" hidden="1" outlineLevel="1" x14ac:dyDescent="0.25">
      <c r="A126" s="44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97946.53</v>
      </c>
      <c r="E126" s="2"/>
      <c r="F126" s="19">
        <f t="shared" si="10"/>
        <v>0.22059761978559816</v>
      </c>
      <c r="G126" s="2"/>
      <c r="H126" s="2"/>
      <c r="I126" s="2"/>
      <c r="J126" s="19">
        <f t="shared" si="11"/>
        <v>0</v>
      </c>
      <c r="K126" s="2"/>
      <c r="L126" s="2">
        <f t="shared" si="12"/>
        <v>97946.53</v>
      </c>
      <c r="M126" s="2"/>
      <c r="N126" s="19">
        <f t="shared" si="13"/>
        <v>0</v>
      </c>
      <c r="O126" s="11"/>
      <c r="P126" s="2">
        <v>716238.84000000008</v>
      </c>
      <c r="Q126" s="2"/>
      <c r="R126" s="19">
        <f t="shared" si="14"/>
        <v>0.12986670974917977</v>
      </c>
      <c r="S126" s="2"/>
      <c r="T126" s="2"/>
      <c r="U126" s="2"/>
      <c r="V126" s="19">
        <f t="shared" si="15"/>
        <v>0</v>
      </c>
      <c r="W126" s="2"/>
      <c r="X126" s="2">
        <f t="shared" si="16"/>
        <v>716238.84000000008</v>
      </c>
      <c r="Y126" s="2"/>
      <c r="Z126" s="19">
        <f t="shared" si="17"/>
        <v>0</v>
      </c>
    </row>
    <row r="127" spans="1:26" s="24" customFormat="1" hidden="1" outlineLevel="1" x14ac:dyDescent="0.25">
      <c r="A127" s="44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20607.12</v>
      </c>
      <c r="E127" s="2"/>
      <c r="F127" s="19">
        <f t="shared" si="10"/>
        <v>4.6411870054367373E-2</v>
      </c>
      <c r="G127" s="2"/>
      <c r="H127" s="2"/>
      <c r="I127" s="2"/>
      <c r="J127" s="19">
        <f t="shared" si="11"/>
        <v>0</v>
      </c>
      <c r="K127" s="2"/>
      <c r="L127" s="2">
        <f t="shared" si="12"/>
        <v>20607.12</v>
      </c>
      <c r="M127" s="2"/>
      <c r="N127" s="19">
        <f t="shared" si="13"/>
        <v>0</v>
      </c>
      <c r="O127" s="11"/>
      <c r="P127" s="2">
        <v>109403.67</v>
      </c>
      <c r="Q127" s="2"/>
      <c r="R127" s="19">
        <f t="shared" si="14"/>
        <v>1.9836811219823045E-2</v>
      </c>
      <c r="S127" s="2"/>
      <c r="T127" s="2"/>
      <c r="U127" s="2"/>
      <c r="V127" s="19">
        <f t="shared" si="15"/>
        <v>0</v>
      </c>
      <c r="W127" s="2"/>
      <c r="X127" s="2">
        <f t="shared" si="16"/>
        <v>109403.67</v>
      </c>
      <c r="Y127" s="2"/>
      <c r="Z127" s="19">
        <f t="shared" si="17"/>
        <v>0</v>
      </c>
    </row>
    <row r="128" spans="1:26" s="24" customFormat="1" hidden="1" outlineLevel="1" x14ac:dyDescent="0.25">
      <c r="A128" s="44"/>
      <c r="B128" s="11" t="str">
        <f>CONCATENATE("          ", "5042", " - ", "PURCHASES @ COST-EVERYDAY GIFT")</f>
        <v xml:space="preserve">          5042 - PURCHASES @ COST-EVERYDAY GIFT</v>
      </c>
      <c r="C128" s="11"/>
      <c r="D128" s="2">
        <v>7822.79</v>
      </c>
      <c r="E128" s="2"/>
      <c r="F128" s="19">
        <f t="shared" si="10"/>
        <v>1.761868290875215E-2</v>
      </c>
      <c r="G128" s="2"/>
      <c r="H128" s="2"/>
      <c r="I128" s="2"/>
      <c r="J128" s="19">
        <f t="shared" si="11"/>
        <v>0</v>
      </c>
      <c r="K128" s="2"/>
      <c r="L128" s="2">
        <f t="shared" si="12"/>
        <v>7822.79</v>
      </c>
      <c r="M128" s="2"/>
      <c r="N128" s="19">
        <f t="shared" si="13"/>
        <v>0</v>
      </c>
      <c r="O128" s="11"/>
      <c r="P128" s="2">
        <v>88388.11</v>
      </c>
      <c r="Q128" s="2"/>
      <c r="R128" s="19">
        <f t="shared" si="14"/>
        <v>1.6026320251843047E-2</v>
      </c>
      <c r="S128" s="2"/>
      <c r="T128" s="2"/>
      <c r="U128" s="2"/>
      <c r="V128" s="19">
        <f t="shared" si="15"/>
        <v>0</v>
      </c>
      <c r="W128" s="2"/>
      <c r="X128" s="2">
        <f t="shared" si="16"/>
        <v>88388.11</v>
      </c>
      <c r="Y128" s="2"/>
      <c r="Z128" s="19">
        <f t="shared" si="17"/>
        <v>0</v>
      </c>
    </row>
    <row r="129" spans="1:26" s="24" customFormat="1" hidden="1" outlineLevel="1" x14ac:dyDescent="0.25">
      <c r="A129" s="44"/>
      <c r="B129" s="11" t="str">
        <f>CONCATENATE("          ", "5043", " - ", "PURCHASES @ COST-CARDS")</f>
        <v xml:space="preserve">          5043 - PURCHASES @ COST-CARDS</v>
      </c>
      <c r="C129" s="11"/>
      <c r="D129" s="2">
        <v>3256.15</v>
      </c>
      <c r="E129" s="2"/>
      <c r="F129" s="19">
        <f t="shared" si="10"/>
        <v>7.3335823092954442E-3</v>
      </c>
      <c r="G129" s="2"/>
      <c r="H129" s="2"/>
      <c r="I129" s="2"/>
      <c r="J129" s="19">
        <f t="shared" si="11"/>
        <v>0</v>
      </c>
      <c r="K129" s="2"/>
      <c r="L129" s="2">
        <f t="shared" si="12"/>
        <v>3256.15</v>
      </c>
      <c r="M129" s="2"/>
      <c r="N129" s="19">
        <f t="shared" si="13"/>
        <v>0</v>
      </c>
      <c r="O129" s="11"/>
      <c r="P129" s="2">
        <v>6784.89</v>
      </c>
      <c r="Q129" s="2"/>
      <c r="R129" s="19">
        <f t="shared" si="14"/>
        <v>1.230219992412185E-3</v>
      </c>
      <c r="S129" s="2"/>
      <c r="T129" s="2"/>
      <c r="U129" s="2"/>
      <c r="V129" s="19">
        <f t="shared" si="15"/>
        <v>0</v>
      </c>
      <c r="W129" s="2"/>
      <c r="X129" s="2">
        <f t="shared" si="16"/>
        <v>6784.89</v>
      </c>
      <c r="Y129" s="2"/>
      <c r="Z129" s="19">
        <f t="shared" si="17"/>
        <v>0</v>
      </c>
    </row>
    <row r="130" spans="1:26" s="24" customFormat="1" hidden="1" outlineLevel="1" x14ac:dyDescent="0.25">
      <c r="A130" s="44"/>
      <c r="B130" s="11" t="str">
        <f>CONCATENATE("          ", "5044", " - ", "PURCHASES @ COST-ACCESSORIES")</f>
        <v xml:space="preserve">          5044 - PURCHASES @ COST-ACCESSORIES</v>
      </c>
      <c r="C130" s="11"/>
      <c r="D130" s="2">
        <v>432</v>
      </c>
      <c r="E130" s="2"/>
      <c r="F130" s="19">
        <f t="shared" si="10"/>
        <v>9.7296118348836258E-4</v>
      </c>
      <c r="G130" s="2"/>
      <c r="H130" s="2"/>
      <c r="I130" s="2"/>
      <c r="J130" s="19">
        <f t="shared" si="11"/>
        <v>0</v>
      </c>
      <c r="K130" s="2"/>
      <c r="L130" s="2">
        <f t="shared" si="12"/>
        <v>432</v>
      </c>
      <c r="M130" s="2"/>
      <c r="N130" s="19">
        <f t="shared" si="13"/>
        <v>0</v>
      </c>
      <c r="O130" s="11"/>
      <c r="P130" s="2">
        <v>17687.580000000002</v>
      </c>
      <c r="Q130" s="2"/>
      <c r="R130" s="19">
        <f t="shared" si="14"/>
        <v>3.2070696110607418E-3</v>
      </c>
      <c r="S130" s="2"/>
      <c r="T130" s="2"/>
      <c r="U130" s="2"/>
      <c r="V130" s="19">
        <f t="shared" si="15"/>
        <v>0</v>
      </c>
      <c r="W130" s="2"/>
      <c r="X130" s="2">
        <f t="shared" si="16"/>
        <v>17687.580000000002</v>
      </c>
      <c r="Y130" s="2"/>
      <c r="Z130" s="19">
        <f t="shared" si="17"/>
        <v>0</v>
      </c>
    </row>
    <row r="131" spans="1:26" s="24" customFormat="1" hidden="1" outlineLevel="1" x14ac:dyDescent="0.25">
      <c r="A131" s="44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-1045.9100000000001</v>
      </c>
      <c r="E131" s="2"/>
      <c r="F131" s="19">
        <f t="shared" si="10"/>
        <v>-2.3556246097738735E-3</v>
      </c>
      <c r="G131" s="2"/>
      <c r="H131" s="2"/>
      <c r="I131" s="2"/>
      <c r="J131" s="19">
        <f t="shared" si="11"/>
        <v>0</v>
      </c>
      <c r="K131" s="2"/>
      <c r="L131" s="2">
        <f t="shared" si="12"/>
        <v>-1045.9100000000001</v>
      </c>
      <c r="M131" s="2"/>
      <c r="N131" s="19">
        <f t="shared" si="13"/>
        <v>0</v>
      </c>
      <c r="O131" s="11"/>
      <c r="P131" s="2">
        <v>41180.579999999994</v>
      </c>
      <c r="Q131" s="2"/>
      <c r="R131" s="19">
        <f t="shared" si="14"/>
        <v>7.4667640617798329E-3</v>
      </c>
      <c r="S131" s="2"/>
      <c r="T131" s="2"/>
      <c r="U131" s="2"/>
      <c r="V131" s="19">
        <f t="shared" si="15"/>
        <v>0</v>
      </c>
      <c r="W131" s="2"/>
      <c r="X131" s="2">
        <f t="shared" si="16"/>
        <v>41180.579999999994</v>
      </c>
      <c r="Y131" s="2"/>
      <c r="Z131" s="19">
        <f t="shared" si="17"/>
        <v>0</v>
      </c>
    </row>
    <row r="132" spans="1:26" s="24" customFormat="1" hidden="1" outlineLevel="1" x14ac:dyDescent="0.25">
      <c r="A132" s="44"/>
      <c r="B132" s="11" t="str">
        <f>CONCATENATE("          ", "5081", " - ", "PURCHASES @ COST-ELECTRONICS")</f>
        <v xml:space="preserve">          5081 - PURCHASES @ COST-ELECTRONICS</v>
      </c>
      <c r="C132" s="11"/>
      <c r="D132" s="2">
        <v>526.74</v>
      </c>
      <c r="E132" s="2"/>
      <c r="F132" s="19">
        <f t="shared" si="10"/>
        <v>1.1863369763672688E-3</v>
      </c>
      <c r="G132" s="2"/>
      <c r="H132" s="2"/>
      <c r="I132" s="2"/>
      <c r="J132" s="19">
        <f t="shared" si="11"/>
        <v>0</v>
      </c>
      <c r="K132" s="2"/>
      <c r="L132" s="2">
        <f t="shared" si="12"/>
        <v>526.74</v>
      </c>
      <c r="M132" s="2"/>
      <c r="N132" s="19">
        <f t="shared" si="13"/>
        <v>0</v>
      </c>
      <c r="O132" s="11"/>
      <c r="P132" s="2">
        <v>1771.55</v>
      </c>
      <c r="Q132" s="2"/>
      <c r="R132" s="19">
        <f t="shared" si="14"/>
        <v>3.2121319985405896E-4</v>
      </c>
      <c r="S132" s="2"/>
      <c r="T132" s="2"/>
      <c r="U132" s="2"/>
      <c r="V132" s="19">
        <f t="shared" si="15"/>
        <v>0</v>
      </c>
      <c r="W132" s="2"/>
      <c r="X132" s="2">
        <f t="shared" si="16"/>
        <v>1771.55</v>
      </c>
      <c r="Y132" s="2"/>
      <c r="Z132" s="19">
        <f t="shared" si="17"/>
        <v>0</v>
      </c>
    </row>
    <row r="133" spans="1:26" s="24" customFormat="1" hidden="1" outlineLevel="1" x14ac:dyDescent="0.25">
      <c r="A133" s="44"/>
      <c r="B133" s="11" t="str">
        <f>CONCATENATE("          ", "5082", " - ", "PURCHASES @ COST-COMPUTER HARD")</f>
        <v xml:space="preserve">          5082 - PURCHASES @ COST-COMPUTER HARD</v>
      </c>
      <c r="C133" s="11"/>
      <c r="D133" s="2">
        <v>105</v>
      </c>
      <c r="E133" s="2"/>
      <c r="F133" s="19">
        <f t="shared" si="10"/>
        <v>2.3648362098675481E-4</v>
      </c>
      <c r="G133" s="2"/>
      <c r="H133" s="2"/>
      <c r="I133" s="2"/>
      <c r="J133" s="19">
        <f t="shared" si="11"/>
        <v>0</v>
      </c>
      <c r="K133" s="2"/>
      <c r="L133" s="2">
        <f t="shared" si="12"/>
        <v>105</v>
      </c>
      <c r="M133" s="2"/>
      <c r="N133" s="19">
        <f t="shared" si="13"/>
        <v>0</v>
      </c>
      <c r="O133" s="11"/>
      <c r="P133" s="2">
        <v>349.6</v>
      </c>
      <c r="Q133" s="2"/>
      <c r="R133" s="19">
        <f t="shared" si="14"/>
        <v>6.3388634059992116E-5</v>
      </c>
      <c r="S133" s="2"/>
      <c r="T133" s="2"/>
      <c r="U133" s="2"/>
      <c r="V133" s="19">
        <f t="shared" si="15"/>
        <v>0</v>
      </c>
      <c r="W133" s="2"/>
      <c r="X133" s="2">
        <f t="shared" si="16"/>
        <v>349.6</v>
      </c>
      <c r="Y133" s="2"/>
      <c r="Z133" s="19">
        <f t="shared" si="17"/>
        <v>0</v>
      </c>
    </row>
    <row r="134" spans="1:26" s="24" customFormat="1" hidden="1" outlineLevel="1" x14ac:dyDescent="0.25">
      <c r="A134" s="44"/>
      <c r="B134" s="11" t="str">
        <f>CONCATENATE("          ", "5083", " - ", "PURCHASES @ COST-COMPUTER EQUI")</f>
        <v xml:space="preserve">          5083 - PURCHASES @ COST-COMPUTER EQUI</v>
      </c>
      <c r="C134" s="11"/>
      <c r="D134" s="2">
        <v>147.19999999999999</v>
      </c>
      <c r="E134" s="2"/>
      <c r="F134" s="19">
        <f t="shared" si="10"/>
        <v>3.315275143738124E-4</v>
      </c>
      <c r="G134" s="2"/>
      <c r="H134" s="2"/>
      <c r="I134" s="2"/>
      <c r="J134" s="19">
        <f t="shared" si="11"/>
        <v>0</v>
      </c>
      <c r="K134" s="2"/>
      <c r="L134" s="2">
        <f t="shared" si="12"/>
        <v>147.19999999999999</v>
      </c>
      <c r="M134" s="2"/>
      <c r="N134" s="19">
        <f t="shared" si="13"/>
        <v>0</v>
      </c>
      <c r="O134" s="11"/>
      <c r="P134" s="2">
        <v>379.35</v>
      </c>
      <c r="Q134" s="2"/>
      <c r="R134" s="19">
        <f t="shared" si="14"/>
        <v>6.8782832753598426E-5</v>
      </c>
      <c r="S134" s="2"/>
      <c r="T134" s="2"/>
      <c r="U134" s="2"/>
      <c r="V134" s="19">
        <f t="shared" si="15"/>
        <v>0</v>
      </c>
      <c r="W134" s="2"/>
      <c r="X134" s="2">
        <f t="shared" si="16"/>
        <v>379.35</v>
      </c>
      <c r="Y134" s="2"/>
      <c r="Z134" s="19">
        <f t="shared" si="17"/>
        <v>0</v>
      </c>
    </row>
    <row r="135" spans="1:26" s="24" customFormat="1" hidden="1" outlineLevel="1" x14ac:dyDescent="0.25">
      <c r="A135" s="44"/>
      <c r="B135" s="11" t="str">
        <f>CONCATENATE("          ", "5086", " - ", "PURCHASES @ COST-COMPUTER SUPP")</f>
        <v xml:space="preserve">          5086 - PURCHASES @ COST-COMPUTER SUPP</v>
      </c>
      <c r="C135" s="11"/>
      <c r="D135" s="2">
        <v>151.26</v>
      </c>
      <c r="E135" s="2"/>
      <c r="F135" s="19">
        <f t="shared" si="10"/>
        <v>3.406715477186336E-4</v>
      </c>
      <c r="G135" s="2"/>
      <c r="H135" s="2"/>
      <c r="I135" s="2"/>
      <c r="J135" s="19">
        <f t="shared" si="11"/>
        <v>0</v>
      </c>
      <c r="K135" s="2"/>
      <c r="L135" s="2">
        <f t="shared" si="12"/>
        <v>151.26</v>
      </c>
      <c r="M135" s="2"/>
      <c r="N135" s="19">
        <f t="shared" si="13"/>
        <v>0</v>
      </c>
      <c r="O135" s="11"/>
      <c r="P135" s="2">
        <v>379.26</v>
      </c>
      <c r="Q135" s="2"/>
      <c r="R135" s="19">
        <f t="shared" si="14"/>
        <v>6.8766514169315237E-5</v>
      </c>
      <c r="S135" s="2"/>
      <c r="T135" s="2"/>
      <c r="U135" s="2"/>
      <c r="V135" s="19">
        <f t="shared" si="15"/>
        <v>0</v>
      </c>
      <c r="W135" s="2"/>
      <c r="X135" s="2">
        <f t="shared" si="16"/>
        <v>379.26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"5092", " - ", "PURCHASES @ COST-GRAD MERCH")</f>
        <v xml:space="preserve">          5092 - PURCHASES @ COST-GRAD MERCH</v>
      </c>
      <c r="C136" s="11"/>
      <c r="D136" s="2"/>
      <c r="E136" s="2"/>
      <c r="F136" s="19">
        <f t="shared" si="10"/>
        <v>0</v>
      </c>
      <c r="G136" s="2"/>
      <c r="H136" s="2"/>
      <c r="I136" s="2"/>
      <c r="J136" s="19">
        <f t="shared" si="11"/>
        <v>0</v>
      </c>
      <c r="K136" s="2"/>
      <c r="L136" s="2">
        <f t="shared" si="12"/>
        <v>0</v>
      </c>
      <c r="M136" s="2"/>
      <c r="N136" s="19">
        <f t="shared" si="13"/>
        <v>0</v>
      </c>
      <c r="O136" s="11"/>
      <c r="P136" s="2">
        <v>1924.14</v>
      </c>
      <c r="Q136" s="2"/>
      <c r="R136" s="19">
        <f t="shared" si="14"/>
        <v>3.4888045291817284E-4</v>
      </c>
      <c r="S136" s="2"/>
      <c r="T136" s="2"/>
      <c r="U136" s="2"/>
      <c r="V136" s="19">
        <f t="shared" si="15"/>
        <v>0</v>
      </c>
      <c r="W136" s="2"/>
      <c r="X136" s="2">
        <f t="shared" si="16"/>
        <v>1924.14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"5095", " - ", "PURCHASES @ COST-CUSTOMER SERV")</f>
        <v xml:space="preserve">          5095 - PURCHASES @ COST-CUSTOMER SERV</v>
      </c>
      <c r="C137" s="11"/>
      <c r="D137" s="2"/>
      <c r="E137" s="2"/>
      <c r="F137" s="19">
        <f t="shared" si="10"/>
        <v>0</v>
      </c>
      <c r="G137" s="2"/>
      <c r="H137" s="2"/>
      <c r="I137" s="2"/>
      <c r="J137" s="19">
        <f t="shared" si="11"/>
        <v>0</v>
      </c>
      <c r="K137" s="2"/>
      <c r="L137" s="2">
        <f t="shared" si="12"/>
        <v>0</v>
      </c>
      <c r="M137" s="2"/>
      <c r="N137" s="19">
        <f t="shared" si="13"/>
        <v>0</v>
      </c>
      <c r="O137" s="11"/>
      <c r="P137" s="2">
        <v>0</v>
      </c>
      <c r="Q137" s="2"/>
      <c r="R137" s="19">
        <f t="shared" si="14"/>
        <v>0</v>
      </c>
      <c r="S137" s="2"/>
      <c r="T137" s="2"/>
      <c r="U137" s="2"/>
      <c r="V137" s="19">
        <f t="shared" si="15"/>
        <v>0</v>
      </c>
      <c r="W137" s="2"/>
      <c r="X137" s="2">
        <f t="shared" si="16"/>
        <v>0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"5200", " - ", "PURCHASES OFFSET")</f>
        <v xml:space="preserve">          5200 - PURCHASES OFFSET</v>
      </c>
      <c r="C138" s="11"/>
      <c r="D138" s="2">
        <v>-362376</v>
      </c>
      <c r="E138" s="2"/>
      <c r="F138" s="19">
        <f t="shared" si="10"/>
        <v>-0.81615227274948821</v>
      </c>
      <c r="G138" s="2"/>
      <c r="H138" s="2"/>
      <c r="I138" s="2"/>
      <c r="J138" s="19">
        <f t="shared" si="11"/>
        <v>0</v>
      </c>
      <c r="K138" s="2"/>
      <c r="L138" s="2">
        <f t="shared" si="12"/>
        <v>-362376</v>
      </c>
      <c r="M138" s="2"/>
      <c r="N138" s="19">
        <f t="shared" si="13"/>
        <v>0</v>
      </c>
      <c r="O138" s="11"/>
      <c r="P138" s="2">
        <v>-2986522</v>
      </c>
      <c r="Q138" s="2"/>
      <c r="R138" s="19">
        <f t="shared" si="14"/>
        <v>-0.54150901078408398</v>
      </c>
      <c r="S138" s="2"/>
      <c r="T138" s="2"/>
      <c r="U138" s="2"/>
      <c r="V138" s="19">
        <f t="shared" si="15"/>
        <v>0</v>
      </c>
      <c r="W138" s="2"/>
      <c r="X138" s="2">
        <f t="shared" si="16"/>
        <v>-2986522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"5300", " - ", "COG$ OFFSET")</f>
        <v xml:space="preserve">          5300 - COG$ OFFSET</v>
      </c>
      <c r="C139" s="11"/>
      <c r="D139" s="2">
        <v>170192.47</v>
      </c>
      <c r="E139" s="2"/>
      <c r="F139" s="19">
        <f t="shared" si="10"/>
        <v>0.38331172924075846</v>
      </c>
      <c r="G139" s="2"/>
      <c r="H139" s="2"/>
      <c r="I139" s="2"/>
      <c r="J139" s="19">
        <f t="shared" si="11"/>
        <v>0</v>
      </c>
      <c r="K139" s="2"/>
      <c r="L139" s="2">
        <f t="shared" si="12"/>
        <v>170192.47</v>
      </c>
      <c r="M139" s="2"/>
      <c r="N139" s="19">
        <f t="shared" si="13"/>
        <v>0</v>
      </c>
      <c r="O139" s="11"/>
      <c r="P139" s="2">
        <v>2513090.4700000002</v>
      </c>
      <c r="Q139" s="2"/>
      <c r="R139" s="19">
        <f t="shared" si="14"/>
        <v>0.4556675405105366</v>
      </c>
      <c r="S139" s="2"/>
      <c r="T139" s="2"/>
      <c r="U139" s="2"/>
      <c r="V139" s="19">
        <f t="shared" si="15"/>
        <v>0</v>
      </c>
      <c r="W139" s="2"/>
      <c r="X139" s="2">
        <f t="shared" si="16"/>
        <v>2513090.4700000002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"5500", " - ", "FREIGHT-IN")</f>
        <v xml:space="preserve">          5500 - FREIGHT-IN</v>
      </c>
      <c r="C140" s="11"/>
      <c r="D140" s="2">
        <v>80</v>
      </c>
      <c r="E140" s="2"/>
      <c r="F140" s="19">
        <f t="shared" si="10"/>
        <v>1.8017799694228936E-4</v>
      </c>
      <c r="G140" s="2"/>
      <c r="H140" s="2"/>
      <c r="I140" s="2"/>
      <c r="J140" s="19">
        <f t="shared" si="11"/>
        <v>0</v>
      </c>
      <c r="K140" s="2"/>
      <c r="L140" s="2">
        <f t="shared" si="12"/>
        <v>80</v>
      </c>
      <c r="M140" s="2"/>
      <c r="N140" s="19">
        <f t="shared" si="13"/>
        <v>0</v>
      </c>
      <c r="O140" s="11"/>
      <c r="P140" s="2">
        <v>115.23</v>
      </c>
      <c r="Q140" s="2"/>
      <c r="R140" s="19">
        <f t="shared" si="14"/>
        <v>2.0893227410563191E-5</v>
      </c>
      <c r="S140" s="2"/>
      <c r="T140" s="2"/>
      <c r="U140" s="2"/>
      <c r="V140" s="19">
        <f t="shared" si="15"/>
        <v>0</v>
      </c>
      <c r="W140" s="2"/>
      <c r="X140" s="2">
        <f t="shared" si="16"/>
        <v>115.23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"5501", " - ", "FREIGHT-IN-NEW TEXT")</f>
        <v xml:space="preserve">          5501 - FREIGHT-IN-NEW TEXT</v>
      </c>
      <c r="C141" s="11"/>
      <c r="D141" s="2">
        <v>4162.3900000000003</v>
      </c>
      <c r="E141" s="2"/>
      <c r="F141" s="19">
        <f t="shared" si="10"/>
        <v>9.3746386586576989E-3</v>
      </c>
      <c r="G141" s="2"/>
      <c r="H141" s="2"/>
      <c r="I141" s="2"/>
      <c r="J141" s="19">
        <f t="shared" si="11"/>
        <v>0</v>
      </c>
      <c r="K141" s="2"/>
      <c r="L141" s="2">
        <f t="shared" si="12"/>
        <v>4162.3900000000003</v>
      </c>
      <c r="M141" s="2"/>
      <c r="N141" s="19">
        <f t="shared" si="13"/>
        <v>0</v>
      </c>
      <c r="O141" s="11"/>
      <c r="P141" s="2">
        <v>38669.939999999995</v>
      </c>
      <c r="Q141" s="2"/>
      <c r="R141" s="19">
        <f t="shared" si="14"/>
        <v>7.011540834616279E-3</v>
      </c>
      <c r="S141" s="2"/>
      <c r="T141" s="2"/>
      <c r="U141" s="2"/>
      <c r="V141" s="19">
        <f t="shared" si="15"/>
        <v>0</v>
      </c>
      <c r="W141" s="2"/>
      <c r="X141" s="2">
        <f t="shared" si="16"/>
        <v>38669.939999999995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"5502", " - ", "FREIGHT-IN-USED TEXT")</f>
        <v xml:space="preserve">          5502 - FREIGHT-IN-USED TEXT</v>
      </c>
      <c r="C142" s="11"/>
      <c r="D142" s="2">
        <v>563.29999999999995</v>
      </c>
      <c r="E142" s="2"/>
      <c r="F142" s="19">
        <f t="shared" si="10"/>
        <v>1.2686783209698948E-3</v>
      </c>
      <c r="G142" s="2"/>
      <c r="H142" s="2"/>
      <c r="I142" s="2"/>
      <c r="J142" s="19">
        <f t="shared" si="11"/>
        <v>0</v>
      </c>
      <c r="K142" s="2"/>
      <c r="L142" s="2">
        <f t="shared" si="12"/>
        <v>563.29999999999995</v>
      </c>
      <c r="M142" s="2"/>
      <c r="N142" s="19">
        <f t="shared" si="13"/>
        <v>0</v>
      </c>
      <c r="O142" s="11"/>
      <c r="P142" s="2">
        <v>7653.42</v>
      </c>
      <c r="Q142" s="2"/>
      <c r="R142" s="19">
        <f t="shared" si="14"/>
        <v>1.3876997702729542E-3</v>
      </c>
      <c r="S142" s="2"/>
      <c r="T142" s="2"/>
      <c r="U142" s="2"/>
      <c r="V142" s="19">
        <f t="shared" si="15"/>
        <v>0</v>
      </c>
      <c r="W142" s="2"/>
      <c r="X142" s="2">
        <f t="shared" si="16"/>
        <v>7653.42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"5504", " - ", "FREIGHT-IN-DIGITAL TEXT")</f>
        <v xml:space="preserve">          5504 - FREIGHT-IN-DIGITAL TEXT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105.97</v>
      </c>
      <c r="Q143" s="2"/>
      <c r="R143" s="19">
        <f t="shared" si="14"/>
        <v>1.9214226405427242E-5</v>
      </c>
      <c r="S143" s="2"/>
      <c r="T143" s="2"/>
      <c r="U143" s="2"/>
      <c r="V143" s="19">
        <f t="shared" si="15"/>
        <v>0</v>
      </c>
      <c r="W143" s="2"/>
      <c r="X143" s="2">
        <f t="shared" si="16"/>
        <v>105.97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"5513", " - ", "FREIGHT-IN-TRADE BOOKS")</f>
        <v xml:space="preserve">          5513 - FREIGHT-IN-TRADE BOOKS</v>
      </c>
      <c r="C144" s="11"/>
      <c r="D144" s="2">
        <v>9.08</v>
      </c>
      <c r="E144" s="2"/>
      <c r="F144" s="19">
        <f t="shared" si="10"/>
        <v>2.0450202652949843E-5</v>
      </c>
      <c r="G144" s="2"/>
      <c r="H144" s="2"/>
      <c r="I144" s="2"/>
      <c r="J144" s="19">
        <f t="shared" si="11"/>
        <v>0</v>
      </c>
      <c r="K144" s="2"/>
      <c r="L144" s="2">
        <f t="shared" si="12"/>
        <v>9.08</v>
      </c>
      <c r="M144" s="2"/>
      <c r="N144" s="19">
        <f t="shared" si="13"/>
        <v>0</v>
      </c>
      <c r="O144" s="11"/>
      <c r="P144" s="2">
        <v>21.41</v>
      </c>
      <c r="Q144" s="2"/>
      <c r="R144" s="19">
        <f t="shared" si="14"/>
        <v>3.8820098833650778E-6</v>
      </c>
      <c r="S144" s="2"/>
      <c r="T144" s="2"/>
      <c r="U144" s="2"/>
      <c r="V144" s="19">
        <f t="shared" si="15"/>
        <v>0</v>
      </c>
      <c r="W144" s="2"/>
      <c r="X144" s="2">
        <f t="shared" si="16"/>
        <v>21.41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"5518", " - ", "FREIGHT-IN-STUDY GUIDES")</f>
        <v xml:space="preserve">          5518 - FREIGHT-IN-STUDY GUIDES</v>
      </c>
      <c r="C145" s="11"/>
      <c r="D145" s="2">
        <v>8.8699999999999992</v>
      </c>
      <c r="E145" s="2"/>
      <c r="F145" s="19">
        <f t="shared" si="10"/>
        <v>1.9977235410976332E-5</v>
      </c>
      <c r="G145" s="2"/>
      <c r="H145" s="2"/>
      <c r="I145" s="2"/>
      <c r="J145" s="19">
        <f t="shared" si="11"/>
        <v>0</v>
      </c>
      <c r="K145" s="2"/>
      <c r="L145" s="2">
        <f t="shared" si="12"/>
        <v>8.8699999999999992</v>
      </c>
      <c r="M145" s="2"/>
      <c r="N145" s="19">
        <f t="shared" si="13"/>
        <v>0</v>
      </c>
      <c r="O145" s="11"/>
      <c r="P145" s="2">
        <v>21.13</v>
      </c>
      <c r="Q145" s="2"/>
      <c r="R145" s="19">
        <f t="shared" si="14"/>
        <v>3.8312409544840767E-6</v>
      </c>
      <c r="S145" s="2"/>
      <c r="T145" s="2"/>
      <c r="U145" s="2"/>
      <c r="V145" s="19">
        <f t="shared" si="15"/>
        <v>0</v>
      </c>
      <c r="W145" s="2"/>
      <c r="X145" s="2">
        <f t="shared" si="16"/>
        <v>21.13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"5525", " - ", "FREIGHT-IN-TEST FORMS")</f>
        <v xml:space="preserve">          5525 - FREIGHT-IN-TEST FORMS</v>
      </c>
      <c r="C146" s="11"/>
      <c r="D146" s="2">
        <v>247.49</v>
      </c>
      <c r="E146" s="2"/>
      <c r="F146" s="19">
        <f t="shared" si="10"/>
        <v>5.5740315579059E-4</v>
      </c>
      <c r="G146" s="2"/>
      <c r="H146" s="2"/>
      <c r="I146" s="2"/>
      <c r="J146" s="19">
        <f t="shared" si="11"/>
        <v>0</v>
      </c>
      <c r="K146" s="2"/>
      <c r="L146" s="2">
        <f t="shared" si="12"/>
        <v>247.49</v>
      </c>
      <c r="M146" s="2"/>
      <c r="N146" s="19">
        <f t="shared" si="13"/>
        <v>0</v>
      </c>
      <c r="O146" s="11"/>
      <c r="P146" s="2">
        <v>622.41</v>
      </c>
      <c r="Q146" s="2"/>
      <c r="R146" s="19">
        <f t="shared" si="14"/>
        <v>1.1285388937436982E-4</v>
      </c>
      <c r="S146" s="2"/>
      <c r="T146" s="2"/>
      <c r="U146" s="2"/>
      <c r="V146" s="19">
        <f t="shared" si="15"/>
        <v>0</v>
      </c>
      <c r="W146" s="2"/>
      <c r="X146" s="2">
        <f t="shared" si="16"/>
        <v>622.41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"5526", " - ", "FREIGHT-IN-WRITING INSTRUMENTS")</f>
        <v xml:space="preserve">          5526 - FREIGHT-IN-WRITING INSTRUMENTS</v>
      </c>
      <c r="C147" s="11"/>
      <c r="D147" s="2">
        <v>42.86</v>
      </c>
      <c r="E147" s="2"/>
      <c r="F147" s="19">
        <f t="shared" si="10"/>
        <v>9.6530361861831528E-5</v>
      </c>
      <c r="G147" s="2"/>
      <c r="H147" s="2"/>
      <c r="I147" s="2"/>
      <c r="J147" s="19">
        <f t="shared" si="11"/>
        <v>0</v>
      </c>
      <c r="K147" s="2"/>
      <c r="L147" s="2">
        <f t="shared" si="12"/>
        <v>42.86</v>
      </c>
      <c r="M147" s="2"/>
      <c r="N147" s="19">
        <f t="shared" si="13"/>
        <v>0</v>
      </c>
      <c r="O147" s="11"/>
      <c r="P147" s="2">
        <v>260.35000000000002</v>
      </c>
      <c r="Q147" s="2"/>
      <c r="R147" s="19">
        <f t="shared" si="14"/>
        <v>4.7206037979173193E-5</v>
      </c>
      <c r="S147" s="2"/>
      <c r="T147" s="2"/>
      <c r="U147" s="2"/>
      <c r="V147" s="19">
        <f t="shared" si="15"/>
        <v>0</v>
      </c>
      <c r="W147" s="2"/>
      <c r="X147" s="2">
        <f t="shared" si="16"/>
        <v>260.35000000000002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"5527", " - ", "FREIGHT-IN-SCHOOL SUPPLIES")</f>
        <v xml:space="preserve">          5527 - FREIGHT-IN-SCHOOL SUPPLIES</v>
      </c>
      <c r="C148" s="11"/>
      <c r="D148" s="2">
        <v>25.34</v>
      </c>
      <c r="E148" s="2"/>
      <c r="F148" s="19">
        <f t="shared" si="10"/>
        <v>5.7071380531470161E-5</v>
      </c>
      <c r="G148" s="2"/>
      <c r="H148" s="2"/>
      <c r="I148" s="2"/>
      <c r="J148" s="19">
        <f t="shared" si="11"/>
        <v>0</v>
      </c>
      <c r="K148" s="2"/>
      <c r="L148" s="2">
        <f t="shared" si="12"/>
        <v>25.34</v>
      </c>
      <c r="M148" s="2"/>
      <c r="N148" s="19">
        <f t="shared" si="13"/>
        <v>0</v>
      </c>
      <c r="O148" s="11"/>
      <c r="P148" s="2">
        <v>897.92</v>
      </c>
      <c r="Q148" s="2"/>
      <c r="R148" s="19">
        <f t="shared" si="14"/>
        <v>1.6280870221724289E-4</v>
      </c>
      <c r="S148" s="2"/>
      <c r="T148" s="2"/>
      <c r="U148" s="2"/>
      <c r="V148" s="19">
        <f t="shared" si="15"/>
        <v>0</v>
      </c>
      <c r="W148" s="2"/>
      <c r="X148" s="2">
        <f t="shared" si="16"/>
        <v>897.92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"5528", " - ", "FREIGHT-IN-ART/TECH")</f>
        <v xml:space="preserve">          5528 - FREIGHT-IN-ART/TECH</v>
      </c>
      <c r="C149" s="11"/>
      <c r="D149" s="2">
        <v>187.14</v>
      </c>
      <c r="E149" s="2"/>
      <c r="F149" s="19">
        <f t="shared" si="10"/>
        <v>4.2148137934725036E-4</v>
      </c>
      <c r="G149" s="2"/>
      <c r="H149" s="2"/>
      <c r="I149" s="2"/>
      <c r="J149" s="19">
        <f t="shared" si="11"/>
        <v>0</v>
      </c>
      <c r="K149" s="2"/>
      <c r="L149" s="2">
        <f t="shared" si="12"/>
        <v>187.14</v>
      </c>
      <c r="M149" s="2"/>
      <c r="N149" s="19">
        <f t="shared" si="13"/>
        <v>0</v>
      </c>
      <c r="O149" s="11"/>
      <c r="P149" s="2">
        <v>1110.6400000000001</v>
      </c>
      <c r="Q149" s="2"/>
      <c r="R149" s="19">
        <f t="shared" si="14"/>
        <v>2.0137858275855162E-4</v>
      </c>
      <c r="S149" s="2"/>
      <c r="T149" s="2"/>
      <c r="U149" s="2"/>
      <c r="V149" s="19">
        <f t="shared" si="15"/>
        <v>0</v>
      </c>
      <c r="W149" s="2"/>
      <c r="X149" s="2">
        <f t="shared" si="16"/>
        <v>1110.6400000000001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"5540", " - ", "FREIGHT-IN-LOGO CLOTHING")</f>
        <v xml:space="preserve">          5540 - FREIGHT-IN-LOGO CLOTHING</v>
      </c>
      <c r="C150" s="11"/>
      <c r="D150" s="2">
        <v>4036.06</v>
      </c>
      <c r="E150" s="2"/>
      <c r="F150" s="19">
        <f t="shared" si="10"/>
        <v>9.0901150792362054E-3</v>
      </c>
      <c r="G150" s="2"/>
      <c r="H150" s="2"/>
      <c r="I150" s="2"/>
      <c r="J150" s="19">
        <f t="shared" si="11"/>
        <v>0</v>
      </c>
      <c r="K150" s="2"/>
      <c r="L150" s="2">
        <f t="shared" si="12"/>
        <v>4036.06</v>
      </c>
      <c r="M150" s="2"/>
      <c r="N150" s="19">
        <f t="shared" si="13"/>
        <v>0</v>
      </c>
      <c r="O150" s="11"/>
      <c r="P150" s="2">
        <v>24277.390000000003</v>
      </c>
      <c r="Q150" s="2"/>
      <c r="R150" s="19">
        <f t="shared" si="14"/>
        <v>4.401918165451121E-3</v>
      </c>
      <c r="S150" s="2"/>
      <c r="T150" s="2"/>
      <c r="U150" s="2"/>
      <c r="V150" s="19">
        <f t="shared" si="15"/>
        <v>0</v>
      </c>
      <c r="W150" s="2"/>
      <c r="X150" s="2">
        <f t="shared" si="16"/>
        <v>24277.390000000003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"5541", " - ", "FREIGHT-IN-LOGO GIFTS")</f>
        <v xml:space="preserve">          5541 - FREIGHT-IN-LOGO GIFTS</v>
      </c>
      <c r="C151" s="11"/>
      <c r="D151" s="2">
        <v>709.94</v>
      </c>
      <c r="E151" s="2"/>
      <c r="F151" s="19">
        <f t="shared" si="10"/>
        <v>1.5989445893651115E-3</v>
      </c>
      <c r="G151" s="2"/>
      <c r="H151" s="2"/>
      <c r="I151" s="2"/>
      <c r="J151" s="19">
        <f t="shared" si="11"/>
        <v>0</v>
      </c>
      <c r="K151" s="2"/>
      <c r="L151" s="2">
        <f t="shared" si="12"/>
        <v>709.94</v>
      </c>
      <c r="M151" s="2"/>
      <c r="N151" s="19">
        <f t="shared" si="13"/>
        <v>0</v>
      </c>
      <c r="O151" s="11"/>
      <c r="P151" s="2">
        <v>3562.77</v>
      </c>
      <c r="Q151" s="2"/>
      <c r="R151" s="19">
        <f t="shared" si="14"/>
        <v>6.4599291696200824E-4</v>
      </c>
      <c r="S151" s="2"/>
      <c r="T151" s="2"/>
      <c r="U151" s="2"/>
      <c r="V151" s="19">
        <f t="shared" si="15"/>
        <v>0</v>
      </c>
      <c r="W151" s="2"/>
      <c r="X151" s="2">
        <f t="shared" si="16"/>
        <v>3562.77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"5542", " - ", "FREIGHT-IN-EVERYDAY GIFTS")</f>
        <v xml:space="preserve">          5542 - FREIGHT-IN-EVERYDAY GIFTS</v>
      </c>
      <c r="C152" s="11"/>
      <c r="D152" s="2">
        <v>194.82</v>
      </c>
      <c r="E152" s="2"/>
      <c r="F152" s="19">
        <f t="shared" si="10"/>
        <v>4.3877846705371018E-4</v>
      </c>
      <c r="G152" s="2"/>
      <c r="H152" s="2"/>
      <c r="I152" s="2"/>
      <c r="J152" s="19">
        <f t="shared" si="11"/>
        <v>0</v>
      </c>
      <c r="K152" s="2"/>
      <c r="L152" s="2">
        <f t="shared" si="12"/>
        <v>194.82</v>
      </c>
      <c r="M152" s="2"/>
      <c r="N152" s="19">
        <f t="shared" si="13"/>
        <v>0</v>
      </c>
      <c r="O152" s="11"/>
      <c r="P152" s="2">
        <v>1708.33</v>
      </c>
      <c r="Q152" s="2"/>
      <c r="R152" s="19">
        <f t="shared" si="14"/>
        <v>3.0975030098314164E-4</v>
      </c>
      <c r="S152" s="2"/>
      <c r="T152" s="2"/>
      <c r="U152" s="2"/>
      <c r="V152" s="19">
        <f t="shared" si="15"/>
        <v>0</v>
      </c>
      <c r="W152" s="2"/>
      <c r="X152" s="2">
        <f t="shared" si="16"/>
        <v>1708.33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"5543", " - ", "FREIGHT-IN-CARDS")</f>
        <v xml:space="preserve">          5543 - FREIGHT-IN-CARDS</v>
      </c>
      <c r="C153" s="11"/>
      <c r="D153" s="2">
        <v>77.760000000000005</v>
      </c>
      <c r="E153" s="2"/>
      <c r="F153" s="19">
        <f t="shared" si="10"/>
        <v>1.7513301302790528E-4</v>
      </c>
      <c r="G153" s="2"/>
      <c r="H153" s="2"/>
      <c r="I153" s="2"/>
      <c r="J153" s="19">
        <f t="shared" si="11"/>
        <v>0</v>
      </c>
      <c r="K153" s="2"/>
      <c r="L153" s="2">
        <f t="shared" si="12"/>
        <v>77.760000000000005</v>
      </c>
      <c r="M153" s="2"/>
      <c r="N153" s="19">
        <f t="shared" si="13"/>
        <v>0</v>
      </c>
      <c r="O153" s="11"/>
      <c r="P153" s="2">
        <v>121.35</v>
      </c>
      <c r="Q153" s="2"/>
      <c r="R153" s="19">
        <f t="shared" si="14"/>
        <v>2.2002891141819344E-5</v>
      </c>
      <c r="S153" s="2"/>
      <c r="T153" s="2"/>
      <c r="U153" s="2"/>
      <c r="V153" s="19">
        <f t="shared" si="15"/>
        <v>0</v>
      </c>
      <c r="W153" s="2"/>
      <c r="X153" s="2">
        <f t="shared" si="16"/>
        <v>121.35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"5544", " - ", "FREIGHT-IN-ACCESSORIES")</f>
        <v xml:space="preserve">          5544 - FREIGHT-IN-ACCESSORIES</v>
      </c>
      <c r="C154" s="11"/>
      <c r="D154" s="2">
        <v>28.4</v>
      </c>
      <c r="E154" s="2"/>
      <c r="F154" s="19">
        <f t="shared" si="10"/>
        <v>6.396318891451272E-5</v>
      </c>
      <c r="G154" s="2"/>
      <c r="H154" s="2"/>
      <c r="I154" s="2"/>
      <c r="J154" s="19">
        <f t="shared" si="11"/>
        <v>0</v>
      </c>
      <c r="K154" s="2"/>
      <c r="L154" s="2">
        <f t="shared" si="12"/>
        <v>28.4</v>
      </c>
      <c r="M154" s="2"/>
      <c r="N154" s="19">
        <f t="shared" si="13"/>
        <v>0</v>
      </c>
      <c r="O154" s="11"/>
      <c r="P154" s="2">
        <v>442.31</v>
      </c>
      <c r="Q154" s="2"/>
      <c r="R154" s="19">
        <f t="shared" si="14"/>
        <v>8.0198589047697684E-5</v>
      </c>
      <c r="S154" s="2"/>
      <c r="T154" s="2"/>
      <c r="U154" s="2"/>
      <c r="V154" s="19">
        <f t="shared" si="15"/>
        <v>0</v>
      </c>
      <c r="W154" s="2"/>
      <c r="X154" s="2">
        <f t="shared" si="16"/>
        <v>442.31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"5545", " - ", "FREIGHT-IN-SPECIAL ORDERS")</f>
        <v xml:space="preserve">          5545 - FREIGHT-IN-SPECIAL ORDERS</v>
      </c>
      <c r="C155" s="11"/>
      <c r="D155" s="2">
        <v>322.61</v>
      </c>
      <c r="E155" s="2"/>
      <c r="F155" s="19">
        <f t="shared" si="10"/>
        <v>7.2659029491939971E-4</v>
      </c>
      <c r="G155" s="2"/>
      <c r="H155" s="2"/>
      <c r="I155" s="2"/>
      <c r="J155" s="19">
        <f t="shared" si="11"/>
        <v>0</v>
      </c>
      <c r="K155" s="2"/>
      <c r="L155" s="2">
        <f t="shared" si="12"/>
        <v>322.61</v>
      </c>
      <c r="M155" s="2"/>
      <c r="N155" s="19">
        <f t="shared" si="13"/>
        <v>0</v>
      </c>
      <c r="O155" s="11"/>
      <c r="P155" s="2">
        <v>827.67</v>
      </c>
      <c r="Q155" s="2"/>
      <c r="R155" s="19">
        <f t="shared" si="14"/>
        <v>1.5007114059620614E-4</v>
      </c>
      <c r="S155" s="2"/>
      <c r="T155" s="2"/>
      <c r="U155" s="2"/>
      <c r="V155" s="19">
        <f t="shared" si="15"/>
        <v>0</v>
      </c>
      <c r="W155" s="2"/>
      <c r="X155" s="2">
        <f t="shared" si="16"/>
        <v>827.67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"5592", " - ", "FREIGHT-IN-GRAD MERCH")</f>
        <v xml:space="preserve">          5592 - FREIGHT-IN-GRAD MERCH</v>
      </c>
      <c r="C156" s="11"/>
      <c r="D156" s="2"/>
      <c r="E156" s="2"/>
      <c r="F156" s="19">
        <f t="shared" si="10"/>
        <v>0</v>
      </c>
      <c r="G156" s="2"/>
      <c r="H156" s="2"/>
      <c r="I156" s="2"/>
      <c r="J156" s="19">
        <f t="shared" si="11"/>
        <v>0</v>
      </c>
      <c r="K156" s="2"/>
      <c r="L156" s="2">
        <f t="shared" si="12"/>
        <v>0</v>
      </c>
      <c r="M156" s="2"/>
      <c r="N156" s="19">
        <f t="shared" si="13"/>
        <v>0</v>
      </c>
      <c r="O156" s="11"/>
      <c r="P156" s="2">
        <v>105.78</v>
      </c>
      <c r="Q156" s="2"/>
      <c r="R156" s="19">
        <f t="shared" si="14"/>
        <v>1.917977606082942E-5</v>
      </c>
      <c r="S156" s="2"/>
      <c r="T156" s="2"/>
      <c r="U156" s="2"/>
      <c r="V156" s="19">
        <f t="shared" si="15"/>
        <v>0</v>
      </c>
      <c r="W156" s="2"/>
      <c r="X156" s="2">
        <f t="shared" si="16"/>
        <v>105.78</v>
      </c>
      <c r="Y156" s="2"/>
      <c r="Z156" s="19">
        <f t="shared" si="17"/>
        <v>0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9" t="s">
        <v>6</v>
      </c>
      <c r="C158" s="29"/>
      <c r="D158" s="22">
        <f>D12-D105</f>
        <v>249842.31999999977</v>
      </c>
      <c r="E158" s="14"/>
      <c r="F158" s="20">
        <f>IF(D$12=0,0,D158/D$12)</f>
        <v>0.56270110961268049</v>
      </c>
      <c r="G158" s="14"/>
      <c r="H158" s="22">
        <f>H12-H105</f>
        <v>316154.26631000004</v>
      </c>
      <c r="I158" s="14"/>
      <c r="J158" s="20">
        <f>IF(H$12=0,0,H158/H$12)</f>
        <v>0.56159374455863043</v>
      </c>
      <c r="K158" s="16"/>
      <c r="L158" s="22">
        <f>+D158-H158</f>
        <v>-66311.946310000261</v>
      </c>
      <c r="M158" s="16"/>
      <c r="N158" s="20">
        <f>IF(H158=0,0,L158/H158)</f>
        <v>-0.20974553683542305</v>
      </c>
      <c r="O158" s="28"/>
      <c r="P158" s="22">
        <f>P12-P105</f>
        <v>2294757.3499999978</v>
      </c>
      <c r="Q158" s="14"/>
      <c r="R158" s="20">
        <f>IF(P$12=0,0,P158/P$12)</f>
        <v>0.41607990250465415</v>
      </c>
      <c r="S158" s="14"/>
      <c r="T158" s="22">
        <f>T12-T105</f>
        <v>2492547.1614199998</v>
      </c>
      <c r="U158" s="14"/>
      <c r="V158" s="20">
        <f>IF(T$12=0,0,T158/T$12)</f>
        <v>0.42689856645881175</v>
      </c>
      <c r="W158" s="16"/>
      <c r="X158" s="22">
        <f>+P158-T158</f>
        <v>-197789.81142000202</v>
      </c>
      <c r="Y158" s="16"/>
      <c r="Z158" s="20">
        <f>IF(T158=0,0,X158/T158)</f>
        <v>-7.9352485072868795E-2</v>
      </c>
    </row>
    <row r="159" spans="1:26" x14ac:dyDescent="0.25">
      <c r="A159" s="9"/>
      <c r="B159" s="10"/>
      <c r="C159" s="9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6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x14ac:dyDescent="0.25">
      <c r="A160" s="10"/>
      <c r="B160" s="28" t="s">
        <v>9</v>
      </c>
      <c r="C160" s="10"/>
      <c r="D160" s="21">
        <f>SUM(OSRRefD22x_0)</f>
        <v>344082.65</v>
      </c>
      <c r="E160" s="21"/>
      <c r="F160" s="30">
        <f t="shared" ref="F160:F171" si="18">IF(D$12=0,0,D160/D$12)</f>
        <v>0.77495153324493538</v>
      </c>
      <c r="G160" s="21"/>
      <c r="H160" s="21">
        <f>SUM(OSRRefH22x_0)</f>
        <v>426693.13719231216</v>
      </c>
      <c r="I160" s="21"/>
      <c r="J160" s="30">
        <f t="shared" ref="J160:J171" si="19">IF(H$12=0,0,H160/H$12)</f>
        <v>0.75794706011759583</v>
      </c>
      <c r="K160" s="4"/>
      <c r="L160" s="21">
        <f t="shared" ref="L160:L171" si="20">+D160-H160</f>
        <v>-82610.487192312139</v>
      </c>
      <c r="M160" s="4"/>
      <c r="N160" s="30">
        <f t="shared" ref="N160:N171" si="21">IF(H160=0,0,L160/H160)</f>
        <v>-0.19360631796400157</v>
      </c>
      <c r="O160" s="10"/>
      <c r="P160" s="21">
        <f>SUM(OSRRefP22x_0)</f>
        <v>2240086.38</v>
      </c>
      <c r="Q160" s="21"/>
      <c r="R160" s="30">
        <f t="shared" ref="R160:R171" si="22">IF(P$12=0,0,P160/P$12)</f>
        <v>0.40616709326256412</v>
      </c>
      <c r="S160" s="21"/>
      <c r="T160" s="21">
        <f>SUM(OSRRefT22x_0)</f>
        <v>2439566.3088310477</v>
      </c>
      <c r="U160" s="21"/>
      <c r="V160" s="30">
        <f t="shared" ref="V160:V171" si="23">IF(T$12=0,0,T160/T$12)</f>
        <v>0.41782453553572019</v>
      </c>
      <c r="W160" s="4"/>
      <c r="X160" s="21">
        <f t="shared" ref="X160:X171" si="24">+P160-T160</f>
        <v>-199479.92883104784</v>
      </c>
      <c r="Y160" s="4"/>
      <c r="Z160" s="30">
        <f t="shared" ref="Z160:Z171" si="25">IF(T160=0,0,X160/T160)</f>
        <v>-8.176860293116256E-2</v>
      </c>
    </row>
    <row r="161" spans="1:26" s="25" customFormat="1" outlineLevel="1" collapsed="1" x14ac:dyDescent="0.25">
      <c r="A161" s="27"/>
      <c r="B161" s="13" t="str">
        <f>CONCATENATE("     ","*Benefits                                         ")</f>
        <v xml:space="preserve">     *Benefits                                         </v>
      </c>
      <c r="C161" s="13"/>
      <c r="D161" s="1">
        <f>SUM(OSRRefD22_0x_0)</f>
        <v>41617.129999999997</v>
      </c>
      <c r="E161" s="1"/>
      <c r="F161" s="5">
        <f t="shared" si="18"/>
        <v>9.3731139023585736E-2</v>
      </c>
      <c r="G161" s="1"/>
      <c r="H161" s="1">
        <f>SUM(OSRRefH22_0x_0)</f>
        <v>45129.49515229986</v>
      </c>
      <c r="I161" s="1"/>
      <c r="J161" s="5">
        <f t="shared" si="19"/>
        <v>8.0164795713272285E-2</v>
      </c>
      <c r="K161" s="1"/>
      <c r="L161" s="1">
        <f t="shared" si="20"/>
        <v>-3512.3651522998625</v>
      </c>
      <c r="M161" s="1"/>
      <c r="N161" s="5">
        <f t="shared" si="21"/>
        <v>-7.7828593926135864E-2</v>
      </c>
      <c r="O161" s="13"/>
      <c r="P161" s="1">
        <f>SUM(OSRRefP22_0x_0)</f>
        <v>301746.37</v>
      </c>
      <c r="Q161" s="1"/>
      <c r="R161" s="5">
        <f t="shared" si="22"/>
        <v>5.4711928566535985E-2</v>
      </c>
      <c r="S161" s="1"/>
      <c r="T161" s="1">
        <f>SUM(OSRRefT22_0x_0)</f>
        <v>294401.25270962762</v>
      </c>
      <c r="U161" s="1"/>
      <c r="V161" s="5">
        <f t="shared" si="23"/>
        <v>5.0422104219612449E-2</v>
      </c>
      <c r="W161" s="1"/>
      <c r="X161" s="1">
        <f t="shared" si="24"/>
        <v>7345.1172903723782</v>
      </c>
      <c r="Y161" s="1"/>
      <c r="Z161" s="5">
        <f t="shared" si="25"/>
        <v>2.4949341155205539E-2</v>
      </c>
    </row>
    <row r="162" spans="1:26" s="24" customFormat="1" hidden="1" outlineLevel="2" x14ac:dyDescent="0.25">
      <c r="A162" s="26"/>
      <c r="B162" s="11" t="str">
        <f>CONCATENATE("          ", "6111", " - ", "F.I.C.A.")</f>
        <v xml:space="preserve">          6111 - F.I.C.A.</v>
      </c>
      <c r="C162" s="11"/>
      <c r="D162" s="6">
        <v>6245.27</v>
      </c>
      <c r="E162" s="2"/>
      <c r="F162" s="7">
        <f t="shared" si="18"/>
        <v>1.4065752987047144E-2</v>
      </c>
      <c r="G162" s="2"/>
      <c r="H162" s="6">
        <v>7363.2588063703897</v>
      </c>
      <c r="I162" s="2"/>
      <c r="J162" s="7">
        <f t="shared" si="19"/>
        <v>1.3079564395848427E-2</v>
      </c>
      <c r="K162" s="2"/>
      <c r="L162" s="6">
        <f t="shared" si="20"/>
        <v>-1117.9888063703893</v>
      </c>
      <c r="M162" s="2"/>
      <c r="N162" s="7">
        <f t="shared" si="21"/>
        <v>-0.15183342535823285</v>
      </c>
      <c r="O162" s="11"/>
      <c r="P162" s="6">
        <v>60560.19999999999</v>
      </c>
      <c r="Q162" s="2"/>
      <c r="R162" s="7">
        <f t="shared" si="22"/>
        <v>1.098063031006846E-2</v>
      </c>
      <c r="S162" s="2"/>
      <c r="T162" s="6">
        <v>57000.697047908208</v>
      </c>
      <c r="U162" s="2"/>
      <c r="V162" s="7">
        <f t="shared" si="23"/>
        <v>9.7625097063528676E-3</v>
      </c>
      <c r="W162" s="2"/>
      <c r="X162" s="6">
        <f t="shared" si="24"/>
        <v>3559.5029520917815</v>
      </c>
      <c r="Y162" s="2"/>
      <c r="Z162" s="7">
        <f t="shared" si="25"/>
        <v>6.2446656557551813E-2</v>
      </c>
    </row>
    <row r="163" spans="1:26" s="24" customFormat="1" hidden="1" outlineLevel="2" x14ac:dyDescent="0.25">
      <c r="A163" s="26"/>
      <c r="B163" s="11" t="str">
        <f>CONCATENATE("          ", "6112", " - ", "COMPENSATION INSURANCE")</f>
        <v xml:space="preserve">          6112 - COMPENSATION INSURANCE</v>
      </c>
      <c r="C163" s="11"/>
      <c r="D163" s="6">
        <v>3045.75</v>
      </c>
      <c r="E163" s="2"/>
      <c r="F163" s="7">
        <f t="shared" si="18"/>
        <v>6.8597141773372233E-3</v>
      </c>
      <c r="G163" s="2"/>
      <c r="H163" s="6">
        <v>3064.2665741923079</v>
      </c>
      <c r="I163" s="2"/>
      <c r="J163" s="7">
        <f t="shared" si="19"/>
        <v>5.4431431839010195E-3</v>
      </c>
      <c r="K163" s="2"/>
      <c r="L163" s="6">
        <f t="shared" si="20"/>
        <v>-18.516574192307871</v>
      </c>
      <c r="M163" s="2"/>
      <c r="N163" s="7">
        <f t="shared" si="21"/>
        <v>-6.0427426087067988E-3</v>
      </c>
      <c r="O163" s="11"/>
      <c r="P163" s="6">
        <v>13449.8</v>
      </c>
      <c r="Q163" s="2"/>
      <c r="R163" s="7">
        <f t="shared" si="22"/>
        <v>2.4386854987988611E-3</v>
      </c>
      <c r="S163" s="2"/>
      <c r="T163" s="6">
        <v>20500.612974749994</v>
      </c>
      <c r="U163" s="2"/>
      <c r="V163" s="7">
        <f t="shared" si="23"/>
        <v>3.5111401003389124E-3</v>
      </c>
      <c r="W163" s="2"/>
      <c r="X163" s="6">
        <f t="shared" si="24"/>
        <v>-7050.8129747499952</v>
      </c>
      <c r="Y163" s="2"/>
      <c r="Z163" s="7">
        <f t="shared" si="25"/>
        <v>-0.34393181235284404</v>
      </c>
    </row>
    <row r="164" spans="1:26" s="24" customFormat="1" hidden="1" outlineLevel="2" x14ac:dyDescent="0.25">
      <c r="A164" s="26"/>
      <c r="B164" s="11" t="str">
        <f>CONCATENATE("          ", "6113", " - ", "GROUP INSURANCE")</f>
        <v xml:space="preserve">          6113 - GROUP INSURANCE</v>
      </c>
      <c r="C164" s="11"/>
      <c r="D164" s="6">
        <v>16667.599999999999</v>
      </c>
      <c r="E164" s="2"/>
      <c r="F164" s="7">
        <f t="shared" si="18"/>
        <v>3.7539184772941277E-2</v>
      </c>
      <c r="G164" s="2"/>
      <c r="H164" s="6">
        <v>18510.81923076923</v>
      </c>
      <c r="I164" s="2"/>
      <c r="J164" s="7">
        <f t="shared" si="19"/>
        <v>3.2881290542074788E-2</v>
      </c>
      <c r="K164" s="2"/>
      <c r="L164" s="6">
        <f t="shared" si="20"/>
        <v>-1843.2192307692312</v>
      </c>
      <c r="M164" s="2"/>
      <c r="N164" s="7">
        <f t="shared" si="21"/>
        <v>-9.9575238015688572E-2</v>
      </c>
      <c r="O164" s="11"/>
      <c r="P164" s="6">
        <v>110919.93</v>
      </c>
      <c r="Q164" s="2"/>
      <c r="R164" s="7">
        <f t="shared" si="22"/>
        <v>2.0111735848769852E-2</v>
      </c>
      <c r="S164" s="2"/>
      <c r="T164" s="6">
        <v>112008.3</v>
      </c>
      <c r="U164" s="2"/>
      <c r="V164" s="7">
        <f t="shared" si="23"/>
        <v>1.918366217562268E-2</v>
      </c>
      <c r="W164" s="2"/>
      <c r="X164" s="6">
        <f t="shared" si="24"/>
        <v>-1088.3700000000099</v>
      </c>
      <c r="Y164" s="2"/>
      <c r="Z164" s="7">
        <f t="shared" si="25"/>
        <v>-9.71686919630072E-3</v>
      </c>
    </row>
    <row r="165" spans="1:26" s="24" customFormat="1" hidden="1" outlineLevel="2" x14ac:dyDescent="0.25">
      <c r="A165" s="26"/>
      <c r="B165" s="11" t="str">
        <f>CONCATENATE("          ", "6114", " - ", "STATE UNEMPLOYMENT INSURANCE")</f>
        <v xml:space="preserve">          6114 - STATE UNEMPLOYMENT INSURANCE</v>
      </c>
      <c r="C165" s="11"/>
      <c r="D165" s="6">
        <v>558.37</v>
      </c>
      <c r="E165" s="2"/>
      <c r="F165" s="7">
        <f t="shared" si="18"/>
        <v>1.2575748519083265E-3</v>
      </c>
      <c r="G165" s="2"/>
      <c r="H165" s="6">
        <v>435.15776804735202</v>
      </c>
      <c r="I165" s="2"/>
      <c r="J165" s="7">
        <f t="shared" si="19"/>
        <v>7.7298302276225994E-4</v>
      </c>
      <c r="K165" s="2"/>
      <c r="L165" s="6">
        <f t="shared" si="20"/>
        <v>123.21223195264798</v>
      </c>
      <c r="M165" s="2"/>
      <c r="N165" s="7">
        <f t="shared" si="21"/>
        <v>0.2831438181731839</v>
      </c>
      <c r="O165" s="11"/>
      <c r="P165" s="6">
        <v>2957.17</v>
      </c>
      <c r="Q165" s="2"/>
      <c r="R165" s="7">
        <f t="shared" si="22"/>
        <v>5.3618697649652992E-4</v>
      </c>
      <c r="S165" s="2"/>
      <c r="T165" s="6">
        <v>2912.0525781222718</v>
      </c>
      <c r="U165" s="2"/>
      <c r="V165" s="7">
        <f t="shared" si="23"/>
        <v>4.9874726155426632E-4</v>
      </c>
      <c r="W165" s="2"/>
      <c r="X165" s="6">
        <f t="shared" si="24"/>
        <v>45.117421877728248</v>
      </c>
      <c r="Y165" s="2"/>
      <c r="Z165" s="7">
        <f t="shared" si="25"/>
        <v>1.549334040761741E-2</v>
      </c>
    </row>
    <row r="166" spans="1:26" s="24" customFormat="1" hidden="1" outlineLevel="2" x14ac:dyDescent="0.25">
      <c r="A166" s="26"/>
      <c r="B166" s="11" t="str">
        <f>CONCATENATE("          ", "6115", " - ", "P.E.R.S.")</f>
        <v xml:space="preserve">          6115 - P.E.R.S.</v>
      </c>
      <c r="C166" s="11"/>
      <c r="D166" s="6">
        <v>5944.58</v>
      </c>
      <c r="E166" s="2"/>
      <c r="F166" s="7">
        <f t="shared" si="18"/>
        <v>1.3388531463289931E-2</v>
      </c>
      <c r="G166" s="2"/>
      <c r="H166" s="6">
        <v>6008.5115279230686</v>
      </c>
      <c r="I166" s="2"/>
      <c r="J166" s="7">
        <f t="shared" si="19"/>
        <v>1.0673088576579118E-2</v>
      </c>
      <c r="K166" s="2"/>
      <c r="L166" s="6">
        <f t="shared" si="20"/>
        <v>-63.931527923068643</v>
      </c>
      <c r="M166" s="2"/>
      <c r="N166" s="7">
        <f t="shared" si="21"/>
        <v>-1.0640160649765371E-2</v>
      </c>
      <c r="O166" s="11"/>
      <c r="P166" s="6">
        <v>41767.040000000001</v>
      </c>
      <c r="Q166" s="2"/>
      <c r="R166" s="7">
        <f t="shared" si="22"/>
        <v>7.57309958332109E-3</v>
      </c>
      <c r="S166" s="2"/>
      <c r="T166" s="6">
        <v>39055.324931499956</v>
      </c>
      <c r="U166" s="2"/>
      <c r="V166" s="7">
        <f t="shared" si="23"/>
        <v>6.6890057222997682E-3</v>
      </c>
      <c r="W166" s="2"/>
      <c r="X166" s="6">
        <f t="shared" si="24"/>
        <v>2711.7150685000452</v>
      </c>
      <c r="Y166" s="2"/>
      <c r="Z166" s="7">
        <f t="shared" si="25"/>
        <v>6.9432659266212365E-2</v>
      </c>
    </row>
    <row r="167" spans="1:26" s="24" customFormat="1" hidden="1" outlineLevel="2" x14ac:dyDescent="0.25">
      <c r="A167" s="26"/>
      <c r="B167" s="11" t="str">
        <f>CONCATENATE("          ", "6116", " - ", "EDUCATIONAL BENEFITS")</f>
        <v xml:space="preserve">          6116 - EDUCATIONAL BENEFITS</v>
      </c>
      <c r="C167" s="11"/>
      <c r="D167" s="6"/>
      <c r="E167" s="2"/>
      <c r="F167" s="7">
        <f t="shared" si="18"/>
        <v>0</v>
      </c>
      <c r="G167" s="2"/>
      <c r="H167" s="6">
        <v>0</v>
      </c>
      <c r="I167" s="2"/>
      <c r="J167" s="7">
        <f t="shared" si="19"/>
        <v>0</v>
      </c>
      <c r="K167" s="2"/>
      <c r="L167" s="6">
        <f t="shared" si="20"/>
        <v>0</v>
      </c>
      <c r="M167" s="2"/>
      <c r="N167" s="7">
        <f t="shared" si="21"/>
        <v>0</v>
      </c>
      <c r="O167" s="11"/>
      <c r="P167" s="6"/>
      <c r="Q167" s="2"/>
      <c r="R167" s="7">
        <f t="shared" si="22"/>
        <v>0</v>
      </c>
      <c r="S167" s="2"/>
      <c r="T167" s="6">
        <v>0</v>
      </c>
      <c r="U167" s="2"/>
      <c r="V167" s="7">
        <f t="shared" si="23"/>
        <v>0</v>
      </c>
      <c r="W167" s="2"/>
      <c r="X167" s="6">
        <f t="shared" si="24"/>
        <v>0</v>
      </c>
      <c r="Y167" s="2"/>
      <c r="Z167" s="7">
        <f t="shared" si="25"/>
        <v>0</v>
      </c>
    </row>
    <row r="168" spans="1:26" s="24" customFormat="1" hidden="1" outlineLevel="2" x14ac:dyDescent="0.25">
      <c r="A168" s="26"/>
      <c r="B168" s="11" t="str">
        <f>CONCATENATE("          ", "6117", " - ", "RETIREMENT STAFF HOURLY")</f>
        <v xml:space="preserve">          6117 - RETIREMENT STAFF HOURLY</v>
      </c>
      <c r="C168" s="11"/>
      <c r="D168" s="6">
        <v>92.54</v>
      </c>
      <c r="E168" s="2"/>
      <c r="F168" s="7">
        <f t="shared" si="18"/>
        <v>2.0842089796299326E-4</v>
      </c>
      <c r="G168" s="2"/>
      <c r="H168" s="6"/>
      <c r="I168" s="2"/>
      <c r="J168" s="7">
        <f t="shared" si="19"/>
        <v>0</v>
      </c>
      <c r="K168" s="2"/>
      <c r="L168" s="6">
        <f t="shared" si="20"/>
        <v>92.54</v>
      </c>
      <c r="M168" s="2"/>
      <c r="N168" s="7">
        <f t="shared" si="21"/>
        <v>0</v>
      </c>
      <c r="O168" s="11"/>
      <c r="P168" s="6">
        <v>738.74</v>
      </c>
      <c r="Q168" s="2"/>
      <c r="R168" s="7">
        <f t="shared" si="22"/>
        <v>1.3394656614839408E-4</v>
      </c>
      <c r="S168" s="2"/>
      <c r="T168" s="6"/>
      <c r="U168" s="2"/>
      <c r="V168" s="7">
        <f t="shared" si="23"/>
        <v>0</v>
      </c>
      <c r="W168" s="2"/>
      <c r="X168" s="6">
        <f t="shared" si="24"/>
        <v>738.74</v>
      </c>
      <c r="Y168" s="2"/>
      <c r="Z168" s="7">
        <f t="shared" si="25"/>
        <v>0</v>
      </c>
    </row>
    <row r="169" spans="1:26" s="24" customFormat="1" hidden="1" outlineLevel="2" x14ac:dyDescent="0.25">
      <c r="A169" s="26"/>
      <c r="B169" s="11" t="str">
        <f>CONCATENATE("          ", "6118", " - ", "VACATION")</f>
        <v xml:space="preserve">          6118 - VACATION</v>
      </c>
      <c r="C169" s="11"/>
      <c r="D169" s="6">
        <v>4131.93</v>
      </c>
      <c r="E169" s="2"/>
      <c r="F169" s="7">
        <f t="shared" si="18"/>
        <v>9.3060358863219228E-3</v>
      </c>
      <c r="G169" s="2"/>
      <c r="H169" s="6">
        <v>4376.602598938458</v>
      </c>
      <c r="I169" s="2"/>
      <c r="J169" s="7">
        <f t="shared" si="19"/>
        <v>7.774282696450645E-3</v>
      </c>
      <c r="K169" s="2"/>
      <c r="L169" s="6">
        <f t="shared" si="20"/>
        <v>-244.67259893845767</v>
      </c>
      <c r="M169" s="2"/>
      <c r="N169" s="7">
        <f t="shared" si="21"/>
        <v>-5.5904687119137306E-2</v>
      </c>
      <c r="O169" s="11"/>
      <c r="P169" s="6">
        <v>33641.299999999996</v>
      </c>
      <c r="Q169" s="2"/>
      <c r="R169" s="7">
        <f t="shared" si="22"/>
        <v>6.0997598827300121E-3</v>
      </c>
      <c r="S169" s="2"/>
      <c r="T169" s="6">
        <v>28447.916893099984</v>
      </c>
      <c r="U169" s="2"/>
      <c r="V169" s="7">
        <f t="shared" si="23"/>
        <v>4.8722748874629792E-3</v>
      </c>
      <c r="W169" s="2"/>
      <c r="X169" s="6">
        <f t="shared" si="24"/>
        <v>5193.3831069000116</v>
      </c>
      <c r="Y169" s="2"/>
      <c r="Z169" s="7">
        <f t="shared" si="25"/>
        <v>0.18255758853681345</v>
      </c>
    </row>
    <row r="170" spans="1:26" s="24" customFormat="1" hidden="1" outlineLevel="2" x14ac:dyDescent="0.25">
      <c r="A170" s="26"/>
      <c r="B170" s="11" t="str">
        <f>CONCATENATE("          ", "6119", " - ", "SICK LEAVE")</f>
        <v xml:space="preserve">          6119 - SICK LEAVE</v>
      </c>
      <c r="C170" s="11"/>
      <c r="D170" s="6">
        <v>3134.75</v>
      </c>
      <c r="E170" s="2"/>
      <c r="F170" s="7">
        <f t="shared" si="18"/>
        <v>7.06016219893552E-3</v>
      </c>
      <c r="G170" s="2"/>
      <c r="H170" s="6">
        <v>3820.8786460590459</v>
      </c>
      <c r="I170" s="2"/>
      <c r="J170" s="7">
        <f t="shared" si="19"/>
        <v>6.7871345574074824E-3</v>
      </c>
      <c r="K170" s="2"/>
      <c r="L170" s="6">
        <f t="shared" si="20"/>
        <v>-686.12864605904588</v>
      </c>
      <c r="M170" s="2"/>
      <c r="N170" s="7">
        <f t="shared" si="21"/>
        <v>-0.17957352473540003</v>
      </c>
      <c r="O170" s="11"/>
      <c r="P170" s="6">
        <v>26189.25</v>
      </c>
      <c r="Q170" s="2"/>
      <c r="R170" s="7">
        <f t="shared" si="22"/>
        <v>4.7485720382026558E-3</v>
      </c>
      <c r="S170" s="2"/>
      <c r="T170" s="6">
        <v>25176.348284247186</v>
      </c>
      <c r="U170" s="2"/>
      <c r="V170" s="7">
        <f t="shared" si="23"/>
        <v>4.31195331328853E-3</v>
      </c>
      <c r="W170" s="2"/>
      <c r="X170" s="6">
        <f t="shared" si="24"/>
        <v>1012.9017157528142</v>
      </c>
      <c r="Y170" s="2"/>
      <c r="Z170" s="7">
        <f t="shared" si="25"/>
        <v>4.0232272937953666E-2</v>
      </c>
    </row>
    <row r="171" spans="1:26" s="24" customFormat="1" hidden="1" outlineLevel="2" x14ac:dyDescent="0.25">
      <c r="A171" s="26"/>
      <c r="B171" s="11" t="str">
        <f>CONCATENATE("          ", "6156", " - ", "EMPLOYEE MEALS")</f>
        <v xml:space="preserve">          6156 - EMPLOYEE MEALS</v>
      </c>
      <c r="C171" s="11"/>
      <c r="D171" s="6">
        <v>1796.34</v>
      </c>
      <c r="E171" s="2"/>
      <c r="F171" s="7">
        <f t="shared" si="18"/>
        <v>4.0457617878414008E-3</v>
      </c>
      <c r="G171" s="2"/>
      <c r="H171" s="6">
        <v>1550</v>
      </c>
      <c r="I171" s="2"/>
      <c r="J171" s="7">
        <f t="shared" si="19"/>
        <v>2.7533087382485338E-3</v>
      </c>
      <c r="K171" s="2"/>
      <c r="L171" s="6">
        <f t="shared" si="20"/>
        <v>246.33999999999992</v>
      </c>
      <c r="M171" s="2"/>
      <c r="N171" s="7">
        <f t="shared" si="21"/>
        <v>0.15892903225806446</v>
      </c>
      <c r="O171" s="11"/>
      <c r="P171" s="6">
        <v>11522.94</v>
      </c>
      <c r="Q171" s="2"/>
      <c r="R171" s="7">
        <f t="shared" si="22"/>
        <v>2.0893118620001301E-3</v>
      </c>
      <c r="S171" s="2"/>
      <c r="T171" s="6">
        <v>9300</v>
      </c>
      <c r="U171" s="2"/>
      <c r="V171" s="7">
        <f t="shared" si="23"/>
        <v>1.5928110526924426E-3</v>
      </c>
      <c r="W171" s="2"/>
      <c r="X171" s="6">
        <f t="shared" si="24"/>
        <v>2222.9400000000005</v>
      </c>
      <c r="Y171" s="2"/>
      <c r="Z171" s="7">
        <f t="shared" si="25"/>
        <v>0.23902580645161295</v>
      </c>
    </row>
    <row r="172" spans="1:26" s="25" customFormat="1" outlineLevel="1" collapsed="1" x14ac:dyDescent="0.25">
      <c r="A172" s="27"/>
      <c r="B172" s="13" t="str">
        <f>CONCATENATE("     ","*Payroll                                          ")</f>
        <v xml:space="preserve">     *Payroll                                          </v>
      </c>
      <c r="C172" s="13"/>
      <c r="D172" s="1">
        <f>SUM(OSRRefD22_1x_0)</f>
        <v>143833.29</v>
      </c>
      <c r="E172" s="1"/>
      <c r="F172" s="5">
        <f t="shared" ref="F172:F182" si="26">IF(D$12=0,0,D172/D$12)</f>
        <v>0.32394492607274278</v>
      </c>
      <c r="G172" s="1"/>
      <c r="H172" s="1">
        <f>SUM(OSRRefH22_1x_0)</f>
        <v>160137.14204001232</v>
      </c>
      <c r="I172" s="1"/>
      <c r="J172" s="5">
        <f t="shared" ref="J172:J182" si="27">IF(H$12=0,0,H172/H$12)</f>
        <v>0.28445612419155647</v>
      </c>
      <c r="K172" s="1"/>
      <c r="L172" s="1">
        <f t="shared" ref="L172:L182" si="28">+D172-H172</f>
        <v>-16303.852040012309</v>
      </c>
      <c r="M172" s="1"/>
      <c r="N172" s="5">
        <f t="shared" ref="N172:N182" si="29">IF(H172=0,0,L172/H172)</f>
        <v>-0.10181180850560317</v>
      </c>
      <c r="O172" s="13"/>
      <c r="P172" s="1">
        <f>SUM(OSRRefP22_1x_0)</f>
        <v>1034771.15</v>
      </c>
      <c r="Q172" s="1"/>
      <c r="R172" s="5">
        <f t="shared" ref="R172:R182" si="30">IF(P$12=0,0,P172/P$12)</f>
        <v>0.18762222472307552</v>
      </c>
      <c r="S172" s="1"/>
      <c r="T172" s="1">
        <f>SUM(OSRRefT22_1x_0)</f>
        <v>1073012.0561214201</v>
      </c>
      <c r="U172" s="1"/>
      <c r="V172" s="5">
        <f t="shared" ref="V172:V182" si="31">IF(T$12=0,0,T172/T$12)</f>
        <v>0.18377478093144531</v>
      </c>
      <c r="W172" s="1"/>
      <c r="X172" s="1">
        <f t="shared" ref="X172:X182" si="32">+P172-T172</f>
        <v>-38240.906121420092</v>
      </c>
      <c r="Y172" s="1"/>
      <c r="Z172" s="5">
        <f t="shared" ref="Z172:Z182" si="33">IF(T172=0,0,X172/T172)</f>
        <v>-3.5638841057991637E-2</v>
      </c>
    </row>
    <row r="173" spans="1:26" s="24" customFormat="1" hidden="1" outlineLevel="2" x14ac:dyDescent="0.25">
      <c r="A173" s="26"/>
      <c r="B173" s="11" t="str">
        <f>CONCATENATE("          ", "6001", " - ", "ADMINISTRATIVE SALARIES")</f>
        <v xml:space="preserve">          6001 - ADMINISTRATIVE SALARIES</v>
      </c>
      <c r="C173" s="11"/>
      <c r="D173" s="6">
        <v>10181.280000000001</v>
      </c>
      <c r="E173" s="2"/>
      <c r="F173" s="7">
        <f t="shared" si="26"/>
        <v>2.29305329588574E-2</v>
      </c>
      <c r="G173" s="2"/>
      <c r="H173" s="6">
        <v>24506.560901846147</v>
      </c>
      <c r="I173" s="2"/>
      <c r="J173" s="7">
        <f t="shared" si="27"/>
        <v>4.3531695661595399E-2</v>
      </c>
      <c r="K173" s="2"/>
      <c r="L173" s="6">
        <f t="shared" si="28"/>
        <v>-14325.280901846147</v>
      </c>
      <c r="M173" s="2"/>
      <c r="N173" s="7">
        <f t="shared" si="29"/>
        <v>-0.58454880549016497</v>
      </c>
      <c r="O173" s="11"/>
      <c r="P173" s="6">
        <v>66982.11</v>
      </c>
      <c r="Q173" s="2"/>
      <c r="R173" s="7">
        <f t="shared" si="30"/>
        <v>1.2145035638890555E-2</v>
      </c>
      <c r="S173" s="2"/>
      <c r="T173" s="6">
        <v>159292.64586199998</v>
      </c>
      <c r="U173" s="2"/>
      <c r="V173" s="7">
        <f t="shared" si="31"/>
        <v>2.7282052359313615E-2</v>
      </c>
      <c r="W173" s="2"/>
      <c r="X173" s="6">
        <f t="shared" si="32"/>
        <v>-92310.535861999975</v>
      </c>
      <c r="Y173" s="2"/>
      <c r="Z173" s="7">
        <f t="shared" si="33"/>
        <v>-0.57950280982821634</v>
      </c>
    </row>
    <row r="174" spans="1:26" s="24" customFormat="1" hidden="1" outlineLevel="2" x14ac:dyDescent="0.25">
      <c r="A174" s="26"/>
      <c r="B174" s="11" t="str">
        <f>CONCATENATE("          ", "6002", " - ", "STAFF SALARIES")</f>
        <v xml:space="preserve">          6002 - STAFF SALARIES</v>
      </c>
      <c r="C174" s="11"/>
      <c r="D174" s="6">
        <v>51868.94</v>
      </c>
      <c r="E174" s="2"/>
      <c r="F174" s="7">
        <f t="shared" si="26"/>
        <v>0.11682052140899739</v>
      </c>
      <c r="G174" s="2"/>
      <c r="H174" s="6">
        <v>39132.03454564618</v>
      </c>
      <c r="I174" s="2"/>
      <c r="J174" s="7">
        <f t="shared" si="27"/>
        <v>6.9511337199981371E-2</v>
      </c>
      <c r="K174" s="2"/>
      <c r="L174" s="6">
        <f t="shared" si="28"/>
        <v>12736.905454353822</v>
      </c>
      <c r="M174" s="2"/>
      <c r="N174" s="7">
        <f t="shared" si="29"/>
        <v>0.32548538817977013</v>
      </c>
      <c r="O174" s="11"/>
      <c r="P174" s="6">
        <v>349483.32</v>
      </c>
      <c r="Q174" s="2"/>
      <c r="R174" s="7">
        <f t="shared" si="30"/>
        <v>6.3367477922056992E-2</v>
      </c>
      <c r="S174" s="2"/>
      <c r="T174" s="6">
        <v>254358.2245467001</v>
      </c>
      <c r="U174" s="2"/>
      <c r="V174" s="7">
        <f t="shared" si="31"/>
        <v>4.35639345592699E-2</v>
      </c>
      <c r="W174" s="2"/>
      <c r="X174" s="6">
        <f t="shared" si="32"/>
        <v>95125.095453299902</v>
      </c>
      <c r="Y174" s="2"/>
      <c r="Z174" s="7">
        <f t="shared" si="33"/>
        <v>0.37398081238703945</v>
      </c>
    </row>
    <row r="175" spans="1:26" s="24" customFormat="1" hidden="1" outlineLevel="2" x14ac:dyDescent="0.25">
      <c r="A175" s="26"/>
      <c r="B175" s="11" t="str">
        <f>CONCATENATE("          ", "6003", " - ", "STAFF HOURLY-9 MONTH")</f>
        <v xml:space="preserve">          6003 - STAFF HOURLY-9 MONTH</v>
      </c>
      <c r="C175" s="11"/>
      <c r="D175" s="6"/>
      <c r="E175" s="2"/>
      <c r="F175" s="7">
        <f t="shared" si="26"/>
        <v>0</v>
      </c>
      <c r="G175" s="2"/>
      <c r="H175" s="6">
        <v>0</v>
      </c>
      <c r="I175" s="2"/>
      <c r="J175" s="7">
        <f t="shared" si="27"/>
        <v>0</v>
      </c>
      <c r="K175" s="2"/>
      <c r="L175" s="6">
        <f t="shared" si="28"/>
        <v>0</v>
      </c>
      <c r="M175" s="2"/>
      <c r="N175" s="7">
        <f t="shared" si="29"/>
        <v>0</v>
      </c>
      <c r="O175" s="11"/>
      <c r="P175" s="6"/>
      <c r="Q175" s="2"/>
      <c r="R175" s="7">
        <f t="shared" si="30"/>
        <v>0</v>
      </c>
      <c r="S175" s="2"/>
      <c r="T175" s="6">
        <v>0</v>
      </c>
      <c r="U175" s="2"/>
      <c r="V175" s="7">
        <f t="shared" si="31"/>
        <v>0</v>
      </c>
      <c r="W175" s="2"/>
      <c r="X175" s="6">
        <f t="shared" si="32"/>
        <v>0</v>
      </c>
      <c r="Y175" s="2"/>
      <c r="Z175" s="7">
        <f t="shared" si="33"/>
        <v>0</v>
      </c>
    </row>
    <row r="176" spans="1:26" s="24" customFormat="1" hidden="1" outlineLevel="2" x14ac:dyDescent="0.25">
      <c r="A176" s="26"/>
      <c r="B176" s="11" t="str">
        <f>CONCATENATE("          ", "6004", " - ", "STAFF HOURLY")</f>
        <v xml:space="preserve">          6004 - STAFF HOURLY</v>
      </c>
      <c r="C176" s="11"/>
      <c r="D176" s="6">
        <v>3238.83</v>
      </c>
      <c r="E176" s="2"/>
      <c r="F176" s="7">
        <f t="shared" si="26"/>
        <v>7.294573772957438E-3</v>
      </c>
      <c r="G176" s="2"/>
      <c r="H176" s="6">
        <v>21421.512381999997</v>
      </c>
      <c r="I176" s="2"/>
      <c r="J176" s="7">
        <f t="shared" si="27"/>
        <v>3.8051636921199838E-2</v>
      </c>
      <c r="K176" s="2"/>
      <c r="L176" s="6">
        <f t="shared" si="28"/>
        <v>-18182.682381999999</v>
      </c>
      <c r="M176" s="2"/>
      <c r="N176" s="7">
        <f t="shared" si="29"/>
        <v>-0.84880479294629485</v>
      </c>
      <c r="O176" s="11"/>
      <c r="P176" s="6">
        <v>15944.24</v>
      </c>
      <c r="Q176" s="2"/>
      <c r="R176" s="7">
        <f t="shared" si="30"/>
        <v>2.8909713807914435E-3</v>
      </c>
      <c r="S176" s="2"/>
      <c r="T176" s="6">
        <v>138524.508608</v>
      </c>
      <c r="U176" s="2"/>
      <c r="V176" s="7">
        <f t="shared" si="31"/>
        <v>2.3725093374151806E-2</v>
      </c>
      <c r="W176" s="2"/>
      <c r="X176" s="6">
        <f t="shared" si="32"/>
        <v>-122580.268608</v>
      </c>
      <c r="Y176" s="2"/>
      <c r="Z176" s="7">
        <f t="shared" si="33"/>
        <v>-0.88489950146569807</v>
      </c>
    </row>
    <row r="177" spans="1:26" s="24" customFormat="1" hidden="1" outlineLevel="2" x14ac:dyDescent="0.25">
      <c r="A177" s="26"/>
      <c r="B177" s="11" t="str">
        <f>CONCATENATE("          ", "6005", " - ", "TEMPORARY WAGES-HOURLY")</f>
        <v xml:space="preserve">          6005 - TEMPORARY WAGES-HOURLY</v>
      </c>
      <c r="C177" s="11"/>
      <c r="D177" s="6">
        <v>17207.34</v>
      </c>
      <c r="E177" s="2"/>
      <c r="F177" s="7">
        <f t="shared" si="26"/>
        <v>3.8754800673811672E-2</v>
      </c>
      <c r="G177" s="2"/>
      <c r="H177" s="6">
        <v>3517.92</v>
      </c>
      <c r="I177" s="2"/>
      <c r="J177" s="7">
        <f t="shared" si="27"/>
        <v>6.2489805654576012E-3</v>
      </c>
      <c r="K177" s="2"/>
      <c r="L177" s="6">
        <f t="shared" si="28"/>
        <v>13689.42</v>
      </c>
      <c r="M177" s="2"/>
      <c r="N177" s="7">
        <f t="shared" si="29"/>
        <v>3.8913392004366214</v>
      </c>
      <c r="O177" s="11"/>
      <c r="P177" s="6">
        <v>108204.72</v>
      </c>
      <c r="Q177" s="2"/>
      <c r="R177" s="7">
        <f t="shared" si="30"/>
        <v>1.9619420479530632E-2</v>
      </c>
      <c r="S177" s="2"/>
      <c r="T177" s="6">
        <v>19823.2</v>
      </c>
      <c r="U177" s="2"/>
      <c r="V177" s="7">
        <f t="shared" si="31"/>
        <v>3.3951195763153577E-3</v>
      </c>
      <c r="W177" s="2"/>
      <c r="X177" s="6">
        <f t="shared" si="32"/>
        <v>88381.52</v>
      </c>
      <c r="Y177" s="2"/>
      <c r="Z177" s="7">
        <f t="shared" si="33"/>
        <v>4.4584890431413697</v>
      </c>
    </row>
    <row r="178" spans="1:26" s="24" customFormat="1" hidden="1" outlineLevel="2" x14ac:dyDescent="0.25">
      <c r="A178" s="26"/>
      <c r="B178" s="11" t="str">
        <f>CONCATENATE("          ", "6006", " - ", "TEMPORARY PART TIME")</f>
        <v xml:space="preserve">          6006 - TEMPORARY PART TIME</v>
      </c>
      <c r="C178" s="11"/>
      <c r="D178" s="6">
        <v>672</v>
      </c>
      <c r="E178" s="2"/>
      <c r="F178" s="7">
        <f t="shared" si="26"/>
        <v>1.5134951743152308E-3</v>
      </c>
      <c r="G178" s="2"/>
      <c r="H178" s="6">
        <v>0</v>
      </c>
      <c r="I178" s="2"/>
      <c r="J178" s="7">
        <f t="shared" si="27"/>
        <v>0</v>
      </c>
      <c r="K178" s="2"/>
      <c r="L178" s="6">
        <f t="shared" si="28"/>
        <v>672</v>
      </c>
      <c r="M178" s="2"/>
      <c r="N178" s="7">
        <f t="shared" si="29"/>
        <v>0</v>
      </c>
      <c r="O178" s="11"/>
      <c r="P178" s="6">
        <v>20507.75</v>
      </c>
      <c r="Q178" s="2"/>
      <c r="R178" s="7">
        <f t="shared" si="30"/>
        <v>3.7184160759262106E-3</v>
      </c>
      <c r="S178" s="2"/>
      <c r="T178" s="6">
        <v>0</v>
      </c>
      <c r="U178" s="2"/>
      <c r="V178" s="7">
        <f t="shared" si="31"/>
        <v>0</v>
      </c>
      <c r="W178" s="2"/>
      <c r="X178" s="6">
        <f t="shared" si="32"/>
        <v>20507.75</v>
      </c>
      <c r="Y178" s="2"/>
      <c r="Z178" s="7">
        <f t="shared" si="33"/>
        <v>0</v>
      </c>
    </row>
    <row r="179" spans="1:26" s="24" customFormat="1" hidden="1" outlineLevel="2" x14ac:dyDescent="0.25">
      <c r="A179" s="26"/>
      <c r="B179" s="11" t="str">
        <f>CONCATENATE("          ", "6007", " - ", "STUDENT HOURLY")</f>
        <v xml:space="preserve">          6007 - STUDENT HOURLY</v>
      </c>
      <c r="C179" s="11"/>
      <c r="D179" s="6">
        <v>59504.65</v>
      </c>
      <c r="E179" s="2"/>
      <c r="F179" s="7">
        <f t="shared" si="26"/>
        <v>0.1340178580719</v>
      </c>
      <c r="G179" s="2"/>
      <c r="H179" s="6">
        <v>3922.68</v>
      </c>
      <c r="I179" s="2"/>
      <c r="J179" s="7">
        <f t="shared" si="27"/>
        <v>6.9679671750662951E-3</v>
      </c>
      <c r="K179" s="2"/>
      <c r="L179" s="6">
        <f t="shared" si="28"/>
        <v>55581.97</v>
      </c>
      <c r="M179" s="2"/>
      <c r="N179" s="7">
        <f t="shared" si="29"/>
        <v>14.169386745796242</v>
      </c>
      <c r="O179" s="11"/>
      <c r="P179" s="6">
        <v>467205.76</v>
      </c>
      <c r="Q179" s="2"/>
      <c r="R179" s="7">
        <f t="shared" si="30"/>
        <v>8.4712628579406465E-2</v>
      </c>
      <c r="S179" s="2"/>
      <c r="T179" s="6">
        <v>145682.68636319999</v>
      </c>
      <c r="U179" s="2"/>
      <c r="V179" s="7">
        <f t="shared" si="31"/>
        <v>2.4951074518842098E-2</v>
      </c>
      <c r="W179" s="2"/>
      <c r="X179" s="6">
        <f t="shared" si="32"/>
        <v>321523.07363680005</v>
      </c>
      <c r="Y179" s="2"/>
      <c r="Z179" s="7">
        <f t="shared" si="33"/>
        <v>2.207009505818792</v>
      </c>
    </row>
    <row r="180" spans="1:26" s="24" customFormat="1" hidden="1" outlineLevel="2" x14ac:dyDescent="0.25">
      <c r="A180" s="26"/>
      <c r="B180" s="11" t="str">
        <f>CONCATENATE("          ", "6008", " - ", "STUDENT HOURLY-FICA EXEMPT")</f>
        <v xml:space="preserve">          6008 - STUDENT HOURLY-FICA EXEMPT</v>
      </c>
      <c r="C180" s="11"/>
      <c r="D180" s="6">
        <v>1160.25</v>
      </c>
      <c r="E180" s="2"/>
      <c r="F180" s="7">
        <f t="shared" si="26"/>
        <v>2.6131440119036404E-3</v>
      </c>
      <c r="G180" s="2"/>
      <c r="H180" s="6">
        <v>67636.434210520005</v>
      </c>
      <c r="I180" s="2"/>
      <c r="J180" s="7">
        <f t="shared" si="27"/>
        <v>0.120144506668256</v>
      </c>
      <c r="K180" s="2"/>
      <c r="L180" s="6">
        <f t="shared" si="28"/>
        <v>-66476.184210520005</v>
      </c>
      <c r="M180" s="2"/>
      <c r="N180" s="7">
        <f t="shared" si="29"/>
        <v>-0.98284578402834344</v>
      </c>
      <c r="O180" s="11"/>
      <c r="P180" s="6">
        <v>6443.25</v>
      </c>
      <c r="Q180" s="2"/>
      <c r="R180" s="7">
        <f t="shared" si="30"/>
        <v>1.1682746464732384E-3</v>
      </c>
      <c r="S180" s="2"/>
      <c r="T180" s="6">
        <v>355330.79074152</v>
      </c>
      <c r="U180" s="2"/>
      <c r="V180" s="7">
        <f t="shared" si="31"/>
        <v>6.0857506543552528E-2</v>
      </c>
      <c r="W180" s="2"/>
      <c r="X180" s="6">
        <f t="shared" si="32"/>
        <v>-348887.54074152</v>
      </c>
      <c r="Y180" s="2"/>
      <c r="Z180" s="7">
        <f t="shared" si="33"/>
        <v>-0.98186689651478287</v>
      </c>
    </row>
    <row r="181" spans="1:26" s="24" customFormat="1" hidden="1" outlineLevel="2" x14ac:dyDescent="0.25">
      <c r="A181" s="26"/>
      <c r="B181" s="11" t="str">
        <f>CONCATENATE("          ", "6009", " - ", "TEMPORARY-SEASONAL")</f>
        <v xml:space="preserve">          6009 - TEMPORARY-SEASONAL</v>
      </c>
      <c r="C181" s="11"/>
      <c r="D181" s="6"/>
      <c r="E181" s="2"/>
      <c r="F181" s="7">
        <f t="shared" si="26"/>
        <v>0</v>
      </c>
      <c r="G181" s="2"/>
      <c r="H181" s="6">
        <v>0</v>
      </c>
      <c r="I181" s="2"/>
      <c r="J181" s="7">
        <f t="shared" si="27"/>
        <v>0</v>
      </c>
      <c r="K181" s="2"/>
      <c r="L181" s="6">
        <f t="shared" si="28"/>
        <v>0</v>
      </c>
      <c r="M181" s="2"/>
      <c r="N181" s="7">
        <f t="shared" si="29"/>
        <v>0</v>
      </c>
      <c r="O181" s="11"/>
      <c r="P181" s="6"/>
      <c r="Q181" s="2"/>
      <c r="R181" s="7">
        <f t="shared" si="30"/>
        <v>0</v>
      </c>
      <c r="S181" s="2"/>
      <c r="T181" s="6">
        <v>0</v>
      </c>
      <c r="U181" s="2"/>
      <c r="V181" s="7">
        <f t="shared" si="31"/>
        <v>0</v>
      </c>
      <c r="W181" s="2"/>
      <c r="X181" s="6">
        <f t="shared" si="32"/>
        <v>0</v>
      </c>
      <c r="Y181" s="2"/>
      <c r="Z181" s="7">
        <f t="shared" si="33"/>
        <v>0</v>
      </c>
    </row>
    <row r="182" spans="1:26" s="24" customFormat="1" hidden="1" outlineLevel="2" x14ac:dyDescent="0.25">
      <c r="A182" s="26"/>
      <c r="B182" s="11" t="str">
        <f>CONCATENATE("          ", "6010", " - ", "GRATUITY")</f>
        <v xml:space="preserve">          6010 - GRATUITY</v>
      </c>
      <c r="C182" s="11"/>
      <c r="D182" s="6"/>
      <c r="E182" s="2"/>
      <c r="F182" s="7">
        <f t="shared" si="26"/>
        <v>0</v>
      </c>
      <c r="G182" s="2"/>
      <c r="H182" s="6">
        <v>0</v>
      </c>
      <c r="I182" s="2"/>
      <c r="J182" s="7">
        <f t="shared" si="27"/>
        <v>0</v>
      </c>
      <c r="K182" s="2"/>
      <c r="L182" s="6">
        <f t="shared" si="28"/>
        <v>0</v>
      </c>
      <c r="M182" s="2"/>
      <c r="N182" s="7">
        <f t="shared" si="29"/>
        <v>0</v>
      </c>
      <c r="O182" s="11"/>
      <c r="P182" s="6"/>
      <c r="Q182" s="2"/>
      <c r="R182" s="7">
        <f t="shared" si="30"/>
        <v>0</v>
      </c>
      <c r="S182" s="2"/>
      <c r="T182" s="6">
        <v>0</v>
      </c>
      <c r="U182" s="2"/>
      <c r="V182" s="7">
        <f t="shared" si="31"/>
        <v>0</v>
      </c>
      <c r="W182" s="2"/>
      <c r="X182" s="6">
        <f t="shared" si="32"/>
        <v>0</v>
      </c>
      <c r="Y182" s="2"/>
      <c r="Z182" s="7">
        <f t="shared" si="33"/>
        <v>0</v>
      </c>
    </row>
    <row r="183" spans="1:26" s="25" customFormat="1" outlineLevel="1" collapsed="1" x14ac:dyDescent="0.25">
      <c r="A183" s="27"/>
      <c r="B183" s="13" t="str">
        <f>CONCATENATE("     ","Advertising/Promo                                 ")</f>
        <v xml:space="preserve">     Advertising/Promo                                 </v>
      </c>
      <c r="C183" s="13"/>
      <c r="D183" s="1">
        <f>SUM(OSRRefD22_2x_0)</f>
        <v>4680.18</v>
      </c>
      <c r="E183" s="1"/>
      <c r="F183" s="5">
        <f t="shared" ref="F183:F187" si="34">IF(D$12=0,0,D183/D$12)</f>
        <v>1.054081822161705E-2</v>
      </c>
      <c r="G183" s="1"/>
      <c r="H183" s="1">
        <f>SUM(OSRRefH22_2x_0)</f>
        <v>6170</v>
      </c>
      <c r="I183" s="1"/>
      <c r="J183" s="5">
        <f t="shared" ref="J183:J187" si="35">IF(H$12=0,0,H183/H$12)</f>
        <v>1.095994510644739E-2</v>
      </c>
      <c r="K183" s="1"/>
      <c r="L183" s="1">
        <f t="shared" ref="L183:L187" si="36">+D183-H183</f>
        <v>-1489.8199999999997</v>
      </c>
      <c r="M183" s="1"/>
      <c r="N183" s="5">
        <f t="shared" ref="N183:N187" si="37">IF(H183=0,0,L183/H183)</f>
        <v>-0.24146191247974064</v>
      </c>
      <c r="O183" s="13"/>
      <c r="P183" s="1">
        <f>SUM(OSRRefP22_2x_0)</f>
        <v>37301.53</v>
      </c>
      <c r="Q183" s="1"/>
      <c r="R183" s="5">
        <f t="shared" ref="R183:R187" si="38">IF(P$12=0,0,P183/P$12)</f>
        <v>6.7634240132946723E-3</v>
      </c>
      <c r="S183" s="1"/>
      <c r="T183" s="1">
        <f>SUM(OSRRefT22_2x_0)</f>
        <v>38820</v>
      </c>
      <c r="U183" s="1"/>
      <c r="V183" s="5">
        <f t="shared" ref="V183:V187" si="39">IF(T$12=0,0,T183/T$12)</f>
        <v>6.6487016199484536E-3</v>
      </c>
      <c r="W183" s="1"/>
      <c r="X183" s="1">
        <f t="shared" ref="X183:X187" si="40">+P183-T183</f>
        <v>-1518.4700000000012</v>
      </c>
      <c r="Y183" s="1"/>
      <c r="Z183" s="5">
        <f t="shared" ref="Z183:Z187" si="41">IF(T183=0,0,X183/T183)</f>
        <v>-3.9115662029881537E-2</v>
      </c>
    </row>
    <row r="184" spans="1:26" s="24" customFormat="1" hidden="1" outlineLevel="2" x14ac:dyDescent="0.25">
      <c r="A184" s="26"/>
      <c r="B184" s="11" t="str">
        <f>CONCATENATE("          ", "6362", " - ", "ADVERTISING EXPENSE")</f>
        <v xml:space="preserve">          6362 - ADVERTISING EXPENSE</v>
      </c>
      <c r="C184" s="11"/>
      <c r="D184" s="6">
        <v>4680.18</v>
      </c>
      <c r="E184" s="2"/>
      <c r="F184" s="7">
        <f t="shared" si="34"/>
        <v>1.054081822161705E-2</v>
      </c>
      <c r="G184" s="2"/>
      <c r="H184" s="6">
        <v>6170</v>
      </c>
      <c r="I184" s="2"/>
      <c r="J184" s="7">
        <f t="shared" si="35"/>
        <v>1.095994510644739E-2</v>
      </c>
      <c r="K184" s="2"/>
      <c r="L184" s="6">
        <f t="shared" si="36"/>
        <v>-1489.8199999999997</v>
      </c>
      <c r="M184" s="2"/>
      <c r="N184" s="7">
        <f t="shared" si="37"/>
        <v>-0.24146191247974064</v>
      </c>
      <c r="O184" s="11"/>
      <c r="P184" s="6">
        <v>37301.53</v>
      </c>
      <c r="Q184" s="2"/>
      <c r="R184" s="7">
        <f t="shared" si="38"/>
        <v>6.7634240132946723E-3</v>
      </c>
      <c r="S184" s="2"/>
      <c r="T184" s="6">
        <v>38820</v>
      </c>
      <c r="U184" s="2"/>
      <c r="V184" s="7">
        <f t="shared" si="39"/>
        <v>6.6487016199484536E-3</v>
      </c>
      <c r="W184" s="2"/>
      <c r="X184" s="6">
        <f t="shared" si="40"/>
        <v>-1518.4700000000012</v>
      </c>
      <c r="Y184" s="2"/>
      <c r="Z184" s="7">
        <f t="shared" si="41"/>
        <v>-3.9115662029881537E-2</v>
      </c>
    </row>
    <row r="185" spans="1:26" s="25" customFormat="1" outlineLevel="1" collapsed="1" x14ac:dyDescent="0.25">
      <c r="A185" s="27"/>
      <c r="B185" s="13" t="str">
        <f>CONCATENATE("     ","Bad Debts/Over/Short                              ")</f>
        <v xml:space="preserve">     Bad Debts/Over/Short                              </v>
      </c>
      <c r="C185" s="13"/>
      <c r="D185" s="1">
        <f>SUM(OSRRefD22_3x_0)</f>
        <v>77.56</v>
      </c>
      <c r="E185" s="1"/>
      <c r="F185" s="5">
        <f t="shared" si="34"/>
        <v>1.7468256803554954E-4</v>
      </c>
      <c r="G185" s="1"/>
      <c r="H185" s="1">
        <f>SUM(OSRRefH22_3x_0)</f>
        <v>135</v>
      </c>
      <c r="I185" s="1"/>
      <c r="J185" s="5">
        <f t="shared" si="35"/>
        <v>2.3980430946035617E-4</v>
      </c>
      <c r="K185" s="1"/>
      <c r="L185" s="1">
        <f t="shared" si="36"/>
        <v>-57.44</v>
      </c>
      <c r="M185" s="1"/>
      <c r="N185" s="5">
        <f t="shared" si="37"/>
        <v>-0.42548148148148146</v>
      </c>
      <c r="O185" s="13"/>
      <c r="P185" s="1">
        <f>SUM(OSRRefP22_3x_0)</f>
        <v>150.01999999999998</v>
      </c>
      <c r="Q185" s="1"/>
      <c r="R185" s="5">
        <f t="shared" si="38"/>
        <v>2.7201266824027502E-5</v>
      </c>
      <c r="S185" s="1"/>
      <c r="T185" s="1">
        <f>SUM(OSRRefT22_3x_0)</f>
        <v>810</v>
      </c>
      <c r="U185" s="1"/>
      <c r="V185" s="5">
        <f t="shared" si="39"/>
        <v>1.3872870458934178E-4</v>
      </c>
      <c r="W185" s="1"/>
      <c r="X185" s="1">
        <f t="shared" si="40"/>
        <v>-659.98</v>
      </c>
      <c r="Y185" s="1"/>
      <c r="Z185" s="5">
        <f t="shared" si="41"/>
        <v>-0.81479012345679014</v>
      </c>
    </row>
    <row r="186" spans="1:26" s="24" customFormat="1" hidden="1" outlineLevel="2" x14ac:dyDescent="0.25">
      <c r="A186" s="26"/>
      <c r="B186" s="11" t="str">
        <f>CONCATENATE("          ", "6272", " - ", "CASH (OVER/SHORT)")</f>
        <v xml:space="preserve">          6272 - CASH (OVER/SHORT)</v>
      </c>
      <c r="C186" s="11"/>
      <c r="D186" s="6">
        <v>77.56</v>
      </c>
      <c r="E186" s="2"/>
      <c r="F186" s="7">
        <f t="shared" si="34"/>
        <v>1.7468256803554954E-4</v>
      </c>
      <c r="G186" s="2"/>
      <c r="H186" s="6">
        <v>125</v>
      </c>
      <c r="I186" s="2"/>
      <c r="J186" s="7">
        <f t="shared" si="35"/>
        <v>2.2204102727810756E-4</v>
      </c>
      <c r="K186" s="2"/>
      <c r="L186" s="6">
        <f t="shared" si="36"/>
        <v>-47.44</v>
      </c>
      <c r="M186" s="2"/>
      <c r="N186" s="7">
        <f t="shared" si="37"/>
        <v>-0.37951999999999997</v>
      </c>
      <c r="O186" s="11"/>
      <c r="P186" s="6">
        <v>105.22</v>
      </c>
      <c r="Q186" s="2"/>
      <c r="R186" s="7">
        <f t="shared" si="38"/>
        <v>1.9078238203067418E-5</v>
      </c>
      <c r="S186" s="2"/>
      <c r="T186" s="6">
        <v>750</v>
      </c>
      <c r="U186" s="2"/>
      <c r="V186" s="7">
        <f t="shared" si="39"/>
        <v>1.2845250424939052E-4</v>
      </c>
      <c r="W186" s="2"/>
      <c r="X186" s="6">
        <f t="shared" si="40"/>
        <v>-644.78</v>
      </c>
      <c r="Y186" s="2"/>
      <c r="Z186" s="7">
        <f t="shared" si="41"/>
        <v>-0.85970666666666662</v>
      </c>
    </row>
    <row r="187" spans="1:26" s="24" customFormat="1" hidden="1" outlineLevel="2" x14ac:dyDescent="0.25">
      <c r="A187" s="26"/>
      <c r="B187" s="11" t="str">
        <f>CONCATENATE("          ", "6342", " - ", "BAD DEBT")</f>
        <v xml:space="preserve">          6342 - BAD DEBT</v>
      </c>
      <c r="C187" s="11"/>
      <c r="D187" s="6"/>
      <c r="E187" s="2"/>
      <c r="F187" s="7">
        <f t="shared" si="34"/>
        <v>0</v>
      </c>
      <c r="G187" s="2"/>
      <c r="H187" s="6">
        <v>10</v>
      </c>
      <c r="I187" s="2"/>
      <c r="J187" s="7">
        <f t="shared" si="35"/>
        <v>1.7763282182248606E-5</v>
      </c>
      <c r="K187" s="2"/>
      <c r="L187" s="6">
        <f t="shared" si="36"/>
        <v>-10</v>
      </c>
      <c r="M187" s="2"/>
      <c r="N187" s="7">
        <f t="shared" si="37"/>
        <v>-1</v>
      </c>
      <c r="O187" s="11"/>
      <c r="P187" s="6">
        <v>44.8</v>
      </c>
      <c r="Q187" s="2"/>
      <c r="R187" s="7">
        <f t="shared" si="38"/>
        <v>8.1230286209600873E-6</v>
      </c>
      <c r="S187" s="2"/>
      <c r="T187" s="6">
        <v>60</v>
      </c>
      <c r="U187" s="2"/>
      <c r="V187" s="7">
        <f t="shared" si="39"/>
        <v>1.0276200339951242E-5</v>
      </c>
      <c r="W187" s="2"/>
      <c r="X187" s="6">
        <f t="shared" si="40"/>
        <v>-15.200000000000003</v>
      </c>
      <c r="Y187" s="2"/>
      <c r="Z187" s="7">
        <f t="shared" si="41"/>
        <v>-0.25333333333333335</v>
      </c>
    </row>
    <row r="188" spans="1:26" s="25" customFormat="1" outlineLevel="1" collapsed="1" x14ac:dyDescent="0.25">
      <c r="A188" s="27"/>
      <c r="B188" s="13" t="str">
        <f>CONCATENATE("     ","Bank/card Fees                                    ")</f>
        <v xml:space="preserve">     Bank/card Fees                                    </v>
      </c>
      <c r="C188" s="13"/>
      <c r="D188" s="1">
        <f>SUM(OSRRefD22_4x_0)</f>
        <v>9604.4500000000007</v>
      </c>
      <c r="E188" s="1"/>
      <c r="F188" s="5">
        <f t="shared" ref="F188:F194" si="42">IF(D$12=0,0,D188/D$12)</f>
        <v>2.1631382034154642E-2</v>
      </c>
      <c r="G188" s="1"/>
      <c r="H188" s="1">
        <f>SUM(OSRRefH22_4x_0)</f>
        <v>29650</v>
      </c>
      <c r="I188" s="1"/>
      <c r="J188" s="5">
        <f t="shared" ref="J188:J194" si="43">IF(H$12=0,0,H188/H$12)</f>
        <v>5.2668131670367116E-2</v>
      </c>
      <c r="K188" s="1"/>
      <c r="L188" s="1">
        <f t="shared" ref="L188:L194" si="44">+D188-H188</f>
        <v>-20045.55</v>
      </c>
      <c r="M188" s="1"/>
      <c r="N188" s="5">
        <f t="shared" ref="N188:N194" si="45">IF(H188=0,0,L188/H188)</f>
        <v>-0.67607251264755475</v>
      </c>
      <c r="O188" s="13"/>
      <c r="P188" s="1">
        <f>SUM(OSRRefP22_4x_0)</f>
        <v>91668.18</v>
      </c>
      <c r="Q188" s="1"/>
      <c r="R188" s="5">
        <f t="shared" ref="R188:R194" si="46">IF(P$12=0,0,P188/P$12)</f>
        <v>1.6621054682395556E-2</v>
      </c>
      <c r="S188" s="1"/>
      <c r="T188" s="1">
        <f>SUM(OSRRefT22_4x_0)</f>
        <v>112895</v>
      </c>
      <c r="U188" s="1"/>
      <c r="V188" s="5">
        <f t="shared" ref="V188:V194" si="47">IF(T$12=0,0,T188/T$12)</f>
        <v>1.9335527289646593E-2</v>
      </c>
      <c r="W188" s="1"/>
      <c r="X188" s="1">
        <f t="shared" ref="X188:X194" si="48">+P188-T188</f>
        <v>-21226.820000000007</v>
      </c>
      <c r="Y188" s="1"/>
      <c r="Z188" s="5">
        <f t="shared" ref="Z188:Z194" si="49">IF(T188=0,0,X188/T188)</f>
        <v>-0.18802267593781838</v>
      </c>
    </row>
    <row r="189" spans="1:26" s="24" customFormat="1" hidden="1" outlineLevel="2" x14ac:dyDescent="0.25">
      <c r="A189" s="26"/>
      <c r="B189" s="11" t="str">
        <f>CONCATENATE("          ", "6381", " - ", "BANK/CREDIT CARD FEES")</f>
        <v xml:space="preserve">          6381 - BANK/CREDIT CARD FEES</v>
      </c>
      <c r="C189" s="11"/>
      <c r="D189" s="6">
        <v>9604.4500000000007</v>
      </c>
      <c r="E189" s="2"/>
      <c r="F189" s="7">
        <f t="shared" si="42"/>
        <v>2.1631382034154642E-2</v>
      </c>
      <c r="G189" s="2"/>
      <c r="H189" s="6">
        <v>29650</v>
      </c>
      <c r="I189" s="2"/>
      <c r="J189" s="7">
        <f t="shared" si="43"/>
        <v>5.2668131670367116E-2</v>
      </c>
      <c r="K189" s="2"/>
      <c r="L189" s="6">
        <f t="shared" si="44"/>
        <v>-20045.55</v>
      </c>
      <c r="M189" s="2"/>
      <c r="N189" s="7">
        <f t="shared" si="45"/>
        <v>-0.67607251264755475</v>
      </c>
      <c r="O189" s="11"/>
      <c r="P189" s="6">
        <v>91668.18</v>
      </c>
      <c r="Q189" s="2"/>
      <c r="R189" s="7">
        <f t="shared" si="46"/>
        <v>1.6621054682395556E-2</v>
      </c>
      <c r="S189" s="2"/>
      <c r="T189" s="6">
        <v>112895</v>
      </c>
      <c r="U189" s="2"/>
      <c r="V189" s="7">
        <f t="shared" si="47"/>
        <v>1.9335527289646593E-2</v>
      </c>
      <c r="W189" s="2"/>
      <c r="X189" s="6">
        <f t="shared" si="48"/>
        <v>-21226.820000000007</v>
      </c>
      <c r="Y189" s="2"/>
      <c r="Z189" s="7">
        <f t="shared" si="49"/>
        <v>-0.18802267593781838</v>
      </c>
    </row>
    <row r="190" spans="1:26" s="25" customFormat="1" outlineLevel="1" collapsed="1" x14ac:dyDescent="0.25">
      <c r="A190" s="27"/>
      <c r="B190" s="13" t="str">
        <f>CONCATENATE("     ","Depreciation                                      ")</f>
        <v xml:space="preserve">     Depreciation                                      </v>
      </c>
      <c r="C190" s="13"/>
      <c r="D190" s="1">
        <f>SUM(OSRRefD22_5x_0)</f>
        <v>29777.31</v>
      </c>
      <c r="E190" s="1"/>
      <c r="F190" s="5">
        <f t="shared" si="42"/>
        <v>6.7065200876620032E-2</v>
      </c>
      <c r="G190" s="1"/>
      <c r="H190" s="1">
        <f>SUM(OSRRefH22_5x_0)</f>
        <v>30479</v>
      </c>
      <c r="I190" s="1"/>
      <c r="J190" s="5">
        <f t="shared" si="43"/>
        <v>5.4140707763275522E-2</v>
      </c>
      <c r="K190" s="1"/>
      <c r="L190" s="1">
        <f t="shared" si="44"/>
        <v>-701.68999999999869</v>
      </c>
      <c r="M190" s="1"/>
      <c r="N190" s="5">
        <f t="shared" si="45"/>
        <v>-2.3022080776928334E-2</v>
      </c>
      <c r="O190" s="13"/>
      <c r="P190" s="1">
        <f>SUM(OSRRefP22_5x_0)</f>
        <v>177814.46</v>
      </c>
      <c r="Q190" s="1"/>
      <c r="R190" s="5">
        <f t="shared" si="46"/>
        <v>3.2240891691976845E-2</v>
      </c>
      <c r="S190" s="1"/>
      <c r="T190" s="1">
        <f>SUM(OSRRefT22_5x_0)</f>
        <v>182043</v>
      </c>
      <c r="U190" s="1"/>
      <c r="V190" s="5">
        <f t="shared" si="47"/>
        <v>3.1178505641429065E-2</v>
      </c>
      <c r="W190" s="1"/>
      <c r="X190" s="1">
        <f t="shared" si="48"/>
        <v>-4228.5400000000081</v>
      </c>
      <c r="Y190" s="1"/>
      <c r="Z190" s="5">
        <f t="shared" si="49"/>
        <v>-2.3228248271012938E-2</v>
      </c>
    </row>
    <row r="191" spans="1:26" s="24" customFormat="1" hidden="1" outlineLevel="2" x14ac:dyDescent="0.25">
      <c r="A191" s="26"/>
      <c r="B191" s="11" t="str">
        <f>CONCATENATE("          ", "6321", " - ", "BUILDING DEPRECIATION")</f>
        <v xml:space="preserve">          6321 - BUILDING DEPRECIATION</v>
      </c>
      <c r="C191" s="11"/>
      <c r="D191" s="6">
        <v>16396.52</v>
      </c>
      <c r="E191" s="2"/>
      <c r="F191" s="7">
        <f t="shared" si="42"/>
        <v>3.6928651630302331E-2</v>
      </c>
      <c r="G191" s="2"/>
      <c r="H191" s="6">
        <v>16397</v>
      </c>
      <c r="I191" s="2"/>
      <c r="J191" s="7">
        <f t="shared" si="43"/>
        <v>2.9126453794233037E-2</v>
      </c>
      <c r="K191" s="2"/>
      <c r="L191" s="6">
        <f t="shared" si="44"/>
        <v>-0.47999999999956344</v>
      </c>
      <c r="M191" s="2"/>
      <c r="N191" s="7">
        <f t="shared" si="45"/>
        <v>-2.927364761844017E-5</v>
      </c>
      <c r="O191" s="11"/>
      <c r="P191" s="6">
        <v>98379.12</v>
      </c>
      <c r="Q191" s="2"/>
      <c r="R191" s="7">
        <f t="shared" si="46"/>
        <v>1.7837866238055066E-2</v>
      </c>
      <c r="S191" s="2"/>
      <c r="T191" s="6">
        <v>98550</v>
      </c>
      <c r="U191" s="2"/>
      <c r="V191" s="7">
        <f t="shared" si="47"/>
        <v>1.6878659058369914E-2</v>
      </c>
      <c r="W191" s="2"/>
      <c r="X191" s="6">
        <f t="shared" si="48"/>
        <v>-170.88000000000466</v>
      </c>
      <c r="Y191" s="2"/>
      <c r="Z191" s="7">
        <f t="shared" si="49"/>
        <v>-1.7339421613394689E-3</v>
      </c>
    </row>
    <row r="192" spans="1:26" s="24" customFormat="1" hidden="1" outlineLevel="2" x14ac:dyDescent="0.25">
      <c r="A192" s="26"/>
      <c r="B192" s="11" t="str">
        <f>CONCATENATE("          ", "6322", " - ", "EQUIPMENT DEPRECIATION EXPENSE")</f>
        <v xml:space="preserve">          6322 - EQUIPMENT DEPRECIATION EXPENSE</v>
      </c>
      <c r="C192" s="11"/>
      <c r="D192" s="6">
        <v>13380.79</v>
      </c>
      <c r="E192" s="2"/>
      <c r="F192" s="7">
        <f t="shared" si="42"/>
        <v>3.0136549246317704E-2</v>
      </c>
      <c r="G192" s="2"/>
      <c r="H192" s="6">
        <v>13049</v>
      </c>
      <c r="I192" s="2"/>
      <c r="J192" s="7">
        <f t="shared" si="43"/>
        <v>2.3179306919616203E-2</v>
      </c>
      <c r="K192" s="2"/>
      <c r="L192" s="6">
        <f t="shared" si="44"/>
        <v>331.79000000000087</v>
      </c>
      <c r="M192" s="2"/>
      <c r="N192" s="7">
        <f t="shared" si="45"/>
        <v>2.5426469461261467E-2</v>
      </c>
      <c r="O192" s="11"/>
      <c r="P192" s="6">
        <v>79435.34</v>
      </c>
      <c r="Q192" s="2"/>
      <c r="R192" s="7">
        <f t="shared" si="46"/>
        <v>1.4403025453921777E-2</v>
      </c>
      <c r="S192" s="2"/>
      <c r="T192" s="6">
        <v>78294</v>
      </c>
      <c r="U192" s="2"/>
      <c r="V192" s="7">
        <f t="shared" si="47"/>
        <v>1.3409413823602376E-2</v>
      </c>
      <c r="W192" s="2"/>
      <c r="X192" s="6">
        <f t="shared" si="48"/>
        <v>1141.3399999999965</v>
      </c>
      <c r="Y192" s="2"/>
      <c r="Z192" s="7">
        <f t="shared" si="49"/>
        <v>1.4577617697396947E-2</v>
      </c>
    </row>
    <row r="193" spans="1:26" s="24" customFormat="1" hidden="1" outlineLevel="2" x14ac:dyDescent="0.25">
      <c r="A193" s="26"/>
      <c r="B193" s="11" t="str">
        <f>CONCATENATE("          ", "6324", " - ", "FURNITURE + FIXT DEPRECIATION")</f>
        <v xml:space="preserve">          6324 - FURNITURE + FIXT DEPRECIATION</v>
      </c>
      <c r="C193" s="11"/>
      <c r="D193" s="6"/>
      <c r="E193" s="2"/>
      <c r="F193" s="7">
        <f t="shared" si="42"/>
        <v>0</v>
      </c>
      <c r="G193" s="2"/>
      <c r="H193" s="6">
        <v>700</v>
      </c>
      <c r="I193" s="2"/>
      <c r="J193" s="7">
        <f t="shared" si="43"/>
        <v>1.2434297527574023E-3</v>
      </c>
      <c r="K193" s="2"/>
      <c r="L193" s="6">
        <f t="shared" si="44"/>
        <v>-700</v>
      </c>
      <c r="M193" s="2"/>
      <c r="N193" s="7">
        <f t="shared" si="45"/>
        <v>-1</v>
      </c>
      <c r="O193" s="11"/>
      <c r="P193" s="6"/>
      <c r="Q193" s="2"/>
      <c r="R193" s="7">
        <f t="shared" si="46"/>
        <v>0</v>
      </c>
      <c r="S193" s="2"/>
      <c r="T193" s="6">
        <v>4200</v>
      </c>
      <c r="U193" s="2"/>
      <c r="V193" s="7">
        <f t="shared" si="47"/>
        <v>7.1933402379658696E-4</v>
      </c>
      <c r="W193" s="2"/>
      <c r="X193" s="6">
        <f t="shared" si="48"/>
        <v>-4200</v>
      </c>
      <c r="Y193" s="2"/>
      <c r="Z193" s="7">
        <f t="shared" si="49"/>
        <v>-1</v>
      </c>
    </row>
    <row r="194" spans="1:26" s="24" customFormat="1" hidden="1" outlineLevel="2" x14ac:dyDescent="0.25">
      <c r="A194" s="26"/>
      <c r="B194" s="11" t="str">
        <f>CONCATENATE("          ", "6326", " - ", "VEHICLES DEPRECIATION EXPENSE")</f>
        <v xml:space="preserve">          6326 - VEHICLES DEPRECIATION EXPENSE</v>
      </c>
      <c r="C194" s="11"/>
      <c r="D194" s="6"/>
      <c r="E194" s="2"/>
      <c r="F194" s="7">
        <f t="shared" si="42"/>
        <v>0</v>
      </c>
      <c r="G194" s="2"/>
      <c r="H194" s="6">
        <v>333</v>
      </c>
      <c r="I194" s="2"/>
      <c r="J194" s="7">
        <f t="shared" si="43"/>
        <v>5.9151729666887855E-4</v>
      </c>
      <c r="K194" s="2"/>
      <c r="L194" s="6">
        <f t="shared" si="44"/>
        <v>-333</v>
      </c>
      <c r="M194" s="2"/>
      <c r="N194" s="7">
        <f t="shared" si="45"/>
        <v>-1</v>
      </c>
      <c r="O194" s="11"/>
      <c r="P194" s="6"/>
      <c r="Q194" s="2"/>
      <c r="R194" s="7">
        <f t="shared" si="46"/>
        <v>0</v>
      </c>
      <c r="S194" s="2"/>
      <c r="T194" s="6">
        <v>999</v>
      </c>
      <c r="U194" s="2"/>
      <c r="V194" s="7">
        <f t="shared" si="47"/>
        <v>1.7109873566018818E-4</v>
      </c>
      <c r="W194" s="2"/>
      <c r="X194" s="6">
        <f t="shared" si="48"/>
        <v>-999</v>
      </c>
      <c r="Y194" s="2"/>
      <c r="Z194" s="7">
        <f t="shared" si="49"/>
        <v>-1</v>
      </c>
    </row>
    <row r="195" spans="1:26" s="25" customFormat="1" outlineLevel="1" collapsed="1" x14ac:dyDescent="0.25">
      <c r="A195" s="27"/>
      <c r="B195" s="13" t="str">
        <f>CONCATENATE("     ","Discounts and Markdowns                           ")</f>
        <v xml:space="preserve">     Discounts and Markdowns                           </v>
      </c>
      <c r="C195" s="13"/>
      <c r="D195" s="1">
        <f>SUM(OSRRefD22_6x_0)</f>
        <v>40819.409999999996</v>
      </c>
      <c r="E195" s="1"/>
      <c r="F195" s="5">
        <f t="shared" ref="F195:F197" si="50">IF(D$12=0,0,D195/D$12)</f>
        <v>9.1934494127075689E-2</v>
      </c>
      <c r="G195" s="1"/>
      <c r="H195" s="1">
        <f>SUM(OSRRefH22_6x_0)</f>
        <v>56425</v>
      </c>
      <c r="I195" s="1"/>
      <c r="J195" s="5">
        <f t="shared" ref="J195:J197" si="51">IF(H$12=0,0,H195/H$12)</f>
        <v>0.10022931971333775</v>
      </c>
      <c r="K195" s="1"/>
      <c r="L195" s="1">
        <f t="shared" ref="L195:L197" si="52">+D195-H195</f>
        <v>-15605.590000000004</v>
      </c>
      <c r="M195" s="1"/>
      <c r="N195" s="5">
        <f t="shared" ref="N195:N197" si="53">IF(H195=0,0,L195/H195)</f>
        <v>-0.27657226406734609</v>
      </c>
      <c r="O195" s="13"/>
      <c r="P195" s="1">
        <f>SUM(OSRRefP22_6x_0)</f>
        <v>187704.34</v>
      </c>
      <c r="Q195" s="1"/>
      <c r="R195" s="5">
        <f t="shared" ref="R195:R197" si="54">IF(P$12=0,0,P195/P$12)</f>
        <v>3.4034101028982661E-2</v>
      </c>
      <c r="S195" s="1"/>
      <c r="T195" s="1">
        <f>SUM(OSRRefT22_6x_0)</f>
        <v>192050</v>
      </c>
      <c r="U195" s="1"/>
      <c r="V195" s="5">
        <f t="shared" ref="V195:V197" si="55">IF(T$12=0,0,T195/T$12)</f>
        <v>3.2892404588127269E-2</v>
      </c>
      <c r="W195" s="1"/>
      <c r="X195" s="1">
        <f t="shared" ref="X195:X197" si="56">+P195-T195</f>
        <v>-4345.6600000000035</v>
      </c>
      <c r="Y195" s="1"/>
      <c r="Z195" s="5">
        <f t="shared" ref="Z195:Z197" si="57">IF(T195=0,0,X195/T195)</f>
        <v>-2.2627753189273646E-2</v>
      </c>
    </row>
    <row r="196" spans="1:26" s="24" customFormat="1" hidden="1" outlineLevel="2" x14ac:dyDescent="0.25">
      <c r="A196" s="26"/>
      <c r="B196" s="11" t="str">
        <f>CONCATENATE("          ", "6382", " - ", "DISCOUNTS/MARK DOWNS")</f>
        <v xml:space="preserve">          6382 - DISCOUNTS/MARK DOWNS</v>
      </c>
      <c r="C196" s="11"/>
      <c r="D196" s="6">
        <v>40940.659999999996</v>
      </c>
      <c r="E196" s="2"/>
      <c r="F196" s="7">
        <f t="shared" si="50"/>
        <v>9.2207576403691358E-2</v>
      </c>
      <c r="G196" s="2"/>
      <c r="H196" s="6">
        <v>56425</v>
      </c>
      <c r="I196" s="2"/>
      <c r="J196" s="7">
        <f t="shared" si="51"/>
        <v>0.10022931971333775</v>
      </c>
      <c r="K196" s="2"/>
      <c r="L196" s="6">
        <f t="shared" si="52"/>
        <v>-15484.340000000004</v>
      </c>
      <c r="M196" s="2"/>
      <c r="N196" s="7">
        <f t="shared" si="53"/>
        <v>-0.27442339388568904</v>
      </c>
      <c r="O196" s="11"/>
      <c r="P196" s="6">
        <v>190190.84</v>
      </c>
      <c r="Q196" s="2"/>
      <c r="R196" s="7">
        <f t="shared" si="54"/>
        <v>3.4484947249206262E-2</v>
      </c>
      <c r="S196" s="2"/>
      <c r="T196" s="6">
        <v>192050</v>
      </c>
      <c r="U196" s="2"/>
      <c r="V196" s="7">
        <f t="shared" si="55"/>
        <v>3.2892404588127269E-2</v>
      </c>
      <c r="W196" s="2"/>
      <c r="X196" s="6">
        <f t="shared" si="56"/>
        <v>-1859.1600000000035</v>
      </c>
      <c r="Y196" s="2"/>
      <c r="Z196" s="7">
        <f t="shared" si="57"/>
        <v>-9.680604009372578E-3</v>
      </c>
    </row>
    <row r="197" spans="1:26" s="24" customFormat="1" hidden="1" outlineLevel="2" x14ac:dyDescent="0.25">
      <c r="A197" s="26"/>
      <c r="B197" s="11" t="str">
        <f>CONCATENATE("          ", "9175", " - ", "EARNED DISCOUNTS")</f>
        <v xml:space="preserve">          9175 - EARNED DISCOUNTS</v>
      </c>
      <c r="C197" s="11"/>
      <c r="D197" s="6">
        <v>-121.25</v>
      </c>
      <c r="E197" s="2"/>
      <c r="F197" s="7">
        <f t="shared" si="50"/>
        <v>-2.7308227661565731E-4</v>
      </c>
      <c r="G197" s="2"/>
      <c r="H197" s="6"/>
      <c r="I197" s="2"/>
      <c r="J197" s="7">
        <f t="shared" si="51"/>
        <v>0</v>
      </c>
      <c r="K197" s="2"/>
      <c r="L197" s="6">
        <f t="shared" si="52"/>
        <v>-121.25</v>
      </c>
      <c r="M197" s="2"/>
      <c r="N197" s="7">
        <f t="shared" si="53"/>
        <v>0</v>
      </c>
      <c r="O197" s="11"/>
      <c r="P197" s="6">
        <v>-2486.5</v>
      </c>
      <c r="Q197" s="2"/>
      <c r="R197" s="7">
        <f t="shared" si="54"/>
        <v>-4.5084622022359947E-4</v>
      </c>
      <c r="S197" s="2"/>
      <c r="T197" s="6"/>
      <c r="U197" s="2"/>
      <c r="V197" s="7">
        <f t="shared" si="55"/>
        <v>0</v>
      </c>
      <c r="W197" s="2"/>
      <c r="X197" s="6">
        <f t="shared" si="56"/>
        <v>-2486.5</v>
      </c>
      <c r="Y197" s="2"/>
      <c r="Z197" s="7">
        <f t="shared" si="57"/>
        <v>0</v>
      </c>
    </row>
    <row r="198" spans="1:26" s="25" customFormat="1" outlineLevel="1" collapsed="1" x14ac:dyDescent="0.25">
      <c r="A198" s="27"/>
      <c r="B198" s="13" t="str">
        <f>CONCATENATE("     ","Donations                                         ")</f>
        <v xml:space="preserve">     Donations                                         </v>
      </c>
      <c r="C198" s="13"/>
      <c r="D198" s="1">
        <f>SUM(OSRRefD22_7x_0)</f>
        <v>150.84</v>
      </c>
      <c r="E198" s="1"/>
      <c r="F198" s="5">
        <f t="shared" ref="F198:F200" si="58">IF(D$12=0,0,D198/D$12)</f>
        <v>3.3972561323468664E-4</v>
      </c>
      <c r="G198" s="1"/>
      <c r="H198" s="1">
        <f>SUM(OSRRefH22_7x_0)</f>
        <v>1025</v>
      </c>
      <c r="I198" s="1"/>
      <c r="J198" s="5">
        <f t="shared" ref="J198:J200" si="59">IF(H$12=0,0,H198/H$12)</f>
        <v>1.8207364236804821E-3</v>
      </c>
      <c r="K198" s="1"/>
      <c r="L198" s="1">
        <f t="shared" ref="L198:L200" si="60">+D198-H198</f>
        <v>-874.16</v>
      </c>
      <c r="M198" s="1"/>
      <c r="N198" s="5">
        <f t="shared" ref="N198:N200" si="61">IF(H198=0,0,L198/H198)</f>
        <v>-0.85283902439024384</v>
      </c>
      <c r="O198" s="13"/>
      <c r="P198" s="1">
        <f>SUM(OSRRefP22_7x_0)</f>
        <v>9798.2199999999993</v>
      </c>
      <c r="Q198" s="1"/>
      <c r="R198" s="5">
        <f t="shared" ref="R198:R200" si="62">IF(P$12=0,0,P198/P$12)</f>
        <v>1.7765897655014184E-3</v>
      </c>
      <c r="S198" s="1"/>
      <c r="T198" s="1">
        <f>SUM(OSRRefT22_7x_0)</f>
        <v>6225</v>
      </c>
      <c r="U198" s="1"/>
      <c r="V198" s="5">
        <f t="shared" ref="V198:V200" si="63">IF(T$12=0,0,T198/T$12)</f>
        <v>1.0661557852699414E-3</v>
      </c>
      <c r="W198" s="1"/>
      <c r="X198" s="1">
        <f t="shared" ref="X198:X200" si="64">+P198-T198</f>
        <v>3573.2199999999993</v>
      </c>
      <c r="Y198" s="1"/>
      <c r="Z198" s="5">
        <f t="shared" ref="Z198:Z200" si="65">IF(T198=0,0,X198/T198)</f>
        <v>0.57401124497991962</v>
      </c>
    </row>
    <row r="199" spans="1:26" s="24" customFormat="1" hidden="1" outlineLevel="2" x14ac:dyDescent="0.25">
      <c r="A199" s="26"/>
      <c r="B199" s="11" t="str">
        <f>CONCATENATE("          ", "6395", " - ", "DONATION-OFF CAMPUS")</f>
        <v xml:space="preserve">          6395 - DONATION-OFF CAMPUS</v>
      </c>
      <c r="C199" s="11"/>
      <c r="D199" s="6"/>
      <c r="E199" s="2"/>
      <c r="F199" s="7">
        <f t="shared" si="58"/>
        <v>0</v>
      </c>
      <c r="G199" s="2"/>
      <c r="H199" s="6">
        <v>1025</v>
      </c>
      <c r="I199" s="2"/>
      <c r="J199" s="7">
        <f t="shared" si="59"/>
        <v>1.8207364236804821E-3</v>
      </c>
      <c r="K199" s="2"/>
      <c r="L199" s="6">
        <f t="shared" si="60"/>
        <v>-1025</v>
      </c>
      <c r="M199" s="2"/>
      <c r="N199" s="7">
        <f t="shared" si="61"/>
        <v>-1</v>
      </c>
      <c r="O199" s="11"/>
      <c r="P199" s="6"/>
      <c r="Q199" s="2"/>
      <c r="R199" s="7">
        <f t="shared" si="62"/>
        <v>0</v>
      </c>
      <c r="S199" s="2"/>
      <c r="T199" s="6">
        <v>6225</v>
      </c>
      <c r="U199" s="2"/>
      <c r="V199" s="7">
        <f t="shared" si="63"/>
        <v>1.0661557852699414E-3</v>
      </c>
      <c r="W199" s="2"/>
      <c r="X199" s="6">
        <f t="shared" si="64"/>
        <v>-6225</v>
      </c>
      <c r="Y199" s="2"/>
      <c r="Z199" s="7">
        <f t="shared" si="65"/>
        <v>-1</v>
      </c>
    </row>
    <row r="200" spans="1:26" s="24" customFormat="1" hidden="1" outlineLevel="2" x14ac:dyDescent="0.25">
      <c r="A200" s="26"/>
      <c r="B200" s="11" t="str">
        <f>CONCATENATE("          ", "6399", " - ", "DONATION-ON CAMPUS")</f>
        <v xml:space="preserve">          6399 - DONATION-ON CAMPUS</v>
      </c>
      <c r="C200" s="11"/>
      <c r="D200" s="6">
        <v>150.84</v>
      </c>
      <c r="E200" s="2"/>
      <c r="F200" s="7">
        <f t="shared" si="58"/>
        <v>3.3972561323468664E-4</v>
      </c>
      <c r="G200" s="2"/>
      <c r="H200" s="6"/>
      <c r="I200" s="2"/>
      <c r="J200" s="7">
        <f t="shared" si="59"/>
        <v>0</v>
      </c>
      <c r="K200" s="2"/>
      <c r="L200" s="6">
        <f t="shared" si="60"/>
        <v>150.84</v>
      </c>
      <c r="M200" s="2"/>
      <c r="N200" s="7">
        <f t="shared" si="61"/>
        <v>0</v>
      </c>
      <c r="O200" s="11"/>
      <c r="P200" s="6">
        <v>9798.2199999999993</v>
      </c>
      <c r="Q200" s="2"/>
      <c r="R200" s="7">
        <f t="shared" si="62"/>
        <v>1.7765897655014184E-3</v>
      </c>
      <c r="S200" s="2"/>
      <c r="T200" s="6"/>
      <c r="U200" s="2"/>
      <c r="V200" s="7">
        <f t="shared" si="63"/>
        <v>0</v>
      </c>
      <c r="W200" s="2"/>
      <c r="X200" s="6">
        <f t="shared" si="64"/>
        <v>9798.2199999999993</v>
      </c>
      <c r="Y200" s="2"/>
      <c r="Z200" s="7">
        <f t="shared" si="65"/>
        <v>0</v>
      </c>
    </row>
    <row r="201" spans="1:26" s="25" customFormat="1" outlineLevel="1" collapsed="1" x14ac:dyDescent="0.25">
      <c r="A201" s="27"/>
      <c r="B201" s="13" t="str">
        <f>CONCATENATE("     ","Employees' Appreciation                           ")</f>
        <v xml:space="preserve">     Employees' Appreciation                           </v>
      </c>
      <c r="C201" s="13"/>
      <c r="D201" s="1">
        <f>SUM(OSRRefD22_8x_0)</f>
        <v>152.4</v>
      </c>
      <c r="E201" s="1"/>
      <c r="F201" s="5">
        <f t="shared" ref="F201:F207" si="66">IF(D$12=0,0,D201/D$12)</f>
        <v>3.4323908417506125E-4</v>
      </c>
      <c r="G201" s="1"/>
      <c r="H201" s="1">
        <f>SUM(OSRRefH22_8x_0)</f>
        <v>775</v>
      </c>
      <c r="I201" s="1"/>
      <c r="J201" s="5">
        <f t="shared" ref="J201:J207" si="67">IF(H$12=0,0,H201/H$12)</f>
        <v>1.3766543691242669E-3</v>
      </c>
      <c r="K201" s="1"/>
      <c r="L201" s="1">
        <f t="shared" ref="L201:L207" si="68">+D201-H201</f>
        <v>-622.6</v>
      </c>
      <c r="M201" s="1"/>
      <c r="N201" s="5">
        <f t="shared" ref="N201:N207" si="69">IF(H201=0,0,L201/H201)</f>
        <v>-0.8033548387096775</v>
      </c>
      <c r="O201" s="13"/>
      <c r="P201" s="1">
        <f>SUM(OSRRefP22_8x_0)</f>
        <v>1194.04</v>
      </c>
      <c r="Q201" s="1"/>
      <c r="R201" s="5">
        <f t="shared" ref="R201:R207" si="70">IF(P$12=0,0,P201/P$12)</f>
        <v>2.1650047086096388E-4</v>
      </c>
      <c r="S201" s="1"/>
      <c r="T201" s="1">
        <f>SUM(OSRRefT22_8x_0)</f>
        <v>4275</v>
      </c>
      <c r="U201" s="1"/>
      <c r="V201" s="5">
        <f t="shared" ref="V201:V207" si="71">IF(T$12=0,0,T201/T$12)</f>
        <v>7.3217927422152603E-4</v>
      </c>
      <c r="W201" s="1"/>
      <c r="X201" s="1">
        <f t="shared" ref="X201:X207" si="72">+P201-T201</f>
        <v>-3080.96</v>
      </c>
      <c r="Y201" s="1"/>
      <c r="Z201" s="5">
        <f t="shared" ref="Z201:Z207" si="73">IF(T201=0,0,X201/T201)</f>
        <v>-0.72069239766081872</v>
      </c>
    </row>
    <row r="202" spans="1:26" s="24" customFormat="1" hidden="1" outlineLevel="2" x14ac:dyDescent="0.25">
      <c r="A202" s="26"/>
      <c r="B202" s="11" t="str">
        <f>CONCATENATE("          ", "6277", " - ", "EMPLOYEE APPRECIATION")</f>
        <v xml:space="preserve">          6277 - EMPLOYEE APPRECIATION</v>
      </c>
      <c r="C202" s="11"/>
      <c r="D202" s="6">
        <v>152.4</v>
      </c>
      <c r="E202" s="2"/>
      <c r="F202" s="7">
        <f t="shared" si="66"/>
        <v>3.4323908417506125E-4</v>
      </c>
      <c r="G202" s="2"/>
      <c r="H202" s="6">
        <v>775</v>
      </c>
      <c r="I202" s="2"/>
      <c r="J202" s="7">
        <f t="shared" si="67"/>
        <v>1.3766543691242669E-3</v>
      </c>
      <c r="K202" s="2"/>
      <c r="L202" s="6">
        <f t="shared" si="68"/>
        <v>-622.6</v>
      </c>
      <c r="M202" s="2"/>
      <c r="N202" s="7">
        <f t="shared" si="69"/>
        <v>-0.8033548387096775</v>
      </c>
      <c r="O202" s="11"/>
      <c r="P202" s="6">
        <v>1194.04</v>
      </c>
      <c r="Q202" s="2"/>
      <c r="R202" s="7">
        <f t="shared" si="70"/>
        <v>2.1650047086096388E-4</v>
      </c>
      <c r="S202" s="2"/>
      <c r="T202" s="6">
        <v>4275</v>
      </c>
      <c r="U202" s="2"/>
      <c r="V202" s="7">
        <f t="shared" si="71"/>
        <v>7.3217927422152603E-4</v>
      </c>
      <c r="W202" s="2"/>
      <c r="X202" s="6">
        <f t="shared" si="72"/>
        <v>-3080.96</v>
      </c>
      <c r="Y202" s="2"/>
      <c r="Z202" s="7">
        <f t="shared" si="73"/>
        <v>-0.72069239766081872</v>
      </c>
    </row>
    <row r="203" spans="1:26" s="25" customFormat="1" outlineLevel="1" collapsed="1" x14ac:dyDescent="0.25">
      <c r="A203" s="27"/>
      <c r="B203" s="13" t="str">
        <f>CONCATENATE("     ","Equipment Rental                                  ")</f>
        <v xml:space="preserve">     Equipment Rental                                  </v>
      </c>
      <c r="C203" s="13"/>
      <c r="D203" s="1">
        <f>SUM(OSRRefD22_9x_0)</f>
        <v>0</v>
      </c>
      <c r="E203" s="1"/>
      <c r="F203" s="5">
        <f t="shared" si="66"/>
        <v>0</v>
      </c>
      <c r="G203" s="1"/>
      <c r="H203" s="1">
        <f>SUM(OSRRefH22_9x_0)</f>
        <v>3225</v>
      </c>
      <c r="I203" s="1"/>
      <c r="J203" s="5">
        <f t="shared" si="67"/>
        <v>5.7286585037751754E-3</v>
      </c>
      <c r="K203" s="1"/>
      <c r="L203" s="1">
        <f t="shared" si="68"/>
        <v>-3225</v>
      </c>
      <c r="M203" s="1"/>
      <c r="N203" s="5">
        <f t="shared" si="69"/>
        <v>-1</v>
      </c>
      <c r="O203" s="13"/>
      <c r="P203" s="1">
        <f>SUM(OSRRefP22_9x_0)</f>
        <v>11090.14</v>
      </c>
      <c r="Q203" s="1"/>
      <c r="R203" s="5">
        <f t="shared" si="70"/>
        <v>2.0108376033583547E-3</v>
      </c>
      <c r="S203" s="1"/>
      <c r="T203" s="1">
        <f>SUM(OSRRefT22_9x_0)</f>
        <v>19350</v>
      </c>
      <c r="U203" s="1"/>
      <c r="V203" s="5">
        <f t="shared" si="71"/>
        <v>3.3140746096342755E-3</v>
      </c>
      <c r="W203" s="1"/>
      <c r="X203" s="1">
        <f t="shared" si="72"/>
        <v>-8259.86</v>
      </c>
      <c r="Y203" s="1"/>
      <c r="Z203" s="5">
        <f t="shared" si="73"/>
        <v>-0.42686614987080107</v>
      </c>
    </row>
    <row r="204" spans="1:26" s="24" customFormat="1" hidden="1" outlineLevel="2" x14ac:dyDescent="0.25">
      <c r="A204" s="26"/>
      <c r="B204" s="11" t="str">
        <f>CONCATENATE("          ", "6351", " - ", "EQUIPMENT RENTAL")</f>
        <v xml:space="preserve">          6351 - EQUIPMENT RENTAL</v>
      </c>
      <c r="C204" s="11"/>
      <c r="D204" s="6"/>
      <c r="E204" s="2"/>
      <c r="F204" s="7">
        <f t="shared" si="66"/>
        <v>0</v>
      </c>
      <c r="G204" s="2"/>
      <c r="H204" s="6">
        <v>3225</v>
      </c>
      <c r="I204" s="2"/>
      <c r="J204" s="7">
        <f t="shared" si="67"/>
        <v>5.7286585037751754E-3</v>
      </c>
      <c r="K204" s="2"/>
      <c r="L204" s="6">
        <f t="shared" si="68"/>
        <v>-3225</v>
      </c>
      <c r="M204" s="2"/>
      <c r="N204" s="7">
        <f t="shared" si="69"/>
        <v>-1</v>
      </c>
      <c r="O204" s="11"/>
      <c r="P204" s="6">
        <v>11090.14</v>
      </c>
      <c r="Q204" s="2"/>
      <c r="R204" s="7">
        <f t="shared" si="70"/>
        <v>2.0108376033583547E-3</v>
      </c>
      <c r="S204" s="2"/>
      <c r="T204" s="6">
        <v>19350</v>
      </c>
      <c r="U204" s="2"/>
      <c r="V204" s="7">
        <f t="shared" si="71"/>
        <v>3.3140746096342755E-3</v>
      </c>
      <c r="W204" s="2"/>
      <c r="X204" s="6">
        <f t="shared" si="72"/>
        <v>-8259.86</v>
      </c>
      <c r="Y204" s="2"/>
      <c r="Z204" s="7">
        <f t="shared" si="73"/>
        <v>-0.42686614987080107</v>
      </c>
    </row>
    <row r="205" spans="1:26" s="25" customFormat="1" outlineLevel="1" collapsed="1" x14ac:dyDescent="0.25">
      <c r="A205" s="27"/>
      <c r="B205" s="13" t="str">
        <f>CONCATENATE("     ","Freight out/Postage                               ")</f>
        <v xml:space="preserve">     Freight out/Postage                               </v>
      </c>
      <c r="C205" s="13"/>
      <c r="D205" s="1">
        <f>SUM(OSRRefD22_10x_0)</f>
        <v>1883.96</v>
      </c>
      <c r="E205" s="1"/>
      <c r="F205" s="5">
        <f t="shared" si="66"/>
        <v>4.2431017389924436E-3</v>
      </c>
      <c r="G205" s="1"/>
      <c r="H205" s="1">
        <f>SUM(OSRRefH22_10x_0)</f>
        <v>-1210</v>
      </c>
      <c r="I205" s="1"/>
      <c r="J205" s="5">
        <f t="shared" si="67"/>
        <v>-2.1493571440520812E-3</v>
      </c>
      <c r="K205" s="1"/>
      <c r="L205" s="1">
        <f t="shared" si="68"/>
        <v>3093.96</v>
      </c>
      <c r="M205" s="1"/>
      <c r="N205" s="5">
        <f t="shared" si="69"/>
        <v>-2.5569917355371903</v>
      </c>
      <c r="O205" s="13"/>
      <c r="P205" s="1">
        <f>SUM(OSRRefP22_10x_0)</f>
        <v>6558.2800000000025</v>
      </c>
      <c r="Q205" s="1"/>
      <c r="R205" s="5">
        <f t="shared" si="70"/>
        <v>1.1891316103631727E-3</v>
      </c>
      <c r="S205" s="1"/>
      <c r="T205" s="1">
        <f>SUM(OSRRefT22_10x_0)</f>
        <v>-29960</v>
      </c>
      <c r="U205" s="1"/>
      <c r="V205" s="5">
        <f t="shared" si="71"/>
        <v>-5.1312493697489867E-3</v>
      </c>
      <c r="W205" s="1"/>
      <c r="X205" s="1">
        <f t="shared" si="72"/>
        <v>36518.28</v>
      </c>
      <c r="Y205" s="1"/>
      <c r="Z205" s="5">
        <f t="shared" si="73"/>
        <v>-1.2189012016021361</v>
      </c>
    </row>
    <row r="206" spans="1:26" s="24" customFormat="1" hidden="1" outlineLevel="2" x14ac:dyDescent="0.25">
      <c r="A206" s="26"/>
      <c r="B206" s="11" t="str">
        <f>CONCATENATE("          ", "6305", " - ", "FREIGHT OUT")</f>
        <v xml:space="preserve">          6305 - FREIGHT OUT</v>
      </c>
      <c r="C206" s="11"/>
      <c r="D206" s="6">
        <v>5990.2</v>
      </c>
      <c r="E206" s="2"/>
      <c r="F206" s="7">
        <f t="shared" si="66"/>
        <v>1.3491277966046272E-2</v>
      </c>
      <c r="G206" s="2"/>
      <c r="H206" s="6">
        <v>-1250</v>
      </c>
      <c r="I206" s="2"/>
      <c r="J206" s="7">
        <f t="shared" si="67"/>
        <v>-2.2204102727810754E-3</v>
      </c>
      <c r="K206" s="2"/>
      <c r="L206" s="6">
        <f t="shared" si="68"/>
        <v>7240.2</v>
      </c>
      <c r="M206" s="2"/>
      <c r="N206" s="7">
        <f t="shared" si="69"/>
        <v>-5.79216</v>
      </c>
      <c r="O206" s="11"/>
      <c r="P206" s="6">
        <v>34712.120000000003</v>
      </c>
      <c r="Q206" s="2"/>
      <c r="R206" s="7">
        <f t="shared" si="70"/>
        <v>6.2939183985312747E-3</v>
      </c>
      <c r="S206" s="2"/>
      <c r="T206" s="6">
        <v>-30200</v>
      </c>
      <c r="U206" s="2"/>
      <c r="V206" s="7">
        <f t="shared" si="71"/>
        <v>-5.1723541711087917E-3</v>
      </c>
      <c r="W206" s="2"/>
      <c r="X206" s="6">
        <f t="shared" si="72"/>
        <v>64912.12</v>
      </c>
      <c r="Y206" s="2"/>
      <c r="Z206" s="7">
        <f t="shared" si="73"/>
        <v>-2.1494079470198675</v>
      </c>
    </row>
    <row r="207" spans="1:26" s="24" customFormat="1" hidden="1" outlineLevel="2" x14ac:dyDescent="0.25">
      <c r="A207" s="26"/>
      <c r="B207" s="11" t="str">
        <f>CONCATENATE("          ", "6307", " - ", "POSTAGE")</f>
        <v xml:space="preserve">          6307 - POSTAGE</v>
      </c>
      <c r="C207" s="11"/>
      <c r="D207" s="6">
        <v>-4106.24</v>
      </c>
      <c r="E207" s="2"/>
      <c r="F207" s="7">
        <f t="shared" si="66"/>
        <v>-9.2481762270538292E-3</v>
      </c>
      <c r="G207" s="2"/>
      <c r="H207" s="6">
        <v>40</v>
      </c>
      <c r="I207" s="2"/>
      <c r="J207" s="7">
        <f t="shared" si="67"/>
        <v>7.1053128728994423E-5</v>
      </c>
      <c r="K207" s="2"/>
      <c r="L207" s="6">
        <f t="shared" si="68"/>
        <v>-4146.24</v>
      </c>
      <c r="M207" s="2"/>
      <c r="N207" s="7">
        <f t="shared" si="69"/>
        <v>-103.65599999999999</v>
      </c>
      <c r="O207" s="11"/>
      <c r="P207" s="6">
        <v>-28153.84</v>
      </c>
      <c r="Q207" s="2"/>
      <c r="R207" s="7">
        <f t="shared" si="70"/>
        <v>-5.1047867881681011E-3</v>
      </c>
      <c r="S207" s="2"/>
      <c r="T207" s="6">
        <v>240</v>
      </c>
      <c r="U207" s="2"/>
      <c r="V207" s="7">
        <f t="shared" si="71"/>
        <v>4.1104801359804969E-5</v>
      </c>
      <c r="W207" s="2"/>
      <c r="X207" s="6">
        <f t="shared" si="72"/>
        <v>-28393.84</v>
      </c>
      <c r="Y207" s="2"/>
      <c r="Z207" s="7">
        <f t="shared" si="73"/>
        <v>-118.30766666666666</v>
      </c>
    </row>
    <row r="208" spans="1:26" s="25" customFormat="1" outlineLevel="1" collapsed="1" x14ac:dyDescent="0.25">
      <c r="A208" s="27"/>
      <c r="B208" s="13" t="str">
        <f>CONCATENATE("     ","General                                           ")</f>
        <v xml:space="preserve">     General                                           </v>
      </c>
      <c r="C208" s="13"/>
      <c r="D208" s="1">
        <f>SUM(OSRRefD22_11x_0)</f>
        <v>2105.2199999999998</v>
      </c>
      <c r="E208" s="1"/>
      <c r="F208" s="5">
        <f t="shared" ref="F208:F222" si="74">IF(D$12=0,0,D208/D$12)</f>
        <v>4.74142903403558E-3</v>
      </c>
      <c r="G208" s="1"/>
      <c r="H208" s="1">
        <f>SUM(OSRRefH22_11x_0)</f>
        <v>655</v>
      </c>
      <c r="I208" s="1"/>
      <c r="J208" s="5">
        <f t="shared" ref="J208:J222" si="75">IF(H$12=0,0,H208/H$12)</f>
        <v>1.1634949829372836E-3</v>
      </c>
      <c r="K208" s="1"/>
      <c r="L208" s="1">
        <f t="shared" ref="L208:L222" si="76">+D208-H208</f>
        <v>1450.2199999999998</v>
      </c>
      <c r="M208" s="1"/>
      <c r="N208" s="5">
        <f t="shared" ref="N208:N222" si="77">IF(H208=0,0,L208/H208)</f>
        <v>2.2140763358778623</v>
      </c>
      <c r="O208" s="13"/>
      <c r="P208" s="1">
        <f>SUM(OSRRefP22_11x_0)</f>
        <v>-1347.75</v>
      </c>
      <c r="Q208" s="1"/>
      <c r="R208" s="5">
        <f t="shared" ref="R208:R222" si="78">IF(P$12=0,0,P208/P$12)</f>
        <v>-2.4437079964060172E-4</v>
      </c>
      <c r="S208" s="1"/>
      <c r="T208" s="1">
        <f>SUM(OSRRefT22_11x_0)</f>
        <v>16795</v>
      </c>
      <c r="U208" s="1"/>
      <c r="V208" s="5">
        <f t="shared" ref="V208:V222" si="79">IF(T$12=0,0,T208/T$12)</f>
        <v>2.8764797451580186E-3</v>
      </c>
      <c r="W208" s="1"/>
      <c r="X208" s="1">
        <f t="shared" ref="X208:X222" si="80">+P208-T208</f>
        <v>-18142.75</v>
      </c>
      <c r="Y208" s="1"/>
      <c r="Z208" s="5">
        <f t="shared" ref="Z208:Z222" si="81">IF(T208=0,0,X208/T208)</f>
        <v>-1.0802470973504019</v>
      </c>
    </row>
    <row r="209" spans="1:26" s="24" customFormat="1" hidden="1" outlineLevel="2" x14ac:dyDescent="0.25">
      <c r="A209" s="26"/>
      <c r="B209" s="11" t="str">
        <f>CONCATENATE("          ", "6279", " - ", "GENERAL EXPENSE")</f>
        <v xml:space="preserve">          6279 - GENERAL EXPENSE</v>
      </c>
      <c r="C209" s="11"/>
      <c r="D209" s="6">
        <v>2105.2199999999998</v>
      </c>
      <c r="E209" s="2"/>
      <c r="F209" s="7">
        <f t="shared" si="74"/>
        <v>4.74142903403558E-3</v>
      </c>
      <c r="G209" s="2"/>
      <c r="H209" s="6">
        <v>655</v>
      </c>
      <c r="I209" s="2"/>
      <c r="J209" s="7">
        <f t="shared" si="75"/>
        <v>1.1634949829372836E-3</v>
      </c>
      <c r="K209" s="2"/>
      <c r="L209" s="6">
        <f t="shared" si="76"/>
        <v>1450.2199999999998</v>
      </c>
      <c r="M209" s="2"/>
      <c r="N209" s="7">
        <f t="shared" si="77"/>
        <v>2.2140763358778623</v>
      </c>
      <c r="O209" s="11"/>
      <c r="P209" s="6">
        <v>-1347.75</v>
      </c>
      <c r="Q209" s="2"/>
      <c r="R209" s="7">
        <f t="shared" si="78"/>
        <v>-2.4437079964060172E-4</v>
      </c>
      <c r="S209" s="2"/>
      <c r="T209" s="6">
        <v>16795</v>
      </c>
      <c r="U209" s="2"/>
      <c r="V209" s="7">
        <f t="shared" si="79"/>
        <v>2.8764797451580186E-3</v>
      </c>
      <c r="W209" s="2"/>
      <c r="X209" s="6">
        <f t="shared" si="80"/>
        <v>-18142.75</v>
      </c>
      <c r="Y209" s="2"/>
      <c r="Z209" s="7">
        <f t="shared" si="81"/>
        <v>-1.0802470973504019</v>
      </c>
    </row>
    <row r="210" spans="1:26" s="25" customFormat="1" outlineLevel="1" collapsed="1" x14ac:dyDescent="0.25">
      <c r="A210" s="27"/>
      <c r="B210" s="13" t="str">
        <f>CONCATENATE("     ","Insurance                                         ")</f>
        <v xml:space="preserve">     Insurance                                         </v>
      </c>
      <c r="C210" s="13"/>
      <c r="D210" s="1">
        <f>SUM(OSRRefD22_12x_0)</f>
        <v>4044.74</v>
      </c>
      <c r="E210" s="1"/>
      <c r="F210" s="5">
        <f t="shared" si="74"/>
        <v>9.1096643919044429E-3</v>
      </c>
      <c r="G210" s="1"/>
      <c r="H210" s="1">
        <f>SUM(OSRRefH22_12x_0)</f>
        <v>3815</v>
      </c>
      <c r="I210" s="1"/>
      <c r="J210" s="5">
        <f t="shared" si="75"/>
        <v>6.7766921525278427E-3</v>
      </c>
      <c r="K210" s="1"/>
      <c r="L210" s="1">
        <f t="shared" si="76"/>
        <v>229.73999999999978</v>
      </c>
      <c r="M210" s="1"/>
      <c r="N210" s="5">
        <f t="shared" si="77"/>
        <v>6.0220183486238477E-2</v>
      </c>
      <c r="O210" s="13"/>
      <c r="P210" s="1">
        <f>SUM(OSRRefP22_12x_0)</f>
        <v>24268.44</v>
      </c>
      <c r="Q210" s="1"/>
      <c r="R210" s="5">
        <f t="shared" si="78"/>
        <v>4.4002953729029605E-3</v>
      </c>
      <c r="S210" s="1"/>
      <c r="T210" s="1">
        <f>SUM(OSRRefT22_12x_0)</f>
        <v>22890</v>
      </c>
      <c r="U210" s="1"/>
      <c r="V210" s="5">
        <f t="shared" si="79"/>
        <v>3.9203704296913991E-3</v>
      </c>
      <c r="W210" s="1"/>
      <c r="X210" s="1">
        <f t="shared" si="80"/>
        <v>1378.4399999999987</v>
      </c>
      <c r="Y210" s="1"/>
      <c r="Z210" s="5">
        <f t="shared" si="81"/>
        <v>6.0220183486238477E-2</v>
      </c>
    </row>
    <row r="211" spans="1:26" s="24" customFormat="1" hidden="1" outlineLevel="2" x14ac:dyDescent="0.25">
      <c r="A211" s="26"/>
      <c r="B211" s="11" t="str">
        <f>CONCATENATE("          ", "6314", " - ", "LIABILITY INSURANCE")</f>
        <v xml:space="preserve">          6314 - LIABILITY INSURANCE</v>
      </c>
      <c r="C211" s="11"/>
      <c r="D211" s="6">
        <v>4044.74</v>
      </c>
      <c r="E211" s="2"/>
      <c r="F211" s="7">
        <f t="shared" si="74"/>
        <v>9.1096643919044429E-3</v>
      </c>
      <c r="G211" s="2"/>
      <c r="H211" s="6">
        <v>3815</v>
      </c>
      <c r="I211" s="2"/>
      <c r="J211" s="7">
        <f t="shared" si="75"/>
        <v>6.7766921525278427E-3</v>
      </c>
      <c r="K211" s="2"/>
      <c r="L211" s="6">
        <f t="shared" si="76"/>
        <v>229.73999999999978</v>
      </c>
      <c r="M211" s="2"/>
      <c r="N211" s="7">
        <f t="shared" si="77"/>
        <v>6.0220183486238477E-2</v>
      </c>
      <c r="O211" s="11"/>
      <c r="P211" s="6">
        <v>24268.44</v>
      </c>
      <c r="Q211" s="2"/>
      <c r="R211" s="7">
        <f t="shared" si="78"/>
        <v>4.4002953729029605E-3</v>
      </c>
      <c r="S211" s="2"/>
      <c r="T211" s="6">
        <v>22890</v>
      </c>
      <c r="U211" s="2"/>
      <c r="V211" s="7">
        <f t="shared" si="79"/>
        <v>3.9203704296913991E-3</v>
      </c>
      <c r="W211" s="2"/>
      <c r="X211" s="6">
        <f t="shared" si="80"/>
        <v>1378.4399999999987</v>
      </c>
      <c r="Y211" s="2"/>
      <c r="Z211" s="7">
        <f t="shared" si="81"/>
        <v>6.0220183486238477E-2</v>
      </c>
    </row>
    <row r="212" spans="1:26" s="25" customFormat="1" outlineLevel="1" collapsed="1" x14ac:dyDescent="0.25">
      <c r="A212" s="27"/>
      <c r="B212" s="13" t="str">
        <f>CONCATENATE("     ","Inventory Adjustment                              ")</f>
        <v xml:space="preserve">     Inventory Adjustment                              </v>
      </c>
      <c r="C212" s="13"/>
      <c r="D212" s="1">
        <f>SUM(OSRRefD22_13x_0)</f>
        <v>10050</v>
      </c>
      <c r="E212" s="1"/>
      <c r="F212" s="5">
        <f t="shared" si="74"/>
        <v>2.2634860865875104E-2</v>
      </c>
      <c r="G212" s="1"/>
      <c r="H212" s="1">
        <f>SUM(OSRRefH22_13x_0)</f>
        <v>10050</v>
      </c>
      <c r="I212" s="1"/>
      <c r="J212" s="5">
        <f t="shared" si="75"/>
        <v>1.7852098593159848E-2</v>
      </c>
      <c r="K212" s="1"/>
      <c r="L212" s="1">
        <f t="shared" si="76"/>
        <v>0</v>
      </c>
      <c r="M212" s="1"/>
      <c r="N212" s="5">
        <f t="shared" si="77"/>
        <v>0</v>
      </c>
      <c r="O212" s="13"/>
      <c r="P212" s="1">
        <f>SUM(OSRRefP22_13x_0)</f>
        <v>31200</v>
      </c>
      <c r="Q212" s="1"/>
      <c r="R212" s="5">
        <f t="shared" si="78"/>
        <v>5.657109218168632E-3</v>
      </c>
      <c r="S212" s="1"/>
      <c r="T212" s="1">
        <f>SUM(OSRRefT22_13x_0)</f>
        <v>31200</v>
      </c>
      <c r="U212" s="1"/>
      <c r="V212" s="5">
        <f t="shared" si="79"/>
        <v>5.3436241767746461E-3</v>
      </c>
      <c r="W212" s="1"/>
      <c r="X212" s="1">
        <f t="shared" si="80"/>
        <v>0</v>
      </c>
      <c r="Y212" s="1"/>
      <c r="Z212" s="5">
        <f t="shared" si="81"/>
        <v>0</v>
      </c>
    </row>
    <row r="213" spans="1:26" s="24" customFormat="1" hidden="1" outlineLevel="2" x14ac:dyDescent="0.25">
      <c r="A213" s="26"/>
      <c r="B213" s="11" t="str">
        <f>CONCATENATE("          ", "6408", " - ", "INVENTORY ADJUSTMENT")</f>
        <v xml:space="preserve">          6408 - INVENTORY ADJUSTMENT</v>
      </c>
      <c r="C213" s="11"/>
      <c r="D213" s="6">
        <v>10050</v>
      </c>
      <c r="E213" s="2"/>
      <c r="F213" s="7">
        <f t="shared" si="74"/>
        <v>2.2634860865875104E-2</v>
      </c>
      <c r="G213" s="2"/>
      <c r="H213" s="6">
        <v>10050</v>
      </c>
      <c r="I213" s="2"/>
      <c r="J213" s="7">
        <f t="shared" si="75"/>
        <v>1.7852098593159848E-2</v>
      </c>
      <c r="K213" s="2"/>
      <c r="L213" s="6">
        <f t="shared" si="76"/>
        <v>0</v>
      </c>
      <c r="M213" s="2"/>
      <c r="N213" s="7">
        <f t="shared" si="77"/>
        <v>0</v>
      </c>
      <c r="O213" s="11"/>
      <c r="P213" s="6">
        <v>31200</v>
      </c>
      <c r="Q213" s="2"/>
      <c r="R213" s="7">
        <f t="shared" si="78"/>
        <v>5.657109218168632E-3</v>
      </c>
      <c r="S213" s="2"/>
      <c r="T213" s="6">
        <v>31200</v>
      </c>
      <c r="U213" s="2"/>
      <c r="V213" s="7">
        <f t="shared" si="79"/>
        <v>5.3436241767746461E-3</v>
      </c>
      <c r="W213" s="2"/>
      <c r="X213" s="6">
        <f t="shared" si="80"/>
        <v>0</v>
      </c>
      <c r="Y213" s="2"/>
      <c r="Z213" s="7">
        <f t="shared" si="81"/>
        <v>0</v>
      </c>
    </row>
    <row r="214" spans="1:26" s="25" customFormat="1" outlineLevel="1" collapsed="1" x14ac:dyDescent="0.25">
      <c r="A214" s="27"/>
      <c r="B214" s="13" t="str">
        <f>CONCATENATE("     ","Professional Services                             ")</f>
        <v xml:space="preserve">     Professional Services                             </v>
      </c>
      <c r="C214" s="13"/>
      <c r="D214" s="1">
        <f>SUM(OSRRefD22_14x_0)</f>
        <v>41.15</v>
      </c>
      <c r="E214" s="1"/>
      <c r="F214" s="5">
        <f t="shared" si="74"/>
        <v>9.2679057177190091E-5</v>
      </c>
      <c r="G214" s="1"/>
      <c r="H214" s="1">
        <f>SUM(OSRRefH22_14x_0)</f>
        <v>1015</v>
      </c>
      <c r="I214" s="1"/>
      <c r="J214" s="5">
        <f t="shared" si="75"/>
        <v>1.8029731414982333E-3</v>
      </c>
      <c r="K214" s="1"/>
      <c r="L214" s="1">
        <f t="shared" si="76"/>
        <v>-973.85</v>
      </c>
      <c r="M214" s="1"/>
      <c r="N214" s="5">
        <f t="shared" si="77"/>
        <v>-0.95945812807881781</v>
      </c>
      <c r="O214" s="13"/>
      <c r="P214" s="1">
        <f>SUM(OSRRefP22_14x_0)</f>
        <v>6199.56</v>
      </c>
      <c r="Q214" s="1"/>
      <c r="R214" s="5">
        <f t="shared" si="78"/>
        <v>1.1240893597624848E-3</v>
      </c>
      <c r="S214" s="1"/>
      <c r="T214" s="1">
        <f>SUM(OSRRefT22_14x_0)</f>
        <v>8740</v>
      </c>
      <c r="U214" s="1"/>
      <c r="V214" s="5">
        <f t="shared" si="79"/>
        <v>1.4968998495195642E-3</v>
      </c>
      <c r="W214" s="1"/>
      <c r="X214" s="1">
        <f t="shared" si="80"/>
        <v>-2540.4399999999996</v>
      </c>
      <c r="Y214" s="1"/>
      <c r="Z214" s="5">
        <f t="shared" si="81"/>
        <v>-0.2906681922196796</v>
      </c>
    </row>
    <row r="215" spans="1:26" s="24" customFormat="1" hidden="1" outlineLevel="2" x14ac:dyDescent="0.25">
      <c r="A215" s="26"/>
      <c r="B215" s="11" t="str">
        <f>CONCATENATE("          ", "6336", " - ", "PROFESSIONAL SERVICES")</f>
        <v xml:space="preserve">          6336 - PROFESSIONAL SERVICES</v>
      </c>
      <c r="C215" s="11"/>
      <c r="D215" s="6">
        <v>41.15</v>
      </c>
      <c r="E215" s="2"/>
      <c r="F215" s="7">
        <f t="shared" si="74"/>
        <v>9.2679057177190091E-5</v>
      </c>
      <c r="G215" s="2"/>
      <c r="H215" s="6">
        <v>1015</v>
      </c>
      <c r="I215" s="2"/>
      <c r="J215" s="7">
        <f t="shared" si="75"/>
        <v>1.8029731414982333E-3</v>
      </c>
      <c r="K215" s="2"/>
      <c r="L215" s="6">
        <f t="shared" si="76"/>
        <v>-973.85</v>
      </c>
      <c r="M215" s="2"/>
      <c r="N215" s="7">
        <f t="shared" si="77"/>
        <v>-0.95945812807881781</v>
      </c>
      <c r="O215" s="11"/>
      <c r="P215" s="6">
        <v>6199.56</v>
      </c>
      <c r="Q215" s="2"/>
      <c r="R215" s="7">
        <f t="shared" si="78"/>
        <v>1.1240893597624848E-3</v>
      </c>
      <c r="S215" s="2"/>
      <c r="T215" s="6">
        <v>8740</v>
      </c>
      <c r="U215" s="2"/>
      <c r="V215" s="7">
        <f t="shared" si="79"/>
        <v>1.4968998495195642E-3</v>
      </c>
      <c r="W215" s="2"/>
      <c r="X215" s="6">
        <f t="shared" si="80"/>
        <v>-2540.4399999999996</v>
      </c>
      <c r="Y215" s="2"/>
      <c r="Z215" s="7">
        <f t="shared" si="81"/>
        <v>-0.2906681922196796</v>
      </c>
    </row>
    <row r="216" spans="1:26" s="25" customFormat="1" outlineLevel="1" collapsed="1" x14ac:dyDescent="0.25">
      <c r="A216" s="27"/>
      <c r="B216" s="13" t="str">
        <f>CONCATENATE("     ","Rent                                              ")</f>
        <v xml:space="preserve">     Rent                                              </v>
      </c>
      <c r="C216" s="13"/>
      <c r="D216" s="1">
        <f>SUM(OSRRefD22_15x_0)</f>
        <v>6100</v>
      </c>
      <c r="E216" s="1"/>
      <c r="F216" s="5">
        <f t="shared" si="74"/>
        <v>1.3738572266849564E-2</v>
      </c>
      <c r="G216" s="1"/>
      <c r="H216" s="1">
        <f>SUM(OSRRefH22_15x_0)</f>
        <v>6400</v>
      </c>
      <c r="I216" s="1"/>
      <c r="J216" s="5">
        <f t="shared" si="75"/>
        <v>1.1368500596639106E-2</v>
      </c>
      <c r="K216" s="1"/>
      <c r="L216" s="1">
        <f t="shared" si="76"/>
        <v>-300</v>
      </c>
      <c r="M216" s="1"/>
      <c r="N216" s="5">
        <f t="shared" si="77"/>
        <v>-4.6875E-2</v>
      </c>
      <c r="O216" s="13"/>
      <c r="P216" s="1">
        <f>SUM(OSRRefP22_15x_0)</f>
        <v>36600</v>
      </c>
      <c r="Q216" s="1"/>
      <c r="R216" s="5">
        <f t="shared" si="78"/>
        <v>6.6362242751593567E-3</v>
      </c>
      <c r="S216" s="1"/>
      <c r="T216" s="1">
        <f>SUM(OSRRefT22_15x_0)</f>
        <v>38400</v>
      </c>
      <c r="U216" s="1"/>
      <c r="V216" s="5">
        <f t="shared" si="79"/>
        <v>6.5767682175687948E-3</v>
      </c>
      <c r="W216" s="1"/>
      <c r="X216" s="1">
        <f t="shared" si="80"/>
        <v>-1800</v>
      </c>
      <c r="Y216" s="1"/>
      <c r="Z216" s="5">
        <f t="shared" si="81"/>
        <v>-4.6875E-2</v>
      </c>
    </row>
    <row r="217" spans="1:26" s="24" customFormat="1" hidden="1" outlineLevel="2" x14ac:dyDescent="0.25">
      <c r="A217" s="26"/>
      <c r="B217" s="11" t="str">
        <f>CONCATENATE("          ", "6273", " - ", "RENT")</f>
        <v xml:space="preserve">          6273 - RENT</v>
      </c>
      <c r="C217" s="11"/>
      <c r="D217" s="6">
        <v>6100</v>
      </c>
      <c r="E217" s="2"/>
      <c r="F217" s="7">
        <f t="shared" si="74"/>
        <v>1.3738572266849564E-2</v>
      </c>
      <c r="G217" s="2"/>
      <c r="H217" s="6">
        <v>6400</v>
      </c>
      <c r="I217" s="2"/>
      <c r="J217" s="7">
        <f t="shared" si="75"/>
        <v>1.1368500596639106E-2</v>
      </c>
      <c r="K217" s="2"/>
      <c r="L217" s="6">
        <f t="shared" si="76"/>
        <v>-300</v>
      </c>
      <c r="M217" s="2"/>
      <c r="N217" s="7">
        <f t="shared" si="77"/>
        <v>-4.6875E-2</v>
      </c>
      <c r="O217" s="11"/>
      <c r="P217" s="6">
        <v>36600</v>
      </c>
      <c r="Q217" s="2"/>
      <c r="R217" s="7">
        <f t="shared" si="78"/>
        <v>6.6362242751593567E-3</v>
      </c>
      <c r="S217" s="2"/>
      <c r="T217" s="6">
        <v>38400</v>
      </c>
      <c r="U217" s="2"/>
      <c r="V217" s="7">
        <f t="shared" si="79"/>
        <v>6.5767682175687948E-3</v>
      </c>
      <c r="W217" s="2"/>
      <c r="X217" s="6">
        <f t="shared" si="80"/>
        <v>-1800</v>
      </c>
      <c r="Y217" s="2"/>
      <c r="Z217" s="7">
        <f t="shared" si="81"/>
        <v>-4.6875E-2</v>
      </c>
    </row>
    <row r="218" spans="1:26" s="25" customFormat="1" outlineLevel="1" collapsed="1" x14ac:dyDescent="0.25">
      <c r="A218" s="27"/>
      <c r="B218" s="13" t="str">
        <f>CONCATENATE("     ","Repair and Maintenance                            ")</f>
        <v xml:space="preserve">     Repair and Maintenance                            </v>
      </c>
      <c r="C218" s="13"/>
      <c r="D218" s="1">
        <f>SUM(OSRRefD22_16x_0)</f>
        <v>11953.09</v>
      </c>
      <c r="E218" s="1"/>
      <c r="F218" s="5">
        <f t="shared" si="74"/>
        <v>2.6921047668386371E-2</v>
      </c>
      <c r="G218" s="1"/>
      <c r="H218" s="1">
        <f>SUM(OSRRefH22_16x_0)</f>
        <v>16540</v>
      </c>
      <c r="I218" s="1"/>
      <c r="J218" s="5">
        <f t="shared" si="75"/>
        <v>2.9380468729439193E-2</v>
      </c>
      <c r="K218" s="1"/>
      <c r="L218" s="1">
        <f t="shared" si="76"/>
        <v>-4586.91</v>
      </c>
      <c r="M218" s="1"/>
      <c r="N218" s="5">
        <f t="shared" si="77"/>
        <v>-0.2773222490931076</v>
      </c>
      <c r="O218" s="13"/>
      <c r="P218" s="1">
        <f>SUM(OSRRefP22_16x_0)</f>
        <v>82154.84</v>
      </c>
      <c r="Q218" s="1"/>
      <c r="R218" s="5">
        <f t="shared" si="78"/>
        <v>1.4896118675678496E-2</v>
      </c>
      <c r="S218" s="1"/>
      <c r="T218" s="1">
        <f>SUM(OSRRefT22_16x_0)</f>
        <v>131875</v>
      </c>
      <c r="U218" s="1"/>
      <c r="V218" s="5">
        <f t="shared" si="79"/>
        <v>2.25862319971845E-2</v>
      </c>
      <c r="W218" s="1"/>
      <c r="X218" s="1">
        <f t="shared" si="80"/>
        <v>-49720.160000000003</v>
      </c>
      <c r="Y218" s="1"/>
      <c r="Z218" s="5">
        <f t="shared" si="81"/>
        <v>-0.37702490995260668</v>
      </c>
    </row>
    <row r="219" spans="1:26" s="24" customFormat="1" hidden="1" outlineLevel="2" x14ac:dyDescent="0.25">
      <c r="A219" s="26"/>
      <c r="B219" s="11" t="str">
        <f>CONCATENATE("          ", "6371", " - ", "COMPUTER SOFTWARE MAINTENANCE")</f>
        <v xml:space="preserve">          6371 - COMPUTER SOFTWARE MAINTENANCE</v>
      </c>
      <c r="C219" s="11"/>
      <c r="D219" s="6">
        <v>601</v>
      </c>
      <c r="E219" s="2"/>
      <c r="F219" s="7">
        <f t="shared" si="74"/>
        <v>1.353587202028949E-3</v>
      </c>
      <c r="G219" s="2"/>
      <c r="H219" s="6"/>
      <c r="I219" s="2"/>
      <c r="J219" s="7">
        <f t="shared" si="75"/>
        <v>0</v>
      </c>
      <c r="K219" s="2"/>
      <c r="L219" s="6">
        <f t="shared" si="76"/>
        <v>601</v>
      </c>
      <c r="M219" s="2"/>
      <c r="N219" s="7">
        <f t="shared" si="77"/>
        <v>0</v>
      </c>
      <c r="O219" s="11"/>
      <c r="P219" s="6">
        <v>13953.4</v>
      </c>
      <c r="Q219" s="2"/>
      <c r="R219" s="7">
        <f t="shared" si="78"/>
        <v>2.5299970437434034E-3</v>
      </c>
      <c r="S219" s="2"/>
      <c r="T219" s="6">
        <v>48535</v>
      </c>
      <c r="U219" s="2"/>
      <c r="V219" s="7">
        <f t="shared" si="79"/>
        <v>8.3125897249922264E-3</v>
      </c>
      <c r="W219" s="2"/>
      <c r="X219" s="6">
        <f t="shared" si="80"/>
        <v>-34581.599999999999</v>
      </c>
      <c r="Y219" s="2"/>
      <c r="Z219" s="7">
        <f t="shared" si="81"/>
        <v>-0.71250849902132474</v>
      </c>
    </row>
    <row r="220" spans="1:26" s="24" customFormat="1" hidden="1" outlineLevel="2" x14ac:dyDescent="0.25">
      <c r="A220" s="26"/>
      <c r="B220" s="11" t="str">
        <f>CONCATENATE("          ", "6372", " - ", "COMPUTER HARDWARE MAINTENANCE")</f>
        <v xml:space="preserve">          6372 - COMPUTER HARDWARE MAINTENANCE</v>
      </c>
      <c r="C220" s="11"/>
      <c r="D220" s="6"/>
      <c r="E220" s="2"/>
      <c r="F220" s="7">
        <f t="shared" si="74"/>
        <v>0</v>
      </c>
      <c r="G220" s="2"/>
      <c r="H220" s="6">
        <v>2000</v>
      </c>
      <c r="I220" s="2"/>
      <c r="J220" s="7">
        <f t="shared" si="75"/>
        <v>3.5526564364497209E-3</v>
      </c>
      <c r="K220" s="2"/>
      <c r="L220" s="6">
        <f t="shared" si="76"/>
        <v>-2000</v>
      </c>
      <c r="M220" s="2"/>
      <c r="N220" s="7">
        <f t="shared" si="77"/>
        <v>-1</v>
      </c>
      <c r="O220" s="11"/>
      <c r="P220" s="6"/>
      <c r="Q220" s="2"/>
      <c r="R220" s="7">
        <f t="shared" si="78"/>
        <v>0</v>
      </c>
      <c r="S220" s="2"/>
      <c r="T220" s="6">
        <v>2000</v>
      </c>
      <c r="U220" s="2"/>
      <c r="V220" s="7">
        <f t="shared" si="79"/>
        <v>3.425400113317081E-4</v>
      </c>
      <c r="W220" s="2"/>
      <c r="X220" s="6">
        <f t="shared" si="80"/>
        <v>-2000</v>
      </c>
      <c r="Y220" s="2"/>
      <c r="Z220" s="7">
        <f t="shared" si="81"/>
        <v>-1</v>
      </c>
    </row>
    <row r="221" spans="1:26" s="24" customFormat="1" hidden="1" outlineLevel="2" x14ac:dyDescent="0.25">
      <c r="A221" s="26"/>
      <c r="B221" s="11" t="str">
        <f>CONCATENATE("          ", "6373", " - ", "MAINTENANCE CONTRACTS")</f>
        <v xml:space="preserve">          6373 - MAINTENANCE CONTRACTS</v>
      </c>
      <c r="C221" s="11"/>
      <c r="D221" s="6">
        <v>7860.47</v>
      </c>
      <c r="E221" s="2"/>
      <c r="F221" s="7">
        <f t="shared" si="74"/>
        <v>1.7703546745311969E-2</v>
      </c>
      <c r="G221" s="2"/>
      <c r="H221" s="6">
        <v>7040</v>
      </c>
      <c r="I221" s="2"/>
      <c r="J221" s="7">
        <f t="shared" si="75"/>
        <v>1.2505350656303017E-2</v>
      </c>
      <c r="K221" s="2"/>
      <c r="L221" s="6">
        <f t="shared" si="76"/>
        <v>820.47000000000025</v>
      </c>
      <c r="M221" s="2"/>
      <c r="N221" s="7">
        <f t="shared" si="77"/>
        <v>0.11654403409090913</v>
      </c>
      <c r="O221" s="11"/>
      <c r="P221" s="6">
        <v>39698.39</v>
      </c>
      <c r="Q221" s="2"/>
      <c r="R221" s="7">
        <f t="shared" si="78"/>
        <v>7.1980169235722254E-3</v>
      </c>
      <c r="S221" s="2"/>
      <c r="T221" s="6">
        <v>42315</v>
      </c>
      <c r="U221" s="2"/>
      <c r="V221" s="7">
        <f t="shared" si="79"/>
        <v>7.2472902897506132E-3</v>
      </c>
      <c r="W221" s="2"/>
      <c r="X221" s="6">
        <f t="shared" si="80"/>
        <v>-2616.6100000000006</v>
      </c>
      <c r="Y221" s="2"/>
      <c r="Z221" s="7">
        <f t="shared" si="81"/>
        <v>-6.1836464610658171E-2</v>
      </c>
    </row>
    <row r="222" spans="1:26" s="24" customFormat="1" hidden="1" outlineLevel="2" x14ac:dyDescent="0.25">
      <c r="A222" s="26"/>
      <c r="B222" s="11" t="str">
        <f>CONCATENATE("          ", "6375", " - ", "OUTSIDE REPAIRS &amp; MAINTENANCE")</f>
        <v xml:space="preserve">          6375 - OUTSIDE REPAIRS &amp; MAINTENANCE</v>
      </c>
      <c r="C222" s="11"/>
      <c r="D222" s="6">
        <v>3491.62</v>
      </c>
      <c r="E222" s="2"/>
      <c r="F222" s="7">
        <f t="shared" si="74"/>
        <v>7.8639137210454544E-3</v>
      </c>
      <c r="G222" s="2"/>
      <c r="H222" s="6">
        <v>7500</v>
      </c>
      <c r="I222" s="2"/>
      <c r="J222" s="7">
        <f t="shared" si="75"/>
        <v>1.3322461636686454E-2</v>
      </c>
      <c r="K222" s="2"/>
      <c r="L222" s="6">
        <f t="shared" si="76"/>
        <v>-4008.38</v>
      </c>
      <c r="M222" s="2"/>
      <c r="N222" s="7">
        <f t="shared" si="77"/>
        <v>-0.53445066666666663</v>
      </c>
      <c r="O222" s="11"/>
      <c r="P222" s="6">
        <v>28503.05</v>
      </c>
      <c r="Q222" s="2"/>
      <c r="R222" s="7">
        <f t="shared" si="78"/>
        <v>5.1681047083628664E-3</v>
      </c>
      <c r="S222" s="2"/>
      <c r="T222" s="6">
        <v>39025</v>
      </c>
      <c r="U222" s="2"/>
      <c r="V222" s="7">
        <f t="shared" si="79"/>
        <v>6.6838119711099542E-3</v>
      </c>
      <c r="W222" s="2"/>
      <c r="X222" s="6">
        <f t="shared" si="80"/>
        <v>-10521.95</v>
      </c>
      <c r="Y222" s="2"/>
      <c r="Z222" s="7">
        <f t="shared" si="81"/>
        <v>-0.26962075592568868</v>
      </c>
    </row>
    <row r="223" spans="1:26" s="25" customFormat="1" outlineLevel="1" collapsed="1" x14ac:dyDescent="0.25">
      <c r="A223" s="27"/>
      <c r="B223" s="13" t="str">
        <f>CONCATENATE("     ","Royalty &amp; Commissions                             ")</f>
        <v xml:space="preserve">     Royalty &amp; Commissions                             </v>
      </c>
      <c r="C223" s="13"/>
      <c r="D223" s="1">
        <f>SUM(OSRRefD22_17x_0)</f>
        <v>12955.019999999999</v>
      </c>
      <c r="E223" s="1"/>
      <c r="F223" s="5">
        <f t="shared" ref="F223:F227" si="82">IF(D$12=0,0,D223/D$12)</f>
        <v>2.9177619424341217E-2</v>
      </c>
      <c r="G223" s="1"/>
      <c r="H223" s="1">
        <f>SUM(OSRRefH22_17x_0)</f>
        <v>16485</v>
      </c>
      <c r="I223" s="1"/>
      <c r="J223" s="5">
        <f t="shared" ref="J223:J227" si="83">IF(H$12=0,0,H223/H$12)</f>
        <v>2.9282770677436825E-2</v>
      </c>
      <c r="K223" s="1"/>
      <c r="L223" s="1">
        <f t="shared" ref="L223:L227" si="84">+D223-H223</f>
        <v>-3529.9800000000014</v>
      </c>
      <c r="M223" s="1"/>
      <c r="N223" s="5">
        <f t="shared" ref="N223:N227" si="85">IF(H223=0,0,L223/H223)</f>
        <v>-0.21413284804367616</v>
      </c>
      <c r="O223" s="13"/>
      <c r="P223" s="1">
        <f>SUM(OSRRefP22_17x_0)</f>
        <v>63490.770000000004</v>
      </c>
      <c r="Q223" s="1"/>
      <c r="R223" s="5">
        <f t="shared" ref="R223:R227" si="86">IF(P$12=0,0,P223/P$12)</f>
        <v>1.1511994238321298E-2</v>
      </c>
      <c r="S223" s="1"/>
      <c r="T223" s="1">
        <f>SUM(OSRRefT22_17x_0)</f>
        <v>98910</v>
      </c>
      <c r="U223" s="1"/>
      <c r="V223" s="5">
        <f t="shared" ref="V223:V227" si="87">IF(T$12=0,0,T223/T$12)</f>
        <v>1.6940316260409621E-2</v>
      </c>
      <c r="W223" s="1"/>
      <c r="X223" s="1">
        <f t="shared" ref="X223:X227" si="88">+P223-T223</f>
        <v>-35419.229999999996</v>
      </c>
      <c r="Y223" s="1"/>
      <c r="Z223" s="5">
        <f t="shared" ref="Z223:Z227" si="89">IF(T223=0,0,X223/T223)</f>
        <v>-0.35809554140127386</v>
      </c>
    </row>
    <row r="224" spans="1:26" s="24" customFormat="1" hidden="1" outlineLevel="2" x14ac:dyDescent="0.25">
      <c r="A224" s="26"/>
      <c r="B224" s="11" t="str">
        <f>CONCATENATE("          ", "6252", " - ", "ROYALTY DUE CSTV")</f>
        <v xml:space="preserve">          6252 - ROYALTY DUE CSTV</v>
      </c>
      <c r="C224" s="11"/>
      <c r="D224" s="6"/>
      <c r="E224" s="2"/>
      <c r="F224" s="7">
        <f t="shared" si="82"/>
        <v>0</v>
      </c>
      <c r="G224" s="2"/>
      <c r="H224" s="6">
        <v>1085</v>
      </c>
      <c r="I224" s="2"/>
      <c r="J224" s="7">
        <f t="shared" si="83"/>
        <v>1.9273161167739736E-3</v>
      </c>
      <c r="K224" s="2"/>
      <c r="L224" s="6">
        <f t="shared" si="84"/>
        <v>-1085</v>
      </c>
      <c r="M224" s="2"/>
      <c r="N224" s="7">
        <f t="shared" si="85"/>
        <v>-1</v>
      </c>
      <c r="O224" s="11"/>
      <c r="P224" s="6"/>
      <c r="Q224" s="2"/>
      <c r="R224" s="7">
        <f t="shared" si="86"/>
        <v>0</v>
      </c>
      <c r="S224" s="2"/>
      <c r="T224" s="6">
        <v>6510</v>
      </c>
      <c r="U224" s="2"/>
      <c r="V224" s="7">
        <f t="shared" si="87"/>
        <v>1.1149677368847098E-3</v>
      </c>
      <c r="W224" s="2"/>
      <c r="X224" s="6">
        <f t="shared" si="88"/>
        <v>-6510</v>
      </c>
      <c r="Y224" s="2"/>
      <c r="Z224" s="7">
        <f t="shared" si="89"/>
        <v>-1</v>
      </c>
    </row>
    <row r="225" spans="1:26" s="24" customFormat="1" hidden="1" outlineLevel="2" x14ac:dyDescent="0.25">
      <c r="A225" s="26"/>
      <c r="B225" s="11" t="str">
        <f>CONCATENATE("          ", "6253", " - ", "ROYALTY DUE ATHLETICS-LRG")</f>
        <v xml:space="preserve">          6253 - ROYALTY DUE ATHLETICS-LRG</v>
      </c>
      <c r="C225" s="11"/>
      <c r="D225" s="6"/>
      <c r="E225" s="2"/>
      <c r="F225" s="7">
        <f t="shared" si="82"/>
        <v>0</v>
      </c>
      <c r="G225" s="2"/>
      <c r="H225" s="6">
        <v>3700</v>
      </c>
      <c r="I225" s="2"/>
      <c r="J225" s="7">
        <f t="shared" si="83"/>
        <v>6.5724144074319835E-3</v>
      </c>
      <c r="K225" s="2"/>
      <c r="L225" s="6">
        <f t="shared" si="84"/>
        <v>-3700</v>
      </c>
      <c r="M225" s="2"/>
      <c r="N225" s="7">
        <f t="shared" si="85"/>
        <v>-1</v>
      </c>
      <c r="O225" s="11"/>
      <c r="P225" s="6">
        <v>4366.95</v>
      </c>
      <c r="Q225" s="2"/>
      <c r="R225" s="7">
        <f t="shared" si="86"/>
        <v>7.918049070603047E-4</v>
      </c>
      <c r="S225" s="2"/>
      <c r="T225" s="6">
        <v>22200</v>
      </c>
      <c r="U225" s="2"/>
      <c r="V225" s="7">
        <f t="shared" si="87"/>
        <v>3.8021941257819596E-3</v>
      </c>
      <c r="W225" s="2"/>
      <c r="X225" s="6">
        <f t="shared" si="88"/>
        <v>-17833.05</v>
      </c>
      <c r="Y225" s="2"/>
      <c r="Z225" s="7">
        <f t="shared" si="89"/>
        <v>-0.8032905405405405</v>
      </c>
    </row>
    <row r="226" spans="1:26" s="24" customFormat="1" hidden="1" outlineLevel="2" x14ac:dyDescent="0.25">
      <c r="A226" s="26"/>
      <c r="B226" s="11" t="str">
        <f>CONCATENATE("          ", "6254", " - ", "ROYALTY &amp; COMMISSIONS")</f>
        <v xml:space="preserve">          6254 - ROYALTY &amp; COMMISSIONS</v>
      </c>
      <c r="C226" s="11"/>
      <c r="D226" s="6">
        <v>262.72000000000003</v>
      </c>
      <c r="E226" s="2"/>
      <c r="F226" s="7">
        <f t="shared" si="82"/>
        <v>5.9170454195847839E-4</v>
      </c>
      <c r="G226" s="2"/>
      <c r="H226" s="6">
        <v>11700</v>
      </c>
      <c r="I226" s="2"/>
      <c r="J226" s="7">
        <f t="shared" si="83"/>
        <v>2.0783040153230868E-2</v>
      </c>
      <c r="K226" s="2"/>
      <c r="L226" s="6">
        <f t="shared" si="84"/>
        <v>-11437.28</v>
      </c>
      <c r="M226" s="2"/>
      <c r="N226" s="7">
        <f t="shared" si="85"/>
        <v>-0.9775452991452992</v>
      </c>
      <c r="O226" s="11"/>
      <c r="P226" s="6">
        <v>2563.84</v>
      </c>
      <c r="Q226" s="2"/>
      <c r="R226" s="7">
        <f t="shared" si="86"/>
        <v>4.6486932365094445E-4</v>
      </c>
      <c r="S226" s="2"/>
      <c r="T226" s="6">
        <v>70200</v>
      </c>
      <c r="U226" s="2"/>
      <c r="V226" s="7">
        <f t="shared" si="87"/>
        <v>1.2023154397742953E-2</v>
      </c>
      <c r="W226" s="2"/>
      <c r="X226" s="6">
        <f t="shared" si="88"/>
        <v>-67636.160000000003</v>
      </c>
      <c r="Y226" s="2"/>
      <c r="Z226" s="7">
        <f t="shared" si="89"/>
        <v>-0.96347806267806269</v>
      </c>
    </row>
    <row r="227" spans="1:26" s="24" customFormat="1" hidden="1" outlineLevel="2" x14ac:dyDescent="0.25">
      <c r="A227" s="26"/>
      <c r="B227" s="11" t="str">
        <f>CONCATENATE("          ", "6259", " - ", "ROYALTY &amp; COMMISSIONS")</f>
        <v xml:space="preserve">          6259 - ROYALTY &amp; COMMISSIONS</v>
      </c>
      <c r="C227" s="11"/>
      <c r="D227" s="6">
        <v>12692.3</v>
      </c>
      <c r="E227" s="2"/>
      <c r="F227" s="7">
        <f t="shared" si="82"/>
        <v>2.858591488238274E-2</v>
      </c>
      <c r="G227" s="2"/>
      <c r="H227" s="6"/>
      <c r="I227" s="2"/>
      <c r="J227" s="7">
        <f t="shared" si="83"/>
        <v>0</v>
      </c>
      <c r="K227" s="2"/>
      <c r="L227" s="6">
        <f t="shared" si="84"/>
        <v>12692.3</v>
      </c>
      <c r="M227" s="2"/>
      <c r="N227" s="7">
        <f t="shared" si="85"/>
        <v>0</v>
      </c>
      <c r="O227" s="11"/>
      <c r="P227" s="6">
        <v>56559.98</v>
      </c>
      <c r="Q227" s="2"/>
      <c r="R227" s="7">
        <f t="shared" si="86"/>
        <v>1.0255320007610048E-2</v>
      </c>
      <c r="S227" s="2"/>
      <c r="T227" s="6"/>
      <c r="U227" s="2"/>
      <c r="V227" s="7">
        <f t="shared" si="87"/>
        <v>0</v>
      </c>
      <c r="W227" s="2"/>
      <c r="X227" s="6">
        <f t="shared" si="88"/>
        <v>56559.98</v>
      </c>
      <c r="Y227" s="2"/>
      <c r="Z227" s="7">
        <f t="shared" si="89"/>
        <v>0</v>
      </c>
    </row>
    <row r="228" spans="1:26" s="25" customFormat="1" outlineLevel="1" collapsed="1" x14ac:dyDescent="0.25">
      <c r="A228" s="27"/>
      <c r="B228" s="13" t="str">
        <f>CONCATENATE("     ","Services                                          ")</f>
        <v xml:space="preserve">     Services                                          </v>
      </c>
      <c r="C228" s="13"/>
      <c r="D228" s="1">
        <f>SUM(OSRRefD22_18x_0)</f>
        <v>4525.41</v>
      </c>
      <c r="E228" s="1"/>
      <c r="F228" s="5">
        <f t="shared" ref="F228:F232" si="90">IF(D$12=0,0,D228/D$12)</f>
        <v>1.0192241364282572E-2</v>
      </c>
      <c r="G228" s="1"/>
      <c r="H228" s="1">
        <f>SUM(OSRRefH22_18x_0)</f>
        <v>4432.5</v>
      </c>
      <c r="I228" s="1"/>
      <c r="J228" s="5">
        <f t="shared" ref="J228:J232" si="91">IF(H$12=0,0,H228/H$12)</f>
        <v>7.873574827281694E-3</v>
      </c>
      <c r="K228" s="1"/>
      <c r="L228" s="1">
        <f t="shared" ref="L228:L232" si="92">+D228-H228</f>
        <v>92.909999999999854</v>
      </c>
      <c r="M228" s="1"/>
      <c r="N228" s="5">
        <f t="shared" ref="N228:N232" si="93">IF(H228=0,0,L228/H228)</f>
        <v>2.0961082910321456E-2</v>
      </c>
      <c r="O228" s="13"/>
      <c r="P228" s="1">
        <f>SUM(OSRRefP22_18x_0)</f>
        <v>27391.88</v>
      </c>
      <c r="Q228" s="1"/>
      <c r="R228" s="5">
        <f t="shared" ref="R228:R232" si="94">IF(P$12=0,0,P228/P$12)</f>
        <v>4.9666300272746475E-3</v>
      </c>
      <c r="S228" s="1"/>
      <c r="T228" s="1">
        <f>SUM(OSRRefT22_18x_0)</f>
        <v>26595</v>
      </c>
      <c r="U228" s="1"/>
      <c r="V228" s="5">
        <f t="shared" ref="V228:V232" si="95">IF(T$12=0,0,T228/T$12)</f>
        <v>4.5549258006833881E-3</v>
      </c>
      <c r="W228" s="1"/>
      <c r="X228" s="1">
        <f t="shared" ref="X228:X232" si="96">+P228-T228</f>
        <v>796.88000000000102</v>
      </c>
      <c r="Y228" s="1"/>
      <c r="Z228" s="5">
        <f t="shared" ref="Z228:Z232" si="97">IF(T228=0,0,X228/T228)</f>
        <v>2.9963526978755442E-2</v>
      </c>
    </row>
    <row r="229" spans="1:26" s="24" customFormat="1" hidden="1" outlineLevel="2" x14ac:dyDescent="0.25">
      <c r="A229" s="26"/>
      <c r="B229" s="11" t="str">
        <f>CONCATENATE("          ", "6282", " - ", "JANITORIAL/EXTERMINATOR EXPENS")</f>
        <v xml:space="preserve">          6282 - JANITORIAL/EXTERMINATOR EXPENS</v>
      </c>
      <c r="C229" s="11"/>
      <c r="D229" s="6">
        <v>266.5</v>
      </c>
      <c r="E229" s="2"/>
      <c r="F229" s="7">
        <f t="shared" si="90"/>
        <v>6.0021795231400142E-4</v>
      </c>
      <c r="G229" s="2"/>
      <c r="H229" s="6">
        <v>50</v>
      </c>
      <c r="I229" s="2"/>
      <c r="J229" s="7">
        <f t="shared" si="91"/>
        <v>8.8816410911243018E-5</v>
      </c>
      <c r="K229" s="2"/>
      <c r="L229" s="6">
        <f t="shared" si="92"/>
        <v>216.5</v>
      </c>
      <c r="M229" s="2"/>
      <c r="N229" s="7">
        <f t="shared" si="93"/>
        <v>4.33</v>
      </c>
      <c r="O229" s="11"/>
      <c r="P229" s="6">
        <v>1599</v>
      </c>
      <c r="Q229" s="2"/>
      <c r="R229" s="7">
        <f t="shared" si="94"/>
        <v>2.8992684743114238E-4</v>
      </c>
      <c r="S229" s="2"/>
      <c r="T229" s="6">
        <v>300</v>
      </c>
      <c r="U229" s="2"/>
      <c r="V229" s="7">
        <f t="shared" si="95"/>
        <v>5.1381001699756209E-5</v>
      </c>
      <c r="W229" s="2"/>
      <c r="X229" s="6">
        <f t="shared" si="96"/>
        <v>1299</v>
      </c>
      <c r="Y229" s="2"/>
      <c r="Z229" s="7">
        <f t="shared" si="97"/>
        <v>4.33</v>
      </c>
    </row>
    <row r="230" spans="1:26" s="24" customFormat="1" hidden="1" outlineLevel="2" x14ac:dyDescent="0.25">
      <c r="A230" s="26"/>
      <c r="B230" s="11" t="str">
        <f>CONCATENATE("          ", "6283", " - ", "PLANT SERVICE")</f>
        <v xml:space="preserve">          6283 - PLANT SERVICE</v>
      </c>
      <c r="C230" s="11"/>
      <c r="D230" s="6"/>
      <c r="E230" s="2"/>
      <c r="F230" s="7">
        <f t="shared" si="90"/>
        <v>0</v>
      </c>
      <c r="G230" s="2"/>
      <c r="H230" s="6">
        <v>60</v>
      </c>
      <c r="I230" s="2"/>
      <c r="J230" s="7">
        <f t="shared" si="91"/>
        <v>1.0657969309349163E-4</v>
      </c>
      <c r="K230" s="2"/>
      <c r="L230" s="6">
        <f t="shared" si="92"/>
        <v>-60</v>
      </c>
      <c r="M230" s="2"/>
      <c r="N230" s="7">
        <f t="shared" si="93"/>
        <v>-1</v>
      </c>
      <c r="O230" s="11"/>
      <c r="P230" s="6">
        <v>541.98</v>
      </c>
      <c r="Q230" s="2"/>
      <c r="R230" s="7">
        <f t="shared" si="94"/>
        <v>9.8270514553302411E-5</v>
      </c>
      <c r="S230" s="2"/>
      <c r="T230" s="6">
        <v>360</v>
      </c>
      <c r="U230" s="2"/>
      <c r="V230" s="7">
        <f t="shared" si="95"/>
        <v>6.1657202039707456E-5</v>
      </c>
      <c r="W230" s="2"/>
      <c r="X230" s="6">
        <f t="shared" si="96"/>
        <v>181.98000000000002</v>
      </c>
      <c r="Y230" s="2"/>
      <c r="Z230" s="7">
        <f t="shared" si="97"/>
        <v>0.50550000000000006</v>
      </c>
    </row>
    <row r="231" spans="1:26" s="24" customFormat="1" hidden="1" outlineLevel="2" x14ac:dyDescent="0.25">
      <c r="A231" s="26"/>
      <c r="B231" s="11" t="str">
        <f>CONCATENATE("          ", "6284", " - ", "TRASH REMOVAL EXPENSE")</f>
        <v xml:space="preserve">          6284 - TRASH REMOVAL EXPENSE</v>
      </c>
      <c r="C231" s="11"/>
      <c r="D231" s="6">
        <v>134.82</v>
      </c>
      <c r="E231" s="2"/>
      <c r="F231" s="7">
        <f t="shared" si="90"/>
        <v>3.0364496934699313E-4</v>
      </c>
      <c r="G231" s="2"/>
      <c r="H231" s="6">
        <v>62.5</v>
      </c>
      <c r="I231" s="2"/>
      <c r="J231" s="7">
        <f t="shared" si="91"/>
        <v>1.1102051363905378E-4</v>
      </c>
      <c r="K231" s="2"/>
      <c r="L231" s="6">
        <f t="shared" si="92"/>
        <v>72.319999999999993</v>
      </c>
      <c r="M231" s="2"/>
      <c r="N231" s="7">
        <f t="shared" si="93"/>
        <v>1.1571199999999999</v>
      </c>
      <c r="O231" s="11"/>
      <c r="P231" s="6">
        <v>808.92</v>
      </c>
      <c r="Q231" s="2"/>
      <c r="R231" s="7">
        <f t="shared" si="94"/>
        <v>1.4667143553721056E-4</v>
      </c>
      <c r="S231" s="2"/>
      <c r="T231" s="6">
        <v>375</v>
      </c>
      <c r="U231" s="2"/>
      <c r="V231" s="7">
        <f t="shared" si="95"/>
        <v>6.4226252124695258E-5</v>
      </c>
      <c r="W231" s="2"/>
      <c r="X231" s="6">
        <f t="shared" si="96"/>
        <v>433.91999999999996</v>
      </c>
      <c r="Y231" s="2"/>
      <c r="Z231" s="7">
        <f t="shared" si="97"/>
        <v>1.1571199999999999</v>
      </c>
    </row>
    <row r="232" spans="1:26" s="24" customFormat="1" hidden="1" outlineLevel="2" x14ac:dyDescent="0.25">
      <c r="A232" s="26"/>
      <c r="B232" s="11" t="str">
        <f>CONCATENATE("          ", "6285", " - ", "JANITORIAL SERVICES")</f>
        <v xml:space="preserve">          6285 - JANITORIAL SERVICES</v>
      </c>
      <c r="C232" s="11"/>
      <c r="D232" s="6">
        <v>4124.09</v>
      </c>
      <c r="E232" s="2"/>
      <c r="F232" s="7">
        <f t="shared" si="90"/>
        <v>9.2883784426215782E-3</v>
      </c>
      <c r="G232" s="2"/>
      <c r="H232" s="6">
        <v>4260</v>
      </c>
      <c r="I232" s="2"/>
      <c r="J232" s="7">
        <f t="shared" si="91"/>
        <v>7.567158209637906E-3</v>
      </c>
      <c r="K232" s="2"/>
      <c r="L232" s="6">
        <f t="shared" si="92"/>
        <v>-135.90999999999985</v>
      </c>
      <c r="M232" s="2"/>
      <c r="N232" s="7">
        <f t="shared" si="93"/>
        <v>-3.1903755868544569E-2</v>
      </c>
      <c r="O232" s="11"/>
      <c r="P232" s="6">
        <v>24441.98</v>
      </c>
      <c r="Q232" s="2"/>
      <c r="R232" s="7">
        <f t="shared" si="94"/>
        <v>4.431761229752992E-3</v>
      </c>
      <c r="S232" s="2"/>
      <c r="T232" s="6">
        <v>25560</v>
      </c>
      <c r="U232" s="2"/>
      <c r="V232" s="7">
        <f t="shared" si="95"/>
        <v>4.3776613448192293E-3</v>
      </c>
      <c r="W232" s="2"/>
      <c r="X232" s="6">
        <f t="shared" si="96"/>
        <v>-1118.0200000000004</v>
      </c>
      <c r="Y232" s="2"/>
      <c r="Z232" s="7">
        <f t="shared" si="97"/>
        <v>-4.3741001564945245E-2</v>
      </c>
    </row>
    <row r="233" spans="1:26" s="25" customFormat="1" outlineLevel="1" collapsed="1" x14ac:dyDescent="0.25">
      <c r="A233" s="27"/>
      <c r="B233" s="13" t="str">
        <f>CONCATENATE("     ","Subscriptions &amp; Dues                              ")</f>
        <v xml:space="preserve">     Subscriptions &amp; Dues                              </v>
      </c>
      <c r="C233" s="13"/>
      <c r="D233" s="1">
        <f>SUM(OSRRefD22_19x_0)</f>
        <v>250</v>
      </c>
      <c r="E233" s="1"/>
      <c r="F233" s="5">
        <f t="shared" ref="F233:F235" si="98">IF(D$12=0,0,D233/D$12)</f>
        <v>5.6305624044465424E-4</v>
      </c>
      <c r="G233" s="1"/>
      <c r="H233" s="1">
        <f>SUM(OSRRefH22_19x_0)</f>
        <v>4210</v>
      </c>
      <c r="I233" s="1"/>
      <c r="J233" s="5">
        <f t="shared" ref="J233:J235" si="99">IF(H$12=0,0,H233/H$12)</f>
        <v>7.4783417987266624E-3</v>
      </c>
      <c r="K233" s="1"/>
      <c r="L233" s="1">
        <f t="shared" ref="L233:L235" si="100">+D233-H233</f>
        <v>-3960</v>
      </c>
      <c r="M233" s="1"/>
      <c r="N233" s="5">
        <f t="shared" ref="N233:N235" si="101">IF(H233=0,0,L233/H233)</f>
        <v>-0.94061757719714967</v>
      </c>
      <c r="O233" s="13"/>
      <c r="P233" s="1">
        <f>SUM(OSRRefP22_19x_0)</f>
        <v>2467.7600000000002</v>
      </c>
      <c r="Q233" s="1"/>
      <c r="R233" s="5">
        <f t="shared" ref="R233:R235" si="102">IF(P$12=0,0,P233/P$12)</f>
        <v>4.4744832834063542E-4</v>
      </c>
      <c r="S233" s="1"/>
      <c r="T233" s="1">
        <f>SUM(OSRRefT22_19x_0)</f>
        <v>13730</v>
      </c>
      <c r="U233" s="1"/>
      <c r="V233" s="5">
        <f t="shared" ref="V233:V235" si="103">IF(T$12=0,0,T233/T$12)</f>
        <v>2.3515371777921758E-3</v>
      </c>
      <c r="W233" s="1"/>
      <c r="X233" s="1">
        <f t="shared" ref="X233:X235" si="104">+P233-T233</f>
        <v>-11262.24</v>
      </c>
      <c r="Y233" s="1"/>
      <c r="Z233" s="5">
        <f t="shared" ref="Z233:Z235" si="105">IF(T233=0,0,X233/T233)</f>
        <v>-0.82026511289147852</v>
      </c>
    </row>
    <row r="234" spans="1:26" s="24" customFormat="1" hidden="1" outlineLevel="2" x14ac:dyDescent="0.25">
      <c r="A234" s="26"/>
      <c r="B234" s="11" t="str">
        <f>CONCATENATE("          ", "6258", " - ", "MEMBERSHIP DUES")</f>
        <v xml:space="preserve">          6258 - MEMBERSHIP DUES</v>
      </c>
      <c r="C234" s="11"/>
      <c r="D234" s="6">
        <v>250</v>
      </c>
      <c r="E234" s="2"/>
      <c r="F234" s="7">
        <f t="shared" si="98"/>
        <v>5.6305624044465424E-4</v>
      </c>
      <c r="G234" s="2"/>
      <c r="H234" s="6">
        <v>3945</v>
      </c>
      <c r="I234" s="2"/>
      <c r="J234" s="7">
        <f t="shared" si="99"/>
        <v>7.0076148208970748E-3</v>
      </c>
      <c r="K234" s="2"/>
      <c r="L234" s="6">
        <f t="shared" si="100"/>
        <v>-3695</v>
      </c>
      <c r="M234" s="2"/>
      <c r="N234" s="7">
        <f t="shared" si="101"/>
        <v>-0.9366286438529785</v>
      </c>
      <c r="O234" s="11"/>
      <c r="P234" s="6">
        <v>1677.4</v>
      </c>
      <c r="Q234" s="2"/>
      <c r="R234" s="7">
        <f t="shared" si="102"/>
        <v>3.0414214751782259E-4</v>
      </c>
      <c r="S234" s="2"/>
      <c r="T234" s="6">
        <v>11140</v>
      </c>
      <c r="U234" s="2"/>
      <c r="V234" s="7">
        <f t="shared" si="103"/>
        <v>1.907947863117614E-3</v>
      </c>
      <c r="W234" s="2"/>
      <c r="X234" s="6">
        <f t="shared" si="104"/>
        <v>-9462.6</v>
      </c>
      <c r="Y234" s="2"/>
      <c r="Z234" s="7">
        <f t="shared" si="105"/>
        <v>-0.84942549371633758</v>
      </c>
    </row>
    <row r="235" spans="1:26" s="24" customFormat="1" hidden="1" outlineLevel="2" x14ac:dyDescent="0.25">
      <c r="A235" s="26"/>
      <c r="B235" s="11" t="str">
        <f>CONCATENATE("          ", "6275", " - ", "SUBSCRIPTIONS")</f>
        <v xml:space="preserve">          6275 - SUBSCRIPTIONS</v>
      </c>
      <c r="C235" s="11"/>
      <c r="D235" s="6"/>
      <c r="E235" s="2"/>
      <c r="F235" s="7">
        <f t="shared" si="98"/>
        <v>0</v>
      </c>
      <c r="G235" s="2"/>
      <c r="H235" s="6">
        <v>265</v>
      </c>
      <c r="I235" s="2"/>
      <c r="J235" s="7">
        <f t="shared" si="99"/>
        <v>4.70726977829588E-4</v>
      </c>
      <c r="K235" s="2"/>
      <c r="L235" s="6">
        <f t="shared" si="100"/>
        <v>-265</v>
      </c>
      <c r="M235" s="2"/>
      <c r="N235" s="7">
        <f t="shared" si="101"/>
        <v>-1</v>
      </c>
      <c r="O235" s="11"/>
      <c r="P235" s="6">
        <v>790.36</v>
      </c>
      <c r="Q235" s="2"/>
      <c r="R235" s="7">
        <f t="shared" si="102"/>
        <v>1.4330618082281283E-4</v>
      </c>
      <c r="S235" s="2"/>
      <c r="T235" s="6">
        <v>2590</v>
      </c>
      <c r="U235" s="2"/>
      <c r="V235" s="7">
        <f t="shared" si="103"/>
        <v>4.4358931467456195E-4</v>
      </c>
      <c r="W235" s="2"/>
      <c r="X235" s="6">
        <f t="shared" si="104"/>
        <v>-1799.6399999999999</v>
      </c>
      <c r="Y235" s="2"/>
      <c r="Z235" s="7">
        <f t="shared" si="105"/>
        <v>-0.69484169884169877</v>
      </c>
    </row>
    <row r="236" spans="1:26" s="25" customFormat="1" outlineLevel="1" collapsed="1" x14ac:dyDescent="0.25">
      <c r="A236" s="27"/>
      <c r="B236" s="13" t="str">
        <f>CONCATENATE("     ","Supplies                                          ")</f>
        <v xml:space="preserve">     Supplies                                          </v>
      </c>
      <c r="C236" s="13"/>
      <c r="D236" s="1">
        <f>SUM(OSRRefD22_20x_0)</f>
        <v>7584.7900000000009</v>
      </c>
      <c r="E236" s="1"/>
      <c r="F236" s="5">
        <f t="shared" ref="F236:F243" si="106">IF(D$12=0,0,D236/D$12)</f>
        <v>1.7082653367848838E-2</v>
      </c>
      <c r="G236" s="1"/>
      <c r="H236" s="1">
        <f>SUM(OSRRefH22_20x_0)</f>
        <v>20535</v>
      </c>
      <c r="I236" s="1"/>
      <c r="J236" s="5">
        <f t="shared" ref="J236:J243" si="107">IF(H$12=0,0,H236/H$12)</f>
        <v>3.6476899961247512E-2</v>
      </c>
      <c r="K236" s="1"/>
      <c r="L236" s="1">
        <f t="shared" ref="L236:L243" si="108">+D236-H236</f>
        <v>-12950.21</v>
      </c>
      <c r="M236" s="1"/>
      <c r="N236" s="5">
        <f t="shared" ref="N236:N243" si="109">IF(H236=0,0,L236/H236)</f>
        <v>-0.63064085707328943</v>
      </c>
      <c r="O236" s="13"/>
      <c r="P236" s="1">
        <f>SUM(OSRRefP22_20x_0)</f>
        <v>50768.310000000005</v>
      </c>
      <c r="Q236" s="1"/>
      <c r="R236" s="5">
        <f t="shared" ref="R236:R243" si="110">IF(P$12=0,0,P236/P$12)</f>
        <v>9.2051882849949612E-3</v>
      </c>
      <c r="S236" s="1"/>
      <c r="T236" s="1">
        <f>SUM(OSRRefT22_20x_0)</f>
        <v>93960</v>
      </c>
      <c r="U236" s="1"/>
      <c r="V236" s="5">
        <f t="shared" ref="V236:V243" si="111">IF(T$12=0,0,T236/T$12)</f>
        <v>1.6092529732363647E-2</v>
      </c>
      <c r="W236" s="1"/>
      <c r="X236" s="1">
        <f t="shared" ref="X236:X243" si="112">+P236-T236</f>
        <v>-43191.689999999995</v>
      </c>
      <c r="Y236" s="1"/>
      <c r="Z236" s="5">
        <f t="shared" ref="Z236:Z243" si="113">IF(T236=0,0,X236/T236)</f>
        <v>-0.45968167305236268</v>
      </c>
    </row>
    <row r="237" spans="1:26" s="24" customFormat="1" hidden="1" outlineLevel="2" x14ac:dyDescent="0.25">
      <c r="A237" s="26"/>
      <c r="B237" s="11" t="str">
        <f>CONCATENATE("          ", "6234", " - ", "EXPENDABLE SUPPLIES &amp; EQUIPMEN")</f>
        <v xml:space="preserve">          6234 - EXPENDABLE SUPPLIES &amp; EQUIPMEN</v>
      </c>
      <c r="C237" s="11"/>
      <c r="D237" s="6"/>
      <c r="E237" s="2"/>
      <c r="F237" s="7">
        <f t="shared" si="106"/>
        <v>0</v>
      </c>
      <c r="G237" s="2"/>
      <c r="H237" s="6">
        <v>400</v>
      </c>
      <c r="I237" s="2"/>
      <c r="J237" s="7">
        <f t="shared" si="107"/>
        <v>7.1053128728994414E-4</v>
      </c>
      <c r="K237" s="2"/>
      <c r="L237" s="6">
        <f t="shared" si="108"/>
        <v>-400</v>
      </c>
      <c r="M237" s="2"/>
      <c r="N237" s="7">
        <f t="shared" si="109"/>
        <v>-1</v>
      </c>
      <c r="O237" s="11"/>
      <c r="P237" s="6">
        <v>1822.75</v>
      </c>
      <c r="Q237" s="2"/>
      <c r="R237" s="7">
        <f t="shared" si="110"/>
        <v>3.3049666113515623E-4</v>
      </c>
      <c r="S237" s="2"/>
      <c r="T237" s="6">
        <v>3250</v>
      </c>
      <c r="U237" s="2"/>
      <c r="V237" s="7">
        <f t="shared" si="111"/>
        <v>5.5662751841402565E-4</v>
      </c>
      <c r="W237" s="2"/>
      <c r="X237" s="6">
        <f t="shared" si="112"/>
        <v>-1427.25</v>
      </c>
      <c r="Y237" s="2"/>
      <c r="Z237" s="7">
        <f t="shared" si="113"/>
        <v>-0.43915384615384617</v>
      </c>
    </row>
    <row r="238" spans="1:26" s="24" customFormat="1" hidden="1" outlineLevel="2" x14ac:dyDescent="0.25">
      <c r="A238" s="26"/>
      <c r="B238" s="11" t="str">
        <f>CONCATENATE("          ", "6237", " - ", "JANITORIAL SUPPLIES")</f>
        <v xml:space="preserve">          6237 - JANITORIAL SUPPLIES</v>
      </c>
      <c r="C238" s="11"/>
      <c r="D238" s="6">
        <v>131.72999999999999</v>
      </c>
      <c r="E238" s="2"/>
      <c r="F238" s="7">
        <f t="shared" si="106"/>
        <v>2.9668559421509719E-4</v>
      </c>
      <c r="G238" s="2"/>
      <c r="H238" s="6">
        <v>35</v>
      </c>
      <c r="I238" s="2"/>
      <c r="J238" s="7">
        <f t="shared" si="107"/>
        <v>6.2171487637870118E-5</v>
      </c>
      <c r="K238" s="2"/>
      <c r="L238" s="6">
        <f t="shared" si="108"/>
        <v>96.72999999999999</v>
      </c>
      <c r="M238" s="2"/>
      <c r="N238" s="7">
        <f t="shared" si="109"/>
        <v>2.7637142857142853</v>
      </c>
      <c r="O238" s="11"/>
      <c r="P238" s="6">
        <v>2989.48</v>
      </c>
      <c r="Q238" s="2"/>
      <c r="R238" s="7">
        <f t="shared" si="110"/>
        <v>5.4204534825419111E-4</v>
      </c>
      <c r="S238" s="2"/>
      <c r="T238" s="6">
        <v>260</v>
      </c>
      <c r="U238" s="2"/>
      <c r="V238" s="7">
        <f t="shared" si="111"/>
        <v>4.4530201473122049E-5</v>
      </c>
      <c r="W238" s="2"/>
      <c r="X238" s="6">
        <f t="shared" si="112"/>
        <v>2729.48</v>
      </c>
      <c r="Y238" s="2"/>
      <c r="Z238" s="7">
        <f t="shared" si="113"/>
        <v>10.497999999999999</v>
      </c>
    </row>
    <row r="239" spans="1:26" s="24" customFormat="1" hidden="1" outlineLevel="2" x14ac:dyDescent="0.25">
      <c r="A239" s="26"/>
      <c r="B239" s="11" t="str">
        <f>CONCATENATE("          ", "6241", " - ", "OFFICE EXPENSE")</f>
        <v xml:space="preserve">          6241 - OFFICE EXPENSE</v>
      </c>
      <c r="C239" s="11"/>
      <c r="D239" s="6">
        <v>2931.36</v>
      </c>
      <c r="E239" s="2"/>
      <c r="F239" s="7">
        <f t="shared" si="106"/>
        <v>6.6020821639593674E-3</v>
      </c>
      <c r="G239" s="2"/>
      <c r="H239" s="6">
        <v>3425</v>
      </c>
      <c r="I239" s="2"/>
      <c r="J239" s="7">
        <f t="shared" si="107"/>
        <v>6.0839241474201474E-3</v>
      </c>
      <c r="K239" s="2"/>
      <c r="L239" s="6">
        <f t="shared" si="108"/>
        <v>-493.63999999999987</v>
      </c>
      <c r="M239" s="2"/>
      <c r="N239" s="7">
        <f t="shared" si="109"/>
        <v>-0.14412846715328465</v>
      </c>
      <c r="O239" s="11"/>
      <c r="P239" s="6">
        <v>17494.830000000002</v>
      </c>
      <c r="Q239" s="2"/>
      <c r="R239" s="7">
        <f t="shared" si="110"/>
        <v>3.1721206430542674E-3</v>
      </c>
      <c r="S239" s="2"/>
      <c r="T239" s="6">
        <v>9400</v>
      </c>
      <c r="U239" s="2"/>
      <c r="V239" s="7">
        <f t="shared" si="111"/>
        <v>1.609938053259028E-3</v>
      </c>
      <c r="W239" s="2"/>
      <c r="X239" s="6">
        <f t="shared" si="112"/>
        <v>8094.8300000000017</v>
      </c>
      <c r="Y239" s="2"/>
      <c r="Z239" s="7">
        <f t="shared" si="113"/>
        <v>0.86115212765957461</v>
      </c>
    </row>
    <row r="240" spans="1:26" s="24" customFormat="1" hidden="1" outlineLevel="2" x14ac:dyDescent="0.25">
      <c r="A240" s="26"/>
      <c r="B240" s="11" t="str">
        <f>CONCATENATE("          ", "6243", " - ", "PAPER SUPPLIES")</f>
        <v xml:space="preserve">          6243 - PAPER SUPPLIES</v>
      </c>
      <c r="C240" s="11"/>
      <c r="D240" s="6">
        <v>3229.02</v>
      </c>
      <c r="E240" s="2"/>
      <c r="F240" s="7">
        <f t="shared" si="106"/>
        <v>7.2724794460823899E-3</v>
      </c>
      <c r="G240" s="2"/>
      <c r="H240" s="6">
        <v>250</v>
      </c>
      <c r="I240" s="2"/>
      <c r="J240" s="7">
        <f t="shared" si="107"/>
        <v>4.4408205455621512E-4</v>
      </c>
      <c r="K240" s="2"/>
      <c r="L240" s="6">
        <f t="shared" si="108"/>
        <v>2979.02</v>
      </c>
      <c r="M240" s="2"/>
      <c r="N240" s="7">
        <f t="shared" si="109"/>
        <v>11.916079999999999</v>
      </c>
      <c r="O240" s="11"/>
      <c r="P240" s="6">
        <v>9558.5</v>
      </c>
      <c r="Q240" s="2"/>
      <c r="R240" s="7">
        <f t="shared" si="110"/>
        <v>1.7331243096751561E-3</v>
      </c>
      <c r="S240" s="2"/>
      <c r="T240" s="6">
        <v>2000</v>
      </c>
      <c r="U240" s="2"/>
      <c r="V240" s="7">
        <f t="shared" si="111"/>
        <v>3.425400113317081E-4</v>
      </c>
      <c r="W240" s="2"/>
      <c r="X240" s="6">
        <f t="shared" si="112"/>
        <v>7558.5</v>
      </c>
      <c r="Y240" s="2"/>
      <c r="Z240" s="7">
        <f t="shared" si="113"/>
        <v>3.7792500000000002</v>
      </c>
    </row>
    <row r="241" spans="1:26" s="24" customFormat="1" hidden="1" outlineLevel="2" x14ac:dyDescent="0.25">
      <c r="A241" s="26"/>
      <c r="B241" s="11" t="str">
        <f>CONCATENATE("          ", "6245", " - ", "PRINTING")</f>
        <v xml:space="preserve">          6245 - PRINTING</v>
      </c>
      <c r="C241" s="11"/>
      <c r="D241" s="6">
        <v>748.76</v>
      </c>
      <c r="E241" s="2"/>
      <c r="F241" s="7">
        <f t="shared" si="106"/>
        <v>1.6863759623813573E-3</v>
      </c>
      <c r="G241" s="2"/>
      <c r="H241" s="6">
        <v>500</v>
      </c>
      <c r="I241" s="2"/>
      <c r="J241" s="7">
        <f t="shared" si="107"/>
        <v>8.8816410911243023E-4</v>
      </c>
      <c r="K241" s="2"/>
      <c r="L241" s="6">
        <f t="shared" si="108"/>
        <v>248.76</v>
      </c>
      <c r="M241" s="2"/>
      <c r="N241" s="7">
        <f t="shared" si="109"/>
        <v>0.49751999999999996</v>
      </c>
      <c r="O241" s="11"/>
      <c r="P241" s="6">
        <v>5593.81</v>
      </c>
      <c r="Q241" s="2"/>
      <c r="R241" s="7">
        <f t="shared" si="110"/>
        <v>1.0142562216565345E-3</v>
      </c>
      <c r="S241" s="2"/>
      <c r="T241" s="6">
        <v>1400</v>
      </c>
      <c r="U241" s="2"/>
      <c r="V241" s="7">
        <f t="shared" si="111"/>
        <v>2.3977800793219565E-4</v>
      </c>
      <c r="W241" s="2"/>
      <c r="X241" s="6">
        <f t="shared" si="112"/>
        <v>4193.8100000000004</v>
      </c>
      <c r="Y241" s="2"/>
      <c r="Z241" s="7">
        <f t="shared" si="113"/>
        <v>2.9955785714285716</v>
      </c>
    </row>
    <row r="242" spans="1:26" s="24" customFormat="1" hidden="1" outlineLevel="2" x14ac:dyDescent="0.25">
      <c r="A242" s="26"/>
      <c r="B242" s="11" t="str">
        <f>CONCATENATE("          ", "6247", " - ", "STORE SUPPLIES")</f>
        <v xml:space="preserve">          6247 - STORE SUPPLIES</v>
      </c>
      <c r="C242" s="11"/>
      <c r="D242" s="6">
        <v>543.91999999999996</v>
      </c>
      <c r="E242" s="2"/>
      <c r="F242" s="7">
        <f t="shared" si="106"/>
        <v>1.2250302012106254E-3</v>
      </c>
      <c r="G242" s="2"/>
      <c r="H242" s="6">
        <v>14425</v>
      </c>
      <c r="I242" s="2"/>
      <c r="J242" s="7">
        <f t="shared" si="107"/>
        <v>2.5623534547893612E-2</v>
      </c>
      <c r="K242" s="2"/>
      <c r="L242" s="6">
        <f t="shared" si="108"/>
        <v>-13881.08</v>
      </c>
      <c r="M242" s="2"/>
      <c r="N242" s="7">
        <f t="shared" si="109"/>
        <v>-0.96229324090121315</v>
      </c>
      <c r="O242" s="11"/>
      <c r="P242" s="6">
        <v>13308.94</v>
      </c>
      <c r="Q242" s="2"/>
      <c r="R242" s="7">
        <f t="shared" si="110"/>
        <v>2.4131451012196553E-3</v>
      </c>
      <c r="S242" s="2"/>
      <c r="T242" s="6">
        <v>71150</v>
      </c>
      <c r="U242" s="2"/>
      <c r="V242" s="7">
        <f t="shared" si="111"/>
        <v>1.2185860903125515E-2</v>
      </c>
      <c r="W242" s="2"/>
      <c r="X242" s="6">
        <f t="shared" si="112"/>
        <v>-57841.06</v>
      </c>
      <c r="Y242" s="2"/>
      <c r="Z242" s="7">
        <f t="shared" si="113"/>
        <v>-0.81294532677442022</v>
      </c>
    </row>
    <row r="243" spans="1:26" s="24" customFormat="1" hidden="1" outlineLevel="2" x14ac:dyDescent="0.25">
      <c r="A243" s="26"/>
      <c r="B243" s="11" t="str">
        <f>CONCATENATE("          ", "6248", " - ", "UNIFORMS")</f>
        <v xml:space="preserve">          6248 - UNIFORMS</v>
      </c>
      <c r="C243" s="11"/>
      <c r="D243" s="6"/>
      <c r="E243" s="2"/>
      <c r="F243" s="7">
        <f t="shared" si="106"/>
        <v>0</v>
      </c>
      <c r="G243" s="2"/>
      <c r="H243" s="6">
        <v>1500</v>
      </c>
      <c r="I243" s="2"/>
      <c r="J243" s="7">
        <f t="shared" si="107"/>
        <v>2.6644923273372906E-3</v>
      </c>
      <c r="K243" s="2"/>
      <c r="L243" s="6">
        <f t="shared" si="108"/>
        <v>-1500</v>
      </c>
      <c r="M243" s="2"/>
      <c r="N243" s="7">
        <f t="shared" si="109"/>
        <v>-1</v>
      </c>
      <c r="O243" s="11"/>
      <c r="P243" s="6"/>
      <c r="Q243" s="2"/>
      <c r="R243" s="7">
        <f t="shared" si="110"/>
        <v>0</v>
      </c>
      <c r="S243" s="2"/>
      <c r="T243" s="6">
        <v>6500</v>
      </c>
      <c r="U243" s="2"/>
      <c r="V243" s="7">
        <f t="shared" si="111"/>
        <v>1.1132550368280513E-3</v>
      </c>
      <c r="W243" s="2"/>
      <c r="X243" s="6">
        <f t="shared" si="112"/>
        <v>-6500</v>
      </c>
      <c r="Y243" s="2"/>
      <c r="Z243" s="7">
        <f t="shared" si="113"/>
        <v>-1</v>
      </c>
    </row>
    <row r="244" spans="1:26" s="25" customFormat="1" outlineLevel="1" collapsed="1" x14ac:dyDescent="0.25">
      <c r="A244" s="27"/>
      <c r="B244" s="13" t="str">
        <f>CONCATENATE("     ","Telephone/Data Lines                              ")</f>
        <v xml:space="preserve">     Telephone/Data Lines                              </v>
      </c>
      <c r="C244" s="13"/>
      <c r="D244" s="1">
        <f>SUM(OSRRefD22_21x_0)</f>
        <v>2600.59</v>
      </c>
      <c r="E244" s="1"/>
      <c r="F244" s="5">
        <f t="shared" ref="F244:F246" si="114">IF(D$12=0,0,D244/D$12)</f>
        <v>5.8571137133518539E-3</v>
      </c>
      <c r="G244" s="1"/>
      <c r="H244" s="1">
        <f>SUM(OSRRefH22_21x_0)</f>
        <v>2740</v>
      </c>
      <c r="I244" s="1"/>
      <c r="J244" s="5">
        <f t="shared" ref="J244:J246" si="115">IF(H$12=0,0,H244/H$12)</f>
        <v>4.8671393179361179E-3</v>
      </c>
      <c r="K244" s="1"/>
      <c r="L244" s="1">
        <f t="shared" ref="L244:L246" si="116">+D244-H244</f>
        <v>-139.40999999999985</v>
      </c>
      <c r="M244" s="1"/>
      <c r="N244" s="5">
        <f t="shared" ref="N244:N246" si="117">IF(H244=0,0,L244/H244)</f>
        <v>-5.0879562043795568E-2</v>
      </c>
      <c r="O244" s="13"/>
      <c r="P244" s="1">
        <f>SUM(OSRRefP22_21x_0)</f>
        <v>16055.26</v>
      </c>
      <c r="Q244" s="1"/>
      <c r="R244" s="5">
        <f t="shared" ref="R244:R246" si="118">IF(P$12=0,0,P244/P$12)</f>
        <v>2.91110126109276E-3</v>
      </c>
      <c r="S244" s="1"/>
      <c r="T244" s="1">
        <f>SUM(OSRRefT22_21x_0)</f>
        <v>18015</v>
      </c>
      <c r="U244" s="1"/>
      <c r="V244" s="5">
        <f t="shared" ref="V244:V246" si="119">IF(T$12=0,0,T244/T$12)</f>
        <v>3.0854291520703604E-3</v>
      </c>
      <c r="W244" s="1"/>
      <c r="X244" s="1">
        <f t="shared" ref="X244:X246" si="120">+P244-T244</f>
        <v>-1959.7399999999998</v>
      </c>
      <c r="Y244" s="1"/>
      <c r="Z244" s="5">
        <f t="shared" ref="Z244:Z246" si="121">IF(T244=0,0,X244/T244)</f>
        <v>-0.10878379128504023</v>
      </c>
    </row>
    <row r="245" spans="1:26" s="24" customFormat="1" hidden="1" outlineLevel="2" x14ac:dyDescent="0.25">
      <c r="A245" s="26"/>
      <c r="B245" s="11" t="str">
        <f>CONCATENATE("          ", "6303", " - ", "DATA PHONE LINES")</f>
        <v xml:space="preserve">          6303 - DATA PHONE LINES</v>
      </c>
      <c r="C245" s="11"/>
      <c r="D245" s="6">
        <v>295</v>
      </c>
      <c r="E245" s="2"/>
      <c r="F245" s="7">
        <f t="shared" si="114"/>
        <v>6.6440636372469206E-4</v>
      </c>
      <c r="G245" s="2"/>
      <c r="H245" s="6">
        <v>900</v>
      </c>
      <c r="I245" s="2"/>
      <c r="J245" s="7">
        <f t="shared" si="115"/>
        <v>1.5986953964023745E-3</v>
      </c>
      <c r="K245" s="2"/>
      <c r="L245" s="6">
        <f t="shared" si="116"/>
        <v>-605</v>
      </c>
      <c r="M245" s="2"/>
      <c r="N245" s="7">
        <f t="shared" si="117"/>
        <v>-0.67222222222222228</v>
      </c>
      <c r="O245" s="11"/>
      <c r="P245" s="6">
        <v>1770</v>
      </c>
      <c r="Q245" s="2"/>
      <c r="R245" s="7">
        <f t="shared" si="118"/>
        <v>3.20932157569182E-4</v>
      </c>
      <c r="S245" s="2"/>
      <c r="T245" s="6">
        <v>6475</v>
      </c>
      <c r="U245" s="2"/>
      <c r="V245" s="7">
        <f t="shared" si="119"/>
        <v>1.1089732866864049E-3</v>
      </c>
      <c r="W245" s="2"/>
      <c r="X245" s="6">
        <f t="shared" si="120"/>
        <v>-4705</v>
      </c>
      <c r="Y245" s="2"/>
      <c r="Z245" s="7">
        <f t="shared" si="121"/>
        <v>-0.72664092664092661</v>
      </c>
    </row>
    <row r="246" spans="1:26" s="24" customFormat="1" hidden="1" outlineLevel="2" x14ac:dyDescent="0.25">
      <c r="A246" s="26"/>
      <c r="B246" s="11" t="str">
        <f>CONCATENATE("          ", "6309", " - ", "TELEPHONE")</f>
        <v xml:space="preserve">          6309 - TELEPHONE</v>
      </c>
      <c r="C246" s="11"/>
      <c r="D246" s="6">
        <v>2305.59</v>
      </c>
      <c r="E246" s="2"/>
      <c r="F246" s="7">
        <f t="shared" si="114"/>
        <v>5.1927073496271618E-3</v>
      </c>
      <c r="G246" s="2"/>
      <c r="H246" s="6">
        <v>1840</v>
      </c>
      <c r="I246" s="2"/>
      <c r="J246" s="7">
        <f t="shared" si="115"/>
        <v>3.2684439215337432E-3</v>
      </c>
      <c r="K246" s="2"/>
      <c r="L246" s="6">
        <f t="shared" si="116"/>
        <v>465.59000000000015</v>
      </c>
      <c r="M246" s="2"/>
      <c r="N246" s="7">
        <f t="shared" si="117"/>
        <v>0.25303804347826092</v>
      </c>
      <c r="O246" s="11"/>
      <c r="P246" s="6">
        <v>14285.26</v>
      </c>
      <c r="Q246" s="2"/>
      <c r="R246" s="7">
        <f t="shared" si="118"/>
        <v>2.590169103523578E-3</v>
      </c>
      <c r="S246" s="2"/>
      <c r="T246" s="6">
        <v>11540</v>
      </c>
      <c r="U246" s="2"/>
      <c r="V246" s="7">
        <f t="shared" si="119"/>
        <v>1.9764558653839557E-3</v>
      </c>
      <c r="W246" s="2"/>
      <c r="X246" s="6">
        <f t="shared" si="120"/>
        <v>2745.26</v>
      </c>
      <c r="Y246" s="2"/>
      <c r="Z246" s="7">
        <f t="shared" si="121"/>
        <v>0.23789081455805894</v>
      </c>
    </row>
    <row r="247" spans="1:26" s="25" customFormat="1" outlineLevel="1" collapsed="1" x14ac:dyDescent="0.25">
      <c r="A247" s="27"/>
      <c r="B247" s="13" t="str">
        <f>CONCATENATE("     ","Training                                          ")</f>
        <v xml:space="preserve">     Training                                          </v>
      </c>
      <c r="C247" s="13"/>
      <c r="D247" s="1">
        <f>SUM(OSRRefD22_22x_0)</f>
        <v>0</v>
      </c>
      <c r="E247" s="1"/>
      <c r="F247" s="5">
        <f t="shared" ref="F247:F252" si="122">IF(D$12=0,0,D247/D$12)</f>
        <v>0</v>
      </c>
      <c r="G247" s="1"/>
      <c r="H247" s="1">
        <f>SUM(OSRRefH22_22x_0)</f>
        <v>2700</v>
      </c>
      <c r="I247" s="1"/>
      <c r="J247" s="5">
        <f t="shared" ref="J247:J252" si="123">IF(H$12=0,0,H247/H$12)</f>
        <v>4.7960861892071237E-3</v>
      </c>
      <c r="K247" s="1"/>
      <c r="L247" s="1">
        <f t="shared" ref="L247:L252" si="124">+D247-H247</f>
        <v>-2700</v>
      </c>
      <c r="M247" s="1"/>
      <c r="N247" s="5">
        <f t="shared" ref="N247:N252" si="125">IF(H247=0,0,L247/H247)</f>
        <v>-1</v>
      </c>
      <c r="O247" s="13"/>
      <c r="P247" s="1">
        <f>SUM(OSRRefP22_22x_0)</f>
        <v>7563.8</v>
      </c>
      <c r="Q247" s="1"/>
      <c r="R247" s="5">
        <f t="shared" ref="R247:R252" si="126">IF(P$12=0,0,P247/P$12)</f>
        <v>1.3714500866789713E-3</v>
      </c>
      <c r="S247" s="1"/>
      <c r="T247" s="1">
        <f>SUM(OSRRefT22_22x_0)</f>
        <v>12950</v>
      </c>
      <c r="U247" s="1"/>
      <c r="V247" s="5">
        <f t="shared" ref="V247:V252" si="127">IF(T$12=0,0,T247/T$12)</f>
        <v>2.2179465733728099E-3</v>
      </c>
      <c r="W247" s="1"/>
      <c r="X247" s="1">
        <f t="shared" ref="X247:X252" si="128">+P247-T247</f>
        <v>-5386.2</v>
      </c>
      <c r="Y247" s="1"/>
      <c r="Z247" s="5">
        <f t="shared" ref="Z247:Z252" si="129">IF(T247=0,0,X247/T247)</f>
        <v>-0.41592277992277993</v>
      </c>
    </row>
    <row r="248" spans="1:26" s="24" customFormat="1" hidden="1" outlineLevel="2" x14ac:dyDescent="0.25">
      <c r="A248" s="26"/>
      <c r="B248" s="11" t="str">
        <f>CONCATENATE("          ", "6376", " - ", "TRAINING")</f>
        <v xml:space="preserve">          6376 - TRAINING</v>
      </c>
      <c r="C248" s="11"/>
      <c r="D248" s="6"/>
      <c r="E248" s="2"/>
      <c r="F248" s="7">
        <f t="shared" si="122"/>
        <v>0</v>
      </c>
      <c r="G248" s="2"/>
      <c r="H248" s="6">
        <v>2700</v>
      </c>
      <c r="I248" s="2"/>
      <c r="J248" s="7">
        <f t="shared" si="123"/>
        <v>4.7960861892071237E-3</v>
      </c>
      <c r="K248" s="2"/>
      <c r="L248" s="6">
        <f t="shared" si="124"/>
        <v>-2700</v>
      </c>
      <c r="M248" s="2"/>
      <c r="N248" s="7">
        <f t="shared" si="125"/>
        <v>-1</v>
      </c>
      <c r="O248" s="11"/>
      <c r="P248" s="6">
        <v>7563.8</v>
      </c>
      <c r="Q248" s="2"/>
      <c r="R248" s="7">
        <f t="shared" si="126"/>
        <v>1.3714500866789713E-3</v>
      </c>
      <c r="S248" s="2"/>
      <c r="T248" s="6">
        <v>12950</v>
      </c>
      <c r="U248" s="2"/>
      <c r="V248" s="7">
        <f t="shared" si="127"/>
        <v>2.2179465733728099E-3</v>
      </c>
      <c r="W248" s="2"/>
      <c r="X248" s="6">
        <f t="shared" si="128"/>
        <v>-5386.2</v>
      </c>
      <c r="Y248" s="2"/>
      <c r="Z248" s="7">
        <f t="shared" si="129"/>
        <v>-0.41592277992277993</v>
      </c>
    </row>
    <row r="249" spans="1:26" s="25" customFormat="1" outlineLevel="1" collapsed="1" x14ac:dyDescent="0.25">
      <c r="A249" s="27"/>
      <c r="B249" s="13" t="str">
        <f>CONCATENATE("     ","Travel                                            ")</f>
        <v xml:space="preserve">     Travel                                            </v>
      </c>
      <c r="C249" s="13"/>
      <c r="D249" s="1">
        <f>SUM(OSRRefD22_23x_0)</f>
        <v>-159.65</v>
      </c>
      <c r="E249" s="1"/>
      <c r="F249" s="5">
        <f t="shared" si="122"/>
        <v>-3.5956771514795624E-4</v>
      </c>
      <c r="G249" s="1"/>
      <c r="H249" s="1">
        <f>SUM(OSRRefH22_23x_0)</f>
        <v>100</v>
      </c>
      <c r="I249" s="1"/>
      <c r="J249" s="5">
        <f t="shared" si="123"/>
        <v>1.7763282182248604E-4</v>
      </c>
      <c r="K249" s="1"/>
      <c r="L249" s="1">
        <f t="shared" si="124"/>
        <v>-259.64999999999998</v>
      </c>
      <c r="M249" s="1"/>
      <c r="N249" s="5">
        <f t="shared" si="125"/>
        <v>-2.5964999999999998</v>
      </c>
      <c r="O249" s="13"/>
      <c r="P249" s="1">
        <f>SUM(OSRRefP22_23x_0)</f>
        <v>1442.1</v>
      </c>
      <c r="Q249" s="1"/>
      <c r="R249" s="5">
        <f t="shared" si="126"/>
        <v>2.6147811549746743E-4</v>
      </c>
      <c r="S249" s="1"/>
      <c r="T249" s="1">
        <f>SUM(OSRRefT22_23x_0)</f>
        <v>1060</v>
      </c>
      <c r="U249" s="1"/>
      <c r="V249" s="5">
        <f t="shared" si="127"/>
        <v>1.8154620600580528E-4</v>
      </c>
      <c r="W249" s="1"/>
      <c r="X249" s="1">
        <f t="shared" si="128"/>
        <v>382.09999999999991</v>
      </c>
      <c r="Y249" s="1"/>
      <c r="Z249" s="5">
        <f t="shared" si="129"/>
        <v>0.36047169811320745</v>
      </c>
    </row>
    <row r="250" spans="1:26" s="24" customFormat="1" hidden="1" outlineLevel="2" x14ac:dyDescent="0.25">
      <c r="A250" s="26"/>
      <c r="B250" s="11" t="str">
        <f>CONCATENATE("          ", "6292", " - ", "TRAVEL/CONFERENCE")</f>
        <v xml:space="preserve">          6292 - TRAVEL/CONFERENCE</v>
      </c>
      <c r="C250" s="11"/>
      <c r="D250" s="6">
        <v>-323.01</v>
      </c>
      <c r="E250" s="2"/>
      <c r="F250" s="7">
        <f t="shared" si="122"/>
        <v>-7.2749118490411115E-4</v>
      </c>
      <c r="G250" s="2"/>
      <c r="H250" s="6"/>
      <c r="I250" s="2"/>
      <c r="J250" s="7">
        <f t="shared" si="123"/>
        <v>0</v>
      </c>
      <c r="K250" s="2"/>
      <c r="L250" s="6">
        <f t="shared" si="124"/>
        <v>-323.01</v>
      </c>
      <c r="M250" s="2"/>
      <c r="N250" s="7">
        <f t="shared" si="125"/>
        <v>0</v>
      </c>
      <c r="O250" s="11"/>
      <c r="P250" s="6">
        <v>365.6</v>
      </c>
      <c r="Q250" s="2"/>
      <c r="R250" s="7">
        <f t="shared" si="126"/>
        <v>6.6289715710335007E-5</v>
      </c>
      <c r="S250" s="2"/>
      <c r="T250" s="6"/>
      <c r="U250" s="2"/>
      <c r="V250" s="7">
        <f t="shared" si="127"/>
        <v>0</v>
      </c>
      <c r="W250" s="2"/>
      <c r="X250" s="6">
        <f t="shared" si="128"/>
        <v>365.6</v>
      </c>
      <c r="Y250" s="2"/>
      <c r="Z250" s="7">
        <f t="shared" si="129"/>
        <v>0</v>
      </c>
    </row>
    <row r="251" spans="1:26" s="24" customFormat="1" hidden="1" outlineLevel="2" x14ac:dyDescent="0.25">
      <c r="A251" s="26"/>
      <c r="B251" s="11" t="str">
        <f>CONCATENATE("          ", "6294", " - ", "TRAVEL OPERATIONAL")</f>
        <v xml:space="preserve">          6294 - TRAVEL OPERATIONAL</v>
      </c>
      <c r="C251" s="11"/>
      <c r="D251" s="6">
        <v>125.14</v>
      </c>
      <c r="E251" s="2"/>
      <c r="F251" s="7">
        <f t="shared" si="122"/>
        <v>2.8184343171697612E-4</v>
      </c>
      <c r="G251" s="2"/>
      <c r="H251" s="6">
        <v>100</v>
      </c>
      <c r="I251" s="2"/>
      <c r="J251" s="7">
        <f t="shared" si="123"/>
        <v>1.7763282182248604E-4</v>
      </c>
      <c r="K251" s="2"/>
      <c r="L251" s="6">
        <f t="shared" si="124"/>
        <v>25.14</v>
      </c>
      <c r="M251" s="2"/>
      <c r="N251" s="7">
        <f t="shared" si="125"/>
        <v>0.25140000000000001</v>
      </c>
      <c r="O251" s="11"/>
      <c r="P251" s="6">
        <v>818.94</v>
      </c>
      <c r="Q251" s="2"/>
      <c r="R251" s="7">
        <f t="shared" si="126"/>
        <v>1.4848823792073783E-4</v>
      </c>
      <c r="S251" s="2"/>
      <c r="T251" s="6">
        <v>610</v>
      </c>
      <c r="U251" s="2"/>
      <c r="V251" s="7">
        <f t="shared" si="127"/>
        <v>1.0447470345617096E-4</v>
      </c>
      <c r="W251" s="2"/>
      <c r="X251" s="6">
        <f t="shared" si="128"/>
        <v>208.94000000000005</v>
      </c>
      <c r="Y251" s="2"/>
      <c r="Z251" s="7">
        <f t="shared" si="129"/>
        <v>0.34252459016393449</v>
      </c>
    </row>
    <row r="252" spans="1:26" s="24" customFormat="1" hidden="1" outlineLevel="2" x14ac:dyDescent="0.25">
      <c r="A252" s="26"/>
      <c r="B252" s="11" t="str">
        <f>CONCATENATE("          ", "6298", " - ", "VEHICLE MILEAGE")</f>
        <v xml:space="preserve">          6298 - VEHICLE MILEAGE</v>
      </c>
      <c r="C252" s="11"/>
      <c r="D252" s="6">
        <v>38.22</v>
      </c>
      <c r="E252" s="2"/>
      <c r="F252" s="7">
        <f t="shared" si="122"/>
        <v>8.6080038039178743E-5</v>
      </c>
      <c r="G252" s="2"/>
      <c r="H252" s="6"/>
      <c r="I252" s="2"/>
      <c r="J252" s="7">
        <f t="shared" si="123"/>
        <v>0</v>
      </c>
      <c r="K252" s="2"/>
      <c r="L252" s="6">
        <f t="shared" si="124"/>
        <v>38.22</v>
      </c>
      <c r="M252" s="2"/>
      <c r="N252" s="7">
        <f t="shared" si="125"/>
        <v>0</v>
      </c>
      <c r="O252" s="11"/>
      <c r="P252" s="6">
        <v>257.56</v>
      </c>
      <c r="Q252" s="2"/>
      <c r="R252" s="7">
        <f t="shared" si="126"/>
        <v>4.6700161866394647E-5</v>
      </c>
      <c r="S252" s="2"/>
      <c r="T252" s="6">
        <v>450</v>
      </c>
      <c r="U252" s="2"/>
      <c r="V252" s="7">
        <f t="shared" si="127"/>
        <v>7.7071502549634321E-5</v>
      </c>
      <c r="W252" s="2"/>
      <c r="X252" s="6">
        <f t="shared" si="128"/>
        <v>-192.44</v>
      </c>
      <c r="Y252" s="2"/>
      <c r="Z252" s="7">
        <f t="shared" si="129"/>
        <v>-0.42764444444444444</v>
      </c>
    </row>
    <row r="253" spans="1:26" s="25" customFormat="1" outlineLevel="1" collapsed="1" x14ac:dyDescent="0.25">
      <c r="A253" s="27"/>
      <c r="B253" s="13" t="str">
        <f>CONCATENATE("     ","Utilities                                         ")</f>
        <v xml:space="preserve">     Utilities                                         </v>
      </c>
      <c r="C253" s="13"/>
      <c r="D253" s="1">
        <f>SUM(OSRRefD22_24x_0)</f>
        <v>9435.76</v>
      </c>
      <c r="E253" s="1"/>
      <c r="F253" s="5">
        <f t="shared" ref="F253:F254" si="130">IF(D$12=0,0,D253/D$12)</f>
        <v>2.1251454205352203E-2</v>
      </c>
      <c r="G253" s="1"/>
      <c r="H253" s="1">
        <f>SUM(OSRRefH22_24x_0)</f>
        <v>5075</v>
      </c>
      <c r="I253" s="1"/>
      <c r="J253" s="5">
        <f t="shared" ref="J253:J254" si="131">IF(H$12=0,0,H253/H$12)</f>
        <v>9.0148657074911667E-3</v>
      </c>
      <c r="K253" s="1"/>
      <c r="L253" s="1">
        <f t="shared" ref="L253:L254" si="132">+D253-H253</f>
        <v>4360.76</v>
      </c>
      <c r="M253" s="1"/>
      <c r="N253" s="5">
        <f t="shared" ref="N253:N254" si="133">IF(H253=0,0,L253/H253)</f>
        <v>0.85926305418719218</v>
      </c>
      <c r="O253" s="13"/>
      <c r="P253" s="1">
        <f>SUM(OSRRefP22_24x_0)</f>
        <v>32034.68</v>
      </c>
      <c r="Q253" s="1"/>
      <c r="R253" s="5">
        <f t="shared" ref="R253:R254" si="134">IF(P$12=0,0,P253/P$12)</f>
        <v>5.8084513951628947E-3</v>
      </c>
      <c r="S253" s="1"/>
      <c r="T253" s="1">
        <f>SUM(OSRRefT22_24x_0)</f>
        <v>30525</v>
      </c>
      <c r="U253" s="1"/>
      <c r="V253" s="5">
        <f t="shared" ref="V253:V254" si="135">IF(T$12=0,0,T253/T$12)</f>
        <v>5.2280169229501948E-3</v>
      </c>
      <c r="W253" s="1"/>
      <c r="X253" s="1">
        <f t="shared" ref="X253:X254" si="136">+P253-T253</f>
        <v>1509.6800000000003</v>
      </c>
      <c r="Y253" s="1"/>
      <c r="Z253" s="5">
        <f t="shared" ref="Z253:Z254" si="137">IF(T253=0,0,X253/T253)</f>
        <v>4.9457166257166264E-2</v>
      </c>
    </row>
    <row r="254" spans="1:26" s="24" customFormat="1" hidden="1" outlineLevel="2" x14ac:dyDescent="0.25">
      <c r="A254" s="26"/>
      <c r="B254" s="11" t="str">
        <f>CONCATENATE("          ", "6274", " - ", "UTILITIES")</f>
        <v xml:space="preserve">          6274 - UTILITIES</v>
      </c>
      <c r="C254" s="11"/>
      <c r="D254" s="6">
        <v>9435.76</v>
      </c>
      <c r="E254" s="2"/>
      <c r="F254" s="7">
        <f t="shared" si="130"/>
        <v>2.1251454205352203E-2</v>
      </c>
      <c r="G254" s="2"/>
      <c r="H254" s="6">
        <v>5075</v>
      </c>
      <c r="I254" s="2"/>
      <c r="J254" s="7">
        <f t="shared" si="131"/>
        <v>9.0148657074911667E-3</v>
      </c>
      <c r="K254" s="2"/>
      <c r="L254" s="6">
        <f t="shared" si="132"/>
        <v>4360.76</v>
      </c>
      <c r="M254" s="2"/>
      <c r="N254" s="7">
        <f t="shared" si="133"/>
        <v>0.85926305418719218</v>
      </c>
      <c r="O254" s="11"/>
      <c r="P254" s="6">
        <v>32034.68</v>
      </c>
      <c r="Q254" s="2"/>
      <c r="R254" s="7">
        <f t="shared" si="134"/>
        <v>5.8084513951628947E-3</v>
      </c>
      <c r="S254" s="2"/>
      <c r="T254" s="6">
        <v>30525</v>
      </c>
      <c r="U254" s="2"/>
      <c r="V254" s="7">
        <f t="shared" si="135"/>
        <v>5.2280169229501948E-3</v>
      </c>
      <c r="W254" s="2"/>
      <c r="X254" s="6">
        <f t="shared" si="136"/>
        <v>1509.6800000000003</v>
      </c>
      <c r="Y254" s="2"/>
      <c r="Z254" s="7">
        <f t="shared" si="137"/>
        <v>4.9457166257166264E-2</v>
      </c>
    </row>
    <row r="255" spans="1:26" s="53" customFormat="1" x14ac:dyDescent="0.25">
      <c r="A255" s="36"/>
      <c r="B255" s="36"/>
      <c r="C255" s="36"/>
      <c r="D255" s="1"/>
      <c r="E255" s="1"/>
      <c r="F255" s="5"/>
      <c r="G255" s="1"/>
      <c r="H255" s="1"/>
      <c r="I255" s="1"/>
      <c r="J255" s="5"/>
      <c r="K255" s="1"/>
      <c r="L255" s="1"/>
      <c r="M255" s="1"/>
      <c r="N255" s="5"/>
      <c r="O255" s="36"/>
      <c r="P255" s="1"/>
      <c r="Q255" s="1"/>
      <c r="R255" s="5"/>
      <c r="S255" s="1"/>
      <c r="T255" s="1"/>
      <c r="U255" s="1"/>
      <c r="V255" s="5"/>
      <c r="W255" s="1"/>
      <c r="X255" s="1"/>
      <c r="Y255" s="1"/>
      <c r="Z255" s="5"/>
    </row>
    <row r="256" spans="1:26" s="23" customFormat="1" collapsed="1" x14ac:dyDescent="0.25">
      <c r="A256" s="10"/>
      <c r="B256" s="28" t="s">
        <v>0</v>
      </c>
      <c r="C256" s="10"/>
      <c r="D256" s="4">
        <f>SUM(OSRRefD25x_0)</f>
        <v>23065.69</v>
      </c>
      <c r="E256" s="4"/>
      <c r="F256" s="12">
        <f t="shared" ref="F256:F265" si="138">IF(D$12=0,0,D256/D$12)</f>
        <v>5.1949122778647432E-2</v>
      </c>
      <c r="G256" s="4"/>
      <c r="H256" s="4">
        <f>SUM(OSRRefH25x_0)</f>
        <v>66425</v>
      </c>
      <c r="I256" s="4"/>
      <c r="J256" s="12">
        <f t="shared" ref="J256:J265" si="139">IF(H$12=0,0,H256/H$12)</f>
        <v>0.11799260189558636</v>
      </c>
      <c r="K256" s="4"/>
      <c r="L256" s="4">
        <f t="shared" ref="L256:L265" si="140">+D256-H256</f>
        <v>-43359.31</v>
      </c>
      <c r="M256" s="4"/>
      <c r="N256" s="12">
        <f t="shared" ref="N256:N265" si="141">IF(H256=0,0,L256/H256)</f>
        <v>-0.65275589010161839</v>
      </c>
      <c r="O256" s="10"/>
      <c r="P256" s="4">
        <f>SUM(OSRRefP25x_0)</f>
        <v>423466.33</v>
      </c>
      <c r="Q256" s="4"/>
      <c r="R256" s="12">
        <f t="shared" ref="R256:R265" si="142">IF(P$12=0,0,P256/P$12)</f>
        <v>7.678189996881539E-2</v>
      </c>
      <c r="S256" s="4"/>
      <c r="T256" s="4">
        <f>SUM(OSRRefT25x_0)</f>
        <v>443900</v>
      </c>
      <c r="U256" s="4"/>
      <c r="V256" s="12">
        <f t="shared" ref="V256:V265" si="143">IF(T$12=0,0,T256/T$12)</f>
        <v>7.6026755515072611E-2</v>
      </c>
      <c r="W256" s="4"/>
      <c r="X256" s="4">
        <f t="shared" ref="X256:X265" si="144">+P256-T256</f>
        <v>-20433.669999999984</v>
      </c>
      <c r="Y256" s="4"/>
      <c r="Z256" s="12">
        <f t="shared" ref="Z256:Z265" si="145">IF(T256=0,0,X256/T256)</f>
        <v>-4.6032146879927877E-2</v>
      </c>
    </row>
    <row r="257" spans="1:26" s="24" customFormat="1" hidden="1" outlineLevel="1" x14ac:dyDescent="0.25">
      <c r="A257" s="44"/>
      <c r="B257" s="11" t="str">
        <f>CONCATENATE("          ", "4098", " - ", "TAXABLE SALES-GRAD RENTALS")</f>
        <v xml:space="preserve">          4098 - TAXABLE SALES-GRAD RENTALS</v>
      </c>
      <c r="C257" s="11"/>
      <c r="D257" s="2">
        <f t="shared" ref="D257:D259" si="146">0</f>
        <v>0</v>
      </c>
      <c r="E257" s="2"/>
      <c r="F257" s="19">
        <f t="shared" si="138"/>
        <v>0</v>
      </c>
      <c r="G257" s="2"/>
      <c r="H257" s="2"/>
      <c r="I257" s="2"/>
      <c r="J257" s="19">
        <f t="shared" si="139"/>
        <v>0</v>
      </c>
      <c r="K257" s="2"/>
      <c r="L257" s="2">
        <f t="shared" si="140"/>
        <v>0</v>
      </c>
      <c r="M257" s="2"/>
      <c r="N257" s="19">
        <f t="shared" si="141"/>
        <v>0</v>
      </c>
      <c r="O257" s="11"/>
      <c r="P257" s="2">
        <f>--1626.85</f>
        <v>1626.85</v>
      </c>
      <c r="Q257" s="2"/>
      <c r="R257" s="19">
        <f t="shared" si="142"/>
        <v>2.9497654267877048E-4</v>
      </c>
      <c r="S257" s="2"/>
      <c r="T257" s="2"/>
      <c r="U257" s="2"/>
      <c r="V257" s="19">
        <f t="shared" si="143"/>
        <v>0</v>
      </c>
      <c r="W257" s="2"/>
      <c r="X257" s="2">
        <f t="shared" si="144"/>
        <v>1626.85</v>
      </c>
      <c r="Y257" s="2"/>
      <c r="Z257" s="19">
        <f t="shared" si="145"/>
        <v>0</v>
      </c>
    </row>
    <row r="258" spans="1:26" s="24" customFormat="1" hidden="1" outlineLevel="1" x14ac:dyDescent="0.25">
      <c r="A258" s="44"/>
      <c r="B258" s="11" t="str">
        <f>CONCATENATE("          ", "4197", " - ", "NON-TAXABLE SALES-RETURNED CHE")</f>
        <v xml:space="preserve">          4197 - NON-TAXABLE SALES-RETURNED CHE</v>
      </c>
      <c r="C258" s="11"/>
      <c r="D258" s="2">
        <f t="shared" si="146"/>
        <v>0</v>
      </c>
      <c r="E258" s="2"/>
      <c r="F258" s="19">
        <f t="shared" si="138"/>
        <v>0</v>
      </c>
      <c r="G258" s="2"/>
      <c r="H258" s="2"/>
      <c r="I258" s="2"/>
      <c r="J258" s="19">
        <f t="shared" si="139"/>
        <v>0</v>
      </c>
      <c r="K258" s="2"/>
      <c r="L258" s="2">
        <f t="shared" si="140"/>
        <v>0</v>
      </c>
      <c r="M258" s="2"/>
      <c r="N258" s="19">
        <f t="shared" si="141"/>
        <v>0</v>
      </c>
      <c r="O258" s="11"/>
      <c r="P258" s="2">
        <f>--30</f>
        <v>30</v>
      </c>
      <c r="Q258" s="2"/>
      <c r="R258" s="19">
        <f t="shared" si="142"/>
        <v>5.4395280943929155E-6</v>
      </c>
      <c r="S258" s="2"/>
      <c r="T258" s="2"/>
      <c r="U258" s="2"/>
      <c r="V258" s="19">
        <f t="shared" si="143"/>
        <v>0</v>
      </c>
      <c r="W258" s="2"/>
      <c r="X258" s="2">
        <f t="shared" si="144"/>
        <v>30</v>
      </c>
      <c r="Y258" s="2"/>
      <c r="Z258" s="19">
        <f t="shared" si="145"/>
        <v>0</v>
      </c>
    </row>
    <row r="259" spans="1:26" s="24" customFormat="1" hidden="1" outlineLevel="1" x14ac:dyDescent="0.25">
      <c r="A259" s="44"/>
      <c r="B259" s="11" t="str">
        <f>CONCATENATE("          ", "4198", " - ", "NON-TAXABLE SALES-GRAD RENTALS")</f>
        <v xml:space="preserve">          4198 - NON-TAXABLE SALES-GRAD RENTALS</v>
      </c>
      <c r="C259" s="11"/>
      <c r="D259" s="2">
        <f t="shared" si="146"/>
        <v>0</v>
      </c>
      <c r="E259" s="2"/>
      <c r="F259" s="19">
        <f t="shared" si="138"/>
        <v>0</v>
      </c>
      <c r="G259" s="2"/>
      <c r="H259" s="2"/>
      <c r="I259" s="2"/>
      <c r="J259" s="19">
        <f t="shared" si="139"/>
        <v>0</v>
      </c>
      <c r="K259" s="2"/>
      <c r="L259" s="2">
        <f t="shared" si="140"/>
        <v>0</v>
      </c>
      <c r="M259" s="2"/>
      <c r="N259" s="19">
        <f t="shared" si="141"/>
        <v>0</v>
      </c>
      <c r="O259" s="11"/>
      <c r="P259" s="2">
        <f>--495</f>
        <v>495</v>
      </c>
      <c r="Q259" s="2"/>
      <c r="R259" s="19">
        <f t="shared" si="142"/>
        <v>8.9752213557483103E-5</v>
      </c>
      <c r="S259" s="2"/>
      <c r="T259" s="2"/>
      <c r="U259" s="2"/>
      <c r="V259" s="19">
        <f t="shared" si="143"/>
        <v>0</v>
      </c>
      <c r="W259" s="2"/>
      <c r="X259" s="2">
        <f t="shared" si="144"/>
        <v>495</v>
      </c>
      <c r="Y259" s="2"/>
      <c r="Z259" s="19">
        <f t="shared" si="145"/>
        <v>0</v>
      </c>
    </row>
    <row r="260" spans="1:26" s="24" customFormat="1" hidden="1" outlineLevel="1" x14ac:dyDescent="0.25">
      <c r="A260" s="44"/>
      <c r="B260" s="11" t="str">
        <f>CONCATENATE("          ", "9150", " - ", "MISC. INCOME")</f>
        <v xml:space="preserve">          9150 - MISC. INCOME</v>
      </c>
      <c r="C260" s="11"/>
      <c r="D260" s="2">
        <f>--19415.01</f>
        <v>19415.009999999998</v>
      </c>
      <c r="E260" s="2"/>
      <c r="F260" s="19">
        <f t="shared" si="138"/>
        <v>4.3726970155181469E-2</v>
      </c>
      <c r="G260" s="2"/>
      <c r="H260" s="2">
        <v>29225</v>
      </c>
      <c r="I260" s="2"/>
      <c r="J260" s="19">
        <f t="shared" si="139"/>
        <v>5.1913192177621546E-2</v>
      </c>
      <c r="K260" s="2"/>
      <c r="L260" s="2">
        <f t="shared" si="140"/>
        <v>-9809.9900000000016</v>
      </c>
      <c r="M260" s="2"/>
      <c r="N260" s="19">
        <f t="shared" si="141"/>
        <v>-0.33567117194183066</v>
      </c>
      <c r="O260" s="11"/>
      <c r="P260" s="2">
        <f>--245559.66</f>
        <v>245559.66</v>
      </c>
      <c r="Q260" s="2"/>
      <c r="R260" s="19">
        <f t="shared" si="142"/>
        <v>4.4524288980652409E-2</v>
      </c>
      <c r="S260" s="2"/>
      <c r="T260" s="2">
        <v>187600</v>
      </c>
      <c r="U260" s="2"/>
      <c r="V260" s="19">
        <f t="shared" si="143"/>
        <v>3.213025306291422E-2</v>
      </c>
      <c r="W260" s="2"/>
      <c r="X260" s="2">
        <f t="shared" si="144"/>
        <v>57959.66</v>
      </c>
      <c r="Y260" s="2"/>
      <c r="Z260" s="19">
        <f t="shared" si="145"/>
        <v>0.3089534115138593</v>
      </c>
    </row>
    <row r="261" spans="1:26" s="24" customFormat="1" hidden="1" outlineLevel="1" x14ac:dyDescent="0.25">
      <c r="A261" s="44"/>
      <c r="B261" s="11" t="str">
        <f>CONCATENATE("          ", "9151", " - ", "MISC. INCOME")</f>
        <v xml:space="preserve">          9151 - MISC. INCOME</v>
      </c>
      <c r="C261" s="11"/>
      <c r="D261" s="2">
        <f>--268.24</f>
        <v>268.24</v>
      </c>
      <c r="E261" s="2"/>
      <c r="F261" s="19">
        <f t="shared" si="138"/>
        <v>6.0413682374749623E-4</v>
      </c>
      <c r="G261" s="2"/>
      <c r="H261" s="2">
        <v>12850</v>
      </c>
      <c r="I261" s="2"/>
      <c r="J261" s="19">
        <f t="shared" si="139"/>
        <v>2.2825817604189457E-2</v>
      </c>
      <c r="K261" s="2"/>
      <c r="L261" s="2">
        <f t="shared" si="140"/>
        <v>-12581.76</v>
      </c>
      <c r="M261" s="2"/>
      <c r="N261" s="19">
        <f t="shared" si="141"/>
        <v>-0.97912529182879382</v>
      </c>
      <c r="O261" s="11"/>
      <c r="P261" s="2">
        <f>--87492.51</f>
        <v>87492.51</v>
      </c>
      <c r="Q261" s="2"/>
      <c r="R261" s="19">
        <f t="shared" si="142"/>
        <v>1.5863932206465103E-2</v>
      </c>
      <c r="S261" s="2"/>
      <c r="T261" s="2">
        <v>64850</v>
      </c>
      <c r="U261" s="2"/>
      <c r="V261" s="19">
        <f t="shared" si="143"/>
        <v>1.1106859867430634E-2</v>
      </c>
      <c r="W261" s="2"/>
      <c r="X261" s="2">
        <f t="shared" si="144"/>
        <v>22642.509999999995</v>
      </c>
      <c r="Y261" s="2"/>
      <c r="Z261" s="19">
        <f t="shared" si="145"/>
        <v>0.34915204317656123</v>
      </c>
    </row>
    <row r="262" spans="1:26" s="24" customFormat="1" hidden="1" outlineLevel="1" x14ac:dyDescent="0.25">
      <c r="A262" s="44"/>
      <c r="B262" s="11" t="str">
        <f>CONCATENATE("          ", "9152", " - ", "MISC. INCOME")</f>
        <v xml:space="preserve">          9152 - MISC. INCOME</v>
      </c>
      <c r="C262" s="11"/>
      <c r="D262" s="2">
        <f>--3382.44</f>
        <v>3382.44</v>
      </c>
      <c r="E262" s="2"/>
      <c r="F262" s="19">
        <f t="shared" si="138"/>
        <v>7.6180157997184656E-3</v>
      </c>
      <c r="G262" s="2"/>
      <c r="H262" s="2"/>
      <c r="I262" s="2"/>
      <c r="J262" s="19">
        <f t="shared" si="139"/>
        <v>0</v>
      </c>
      <c r="K262" s="2"/>
      <c r="L262" s="2">
        <f t="shared" si="140"/>
        <v>3382.44</v>
      </c>
      <c r="M262" s="2"/>
      <c r="N262" s="19">
        <f t="shared" si="141"/>
        <v>0</v>
      </c>
      <c r="O262" s="11"/>
      <c r="P262" s="2">
        <f>--4230.76</f>
        <v>4230.76</v>
      </c>
      <c r="Q262" s="2"/>
      <c r="R262" s="19">
        <f t="shared" si="142"/>
        <v>7.6711126268779242E-4</v>
      </c>
      <c r="S262" s="2"/>
      <c r="T262" s="2"/>
      <c r="U262" s="2"/>
      <c r="V262" s="19">
        <f t="shared" si="143"/>
        <v>0</v>
      </c>
      <c r="W262" s="2"/>
      <c r="X262" s="2">
        <f t="shared" si="144"/>
        <v>4230.76</v>
      </c>
      <c r="Y262" s="2"/>
      <c r="Z262" s="19">
        <f t="shared" si="145"/>
        <v>0</v>
      </c>
    </row>
    <row r="263" spans="1:26" s="24" customFormat="1" hidden="1" outlineLevel="1" x14ac:dyDescent="0.25">
      <c r="A263" s="44"/>
      <c r="B263" s="11" t="str">
        <f>CONCATENATE("          ", "9153", " - ", "MISC. INCOME")</f>
        <v xml:space="preserve">          9153 - MISC. INCOME</v>
      </c>
      <c r="C263" s="11"/>
      <c r="D263" s="2">
        <f t="shared" ref="D263:D265" si="147">0</f>
        <v>0</v>
      </c>
      <c r="E263" s="2"/>
      <c r="F263" s="19">
        <f t="shared" si="138"/>
        <v>0</v>
      </c>
      <c r="G263" s="2"/>
      <c r="H263" s="2"/>
      <c r="I263" s="2"/>
      <c r="J263" s="19">
        <f t="shared" si="139"/>
        <v>0</v>
      </c>
      <c r="K263" s="2"/>
      <c r="L263" s="2">
        <f t="shared" si="140"/>
        <v>0</v>
      </c>
      <c r="M263" s="2"/>
      <c r="N263" s="19">
        <f t="shared" si="141"/>
        <v>0</v>
      </c>
      <c r="O263" s="11"/>
      <c r="P263" s="2">
        <f>--450</f>
        <v>450</v>
      </c>
      <c r="Q263" s="2"/>
      <c r="R263" s="19">
        <f t="shared" si="142"/>
        <v>8.159292141589374E-5</v>
      </c>
      <c r="S263" s="2"/>
      <c r="T263" s="2"/>
      <c r="U263" s="2"/>
      <c r="V263" s="19">
        <f t="shared" si="143"/>
        <v>0</v>
      </c>
      <c r="W263" s="2"/>
      <c r="X263" s="2">
        <f t="shared" si="144"/>
        <v>450</v>
      </c>
      <c r="Y263" s="2"/>
      <c r="Z263" s="19">
        <f t="shared" si="145"/>
        <v>0</v>
      </c>
    </row>
    <row r="264" spans="1:26" s="24" customFormat="1" hidden="1" outlineLevel="1" x14ac:dyDescent="0.25">
      <c r="A264" s="44"/>
      <c r="B264" s="11" t="str">
        <f>CONCATENATE("          ", "9160", " - ", "MISC. INCOME")</f>
        <v xml:space="preserve">          9160 - MISC. INCOME</v>
      </c>
      <c r="C264" s="11"/>
      <c r="D264" s="2">
        <f t="shared" si="147"/>
        <v>0</v>
      </c>
      <c r="E264" s="2"/>
      <c r="F264" s="19">
        <f t="shared" si="138"/>
        <v>0</v>
      </c>
      <c r="G264" s="2"/>
      <c r="H264" s="2">
        <v>24350</v>
      </c>
      <c r="I264" s="2"/>
      <c r="J264" s="19">
        <f t="shared" si="139"/>
        <v>4.3253592113775351E-2</v>
      </c>
      <c r="K264" s="2"/>
      <c r="L264" s="2">
        <f t="shared" si="140"/>
        <v>-24350</v>
      </c>
      <c r="M264" s="2"/>
      <c r="N264" s="19">
        <f t="shared" si="141"/>
        <v>-1</v>
      </c>
      <c r="O264" s="11"/>
      <c r="P264" s="2">
        <f>--22475</f>
        <v>22475</v>
      </c>
      <c r="Q264" s="2"/>
      <c r="R264" s="19">
        <f t="shared" si="142"/>
        <v>4.0751131307160257E-3</v>
      </c>
      <c r="S264" s="2"/>
      <c r="T264" s="2">
        <v>191450</v>
      </c>
      <c r="U264" s="2"/>
      <c r="V264" s="19">
        <f t="shared" si="143"/>
        <v>3.2789642584727753E-2</v>
      </c>
      <c r="W264" s="2"/>
      <c r="X264" s="2">
        <f t="shared" si="144"/>
        <v>-168975</v>
      </c>
      <c r="Y264" s="2"/>
      <c r="Z264" s="19">
        <f t="shared" si="145"/>
        <v>-0.88260642465395667</v>
      </c>
    </row>
    <row r="265" spans="1:26" s="24" customFormat="1" hidden="1" outlineLevel="1" x14ac:dyDescent="0.25">
      <c r="A265" s="44"/>
      <c r="B265" s="11" t="str">
        <f>CONCATENATE("          ", "9163", " - ", "MISC. INCOME")</f>
        <v xml:space="preserve">          9163 - MISC. INCOME</v>
      </c>
      <c r="C265" s="11"/>
      <c r="D265" s="2">
        <f t="shared" si="147"/>
        <v>0</v>
      </c>
      <c r="E265" s="2"/>
      <c r="F265" s="19">
        <f t="shared" si="138"/>
        <v>0</v>
      </c>
      <c r="G265" s="2"/>
      <c r="H265" s="2"/>
      <c r="I265" s="2"/>
      <c r="J265" s="19">
        <f t="shared" si="139"/>
        <v>0</v>
      </c>
      <c r="K265" s="2"/>
      <c r="L265" s="2">
        <f t="shared" si="140"/>
        <v>0</v>
      </c>
      <c r="M265" s="2"/>
      <c r="N265" s="19">
        <f t="shared" si="141"/>
        <v>0</v>
      </c>
      <c r="O265" s="11"/>
      <c r="P265" s="2">
        <f>--61106.55</f>
        <v>61106.55</v>
      </c>
      <c r="Q265" s="2"/>
      <c r="R265" s="19">
        <f t="shared" si="142"/>
        <v>1.1079693182547515E-2</v>
      </c>
      <c r="S265" s="2"/>
      <c r="T265" s="2"/>
      <c r="U265" s="2"/>
      <c r="V265" s="19">
        <f t="shared" si="143"/>
        <v>0</v>
      </c>
      <c r="W265" s="2"/>
      <c r="X265" s="2">
        <f t="shared" si="144"/>
        <v>61106.55</v>
      </c>
      <c r="Y265" s="2"/>
      <c r="Z265" s="19">
        <f t="shared" si="145"/>
        <v>0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25">
      <c r="A267" s="10"/>
      <c r="B267" s="29" t="s">
        <v>3</v>
      </c>
      <c r="C267" s="29"/>
      <c r="D267" s="22">
        <f>+D158-D160+D256</f>
        <v>-71174.640000000247</v>
      </c>
      <c r="E267" s="14"/>
      <c r="F267" s="20">
        <f>IF(D$12=0,0,D267/D$12)</f>
        <v>-0.16030130085360739</v>
      </c>
      <c r="G267" s="14"/>
      <c r="H267" s="22">
        <f>+H158-H160+H256</f>
        <v>-44113.870882312127</v>
      </c>
      <c r="I267" s="14"/>
      <c r="J267" s="20">
        <f>IF(H$12=0,0,H267/H$12)</f>
        <v>-7.8360713663379059E-2</v>
      </c>
      <c r="K267" s="16"/>
      <c r="L267" s="22">
        <f>+D267-H267</f>
        <v>-27060.76911768812</v>
      </c>
      <c r="M267" s="16"/>
      <c r="N267" s="20">
        <f>IF(H267=0,0,L267/H267)</f>
        <v>0.61342993884806407</v>
      </c>
      <c r="O267" s="28"/>
      <c r="P267" s="22">
        <f>+P158-P160+P256</f>
        <v>478137.29999999789</v>
      </c>
      <c r="Q267" s="14"/>
      <c r="R267" s="20">
        <f>IF(P$12=0,0,P267/P$12)</f>
        <v>8.6694709210905413E-2</v>
      </c>
      <c r="S267" s="14"/>
      <c r="T267" s="22">
        <f>+T158-T160+T256</f>
        <v>496880.85258895205</v>
      </c>
      <c r="U267" s="14"/>
      <c r="V267" s="20">
        <f>IF(T$12=0,0,T267/T$12)</f>
        <v>8.5100786438164197E-2</v>
      </c>
      <c r="W267" s="16"/>
      <c r="X267" s="22">
        <f>+P267-T267</f>
        <v>-18743.55258895416</v>
      </c>
      <c r="Y267" s="16"/>
      <c r="Z267" s="20">
        <f>IF(T267=0,0,X267/T267)</f>
        <v>-3.7722428810232071E-2</v>
      </c>
    </row>
    <row r="268" spans="1:26" x14ac:dyDescent="0.25">
      <c r="A268" s="9"/>
      <c r="B268" s="10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52"/>
      <c r="B269" s="10" t="s">
        <v>14</v>
      </c>
      <c r="C269" s="10"/>
      <c r="D269" s="4">
        <v>58678.85</v>
      </c>
      <c r="E269" s="4"/>
      <c r="F269" s="12">
        <f>IF(D$12=0,0,D269/D$12)</f>
        <v>0.13215797069846322</v>
      </c>
      <c r="G269" s="4"/>
      <c r="H269" s="4">
        <v>83505</v>
      </c>
      <c r="I269" s="4"/>
      <c r="J269" s="12">
        <f>IF(H$12=0,0,H269/H$12)</f>
        <v>0.14833228786286698</v>
      </c>
      <c r="K269" s="4"/>
      <c r="L269" s="4">
        <f>+D269-H269</f>
        <v>-24826.15</v>
      </c>
      <c r="M269" s="4"/>
      <c r="N269" s="12">
        <f>IF(H269=0,0,L269/H269)</f>
        <v>-0.29730135920004791</v>
      </c>
      <c r="O269" s="10"/>
      <c r="P269" s="4">
        <v>595682.38</v>
      </c>
      <c r="Q269" s="4"/>
      <c r="R269" s="12">
        <f>IF(P$12=0,0,P269/P$12)</f>
        <v>0.10800770137816122</v>
      </c>
      <c r="S269" s="4"/>
      <c r="T269" s="4">
        <v>752113</v>
      </c>
      <c r="U269" s="4"/>
      <c r="V269" s="12">
        <f>IF(T$12=0,0,T269/T$12)</f>
        <v>0.12881439777136247</v>
      </c>
      <c r="W269" s="4"/>
      <c r="X269" s="4">
        <f>+P269-T269</f>
        <v>-156430.62</v>
      </c>
      <c r="Y269" s="4"/>
      <c r="Z269" s="12">
        <f>IF(T269=0,0,X269/T269)</f>
        <v>-0.20798818794516249</v>
      </c>
    </row>
    <row r="270" spans="1:26" x14ac:dyDescent="0.25">
      <c r="A270" s="9"/>
      <c r="B270" s="10"/>
      <c r="C270" s="10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O270" s="10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.75" thickBot="1" x14ac:dyDescent="0.3">
      <c r="A271" s="10"/>
      <c r="B271" s="29" t="s">
        <v>4</v>
      </c>
      <c r="C271" s="29"/>
      <c r="D271" s="31">
        <f>+D267-D269</f>
        <v>-129853.49000000025</v>
      </c>
      <c r="E271" s="14"/>
      <c r="F271" s="32">
        <f>IF(D$12=0,0,D271/D$12)</f>
        <v>-0.29245927155207063</v>
      </c>
      <c r="G271" s="14"/>
      <c r="H271" s="31">
        <f>+H267-H269</f>
        <v>-127618.87088231213</v>
      </c>
      <c r="I271" s="14"/>
      <c r="J271" s="32">
        <f>IF(H$12=0,0,H271/H$12)</f>
        <v>-0.22669300152624602</v>
      </c>
      <c r="K271" s="16"/>
      <c r="L271" s="31">
        <f>D271-H271</f>
        <v>-2234.6191176881257</v>
      </c>
      <c r="M271" s="16"/>
      <c r="N271" s="32">
        <f>IF(H271=0,0,L271/H271)</f>
        <v>1.7510099425255471E-2</v>
      </c>
      <c r="O271" s="28"/>
      <c r="P271" s="31">
        <f>+P267-P269</f>
        <v>-117545.08000000211</v>
      </c>
      <c r="Q271" s="14"/>
      <c r="R271" s="32">
        <f>IF(P$12=0,0,P271/P$12)</f>
        <v>-2.1312992167255809E-2</v>
      </c>
      <c r="S271" s="14"/>
      <c r="T271" s="31">
        <f>+T267-T269</f>
        <v>-255232.14741104795</v>
      </c>
      <c r="U271" s="14"/>
      <c r="V271" s="32">
        <f>IF(T$12=0,0,T271/T$12)</f>
        <v>-4.3713611333198274E-2</v>
      </c>
      <c r="W271" s="16"/>
      <c r="X271" s="31">
        <f>P271-T271</f>
        <v>137687.06741104583</v>
      </c>
      <c r="Y271" s="16"/>
      <c r="Z271" s="32">
        <f>IF(T271=0,0,X271/T271)</f>
        <v>-0.53945817095407911</v>
      </c>
    </row>
    <row r="272" spans="1:26" ht="15.75" thickTop="1" x14ac:dyDescent="0.25">
      <c r="A272" s="9"/>
      <c r="B272" s="9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9" t="s">
        <v>5</v>
      </c>
      <c r="C274" s="29"/>
      <c r="D274" s="35">
        <f>SUM(D271:D273)</f>
        <v>-129853.49000000025</v>
      </c>
      <c r="E274" s="14"/>
      <c r="F274" s="34">
        <f>IF(D$12=0,0,D274/D$12)</f>
        <v>-0.29245927155207063</v>
      </c>
      <c r="G274" s="14"/>
      <c r="H274" s="35">
        <f>SUM(H271:H273)</f>
        <v>-127618.87088231213</v>
      </c>
      <c r="I274" s="14"/>
      <c r="J274" s="34">
        <f>IF(H$12=0,0,H274/H$12)</f>
        <v>-0.22669300152624602</v>
      </c>
      <c r="K274" s="16"/>
      <c r="L274" s="35">
        <f>+D274-H274</f>
        <v>-2234.6191176881257</v>
      </c>
      <c r="M274" s="16"/>
      <c r="N274" s="34">
        <f>IF(H274=0,0,L274/H274)</f>
        <v>1.7510099425255471E-2</v>
      </c>
      <c r="O274" s="28"/>
      <c r="P274" s="35">
        <f>SUM(P271:P273)</f>
        <v>-117545.08000000211</v>
      </c>
      <c r="Q274" s="14"/>
      <c r="R274" s="34">
        <f>IF(P$12=0,0,P274/P$12)</f>
        <v>-2.1312992167255809E-2</v>
      </c>
      <c r="S274" s="14"/>
      <c r="T274" s="35">
        <f>SUM(T271:T273)</f>
        <v>-255232.14741104795</v>
      </c>
      <c r="U274" s="14"/>
      <c r="V274" s="34">
        <f>IF(T$12=0,0,T274/T$12)</f>
        <v>-4.3713611333198274E-2</v>
      </c>
      <c r="W274" s="16"/>
      <c r="X274" s="35">
        <f>+P274-T274</f>
        <v>137687.06741104583</v>
      </c>
      <c r="Y274" s="16"/>
      <c r="Z274" s="34">
        <f>IF(T274=0,0,X274/T274)</f>
        <v>-0.53945817095407911</v>
      </c>
    </row>
    <row r="275" spans="1:26" ht="15.75" thickTop="1" x14ac:dyDescent="0.25">
      <c r="A275" s="9"/>
      <c r="C275" s="9"/>
      <c r="D275" s="17"/>
      <c r="E275" s="17"/>
      <c r="G275" s="17"/>
      <c r="H275" s="17"/>
      <c r="I275" s="17"/>
      <c r="J275" s="42"/>
      <c r="K275" s="17"/>
      <c r="L275" s="17"/>
      <c r="M275" s="17"/>
      <c r="P275" s="17"/>
      <c r="Q275" s="17"/>
      <c r="R275" s="42"/>
      <c r="S275" s="17"/>
      <c r="T275" s="17"/>
      <c r="U275" s="17"/>
      <c r="V275" s="42"/>
      <c r="W275" s="17"/>
      <c r="X275" s="17"/>
    </row>
    <row r="276" spans="1:26" x14ac:dyDescent="0.25">
      <c r="A276" s="9"/>
      <c r="B276" s="63">
        <v>43847.445380752317</v>
      </c>
      <c r="D276" s="17"/>
      <c r="E276" s="17"/>
      <c r="G276" s="17"/>
      <c r="H276" s="17"/>
      <c r="I276" s="17"/>
      <c r="J276" s="42"/>
      <c r="K276" s="17"/>
      <c r="L276" s="17"/>
      <c r="M276" s="17"/>
      <c r="P276" s="17"/>
      <c r="Q276" s="17"/>
      <c r="R276" s="42"/>
      <c r="S276" s="17"/>
      <c r="T276" s="17"/>
      <c r="U276" s="17"/>
      <c r="V276" s="42"/>
      <c r="W276" s="17"/>
      <c r="X276" s="17"/>
    </row>
    <row r="277" spans="1:26" x14ac:dyDescent="0.25">
      <c r="A277" s="9"/>
      <c r="B277" s="55" t="s">
        <v>314</v>
      </c>
      <c r="D277" s="17"/>
      <c r="E277" s="17"/>
      <c r="G277" s="17"/>
      <c r="H277" s="17"/>
      <c r="I277" s="17"/>
      <c r="J277" s="42"/>
      <c r="K277" s="17"/>
      <c r="L277" s="17"/>
      <c r="M277" s="17"/>
      <c r="P277" s="17"/>
      <c r="Q277" s="17"/>
      <c r="R277" s="42"/>
      <c r="S277" s="17"/>
      <c r="T277" s="17"/>
      <c r="U277" s="17"/>
      <c r="V277" s="42"/>
      <c r="W277" s="17"/>
      <c r="X277" s="17"/>
    </row>
    <row r="278" spans="1:26" x14ac:dyDescent="0.25">
      <c r="A278" s="9"/>
      <c r="B278" s="56"/>
      <c r="D278" s="17"/>
      <c r="E278" s="17"/>
      <c r="G278" s="17"/>
      <c r="H278" s="17"/>
      <c r="I278" s="17"/>
      <c r="J278" s="42"/>
      <c r="K278" s="17"/>
      <c r="L278" s="17"/>
      <c r="M278" s="17"/>
      <c r="P278" s="17"/>
      <c r="Q278" s="17"/>
      <c r="R278" s="42"/>
      <c r="S278" s="17"/>
      <c r="T278" s="17"/>
      <c r="U278" s="17"/>
      <c r="V278" s="42"/>
      <c r="W278" s="17"/>
      <c r="X278" s="17"/>
    </row>
    <row r="279" spans="1:26" x14ac:dyDescent="0.25">
      <c r="D279" s="17"/>
      <c r="E279" s="17"/>
      <c r="G279" s="17"/>
      <c r="H279" s="17"/>
      <c r="I279" s="17"/>
      <c r="J279" s="42"/>
      <c r="K279" s="17"/>
      <c r="L279" s="17"/>
      <c r="M279" s="17"/>
      <c r="P279" s="17"/>
      <c r="Q279" s="17"/>
      <c r="R279" s="42"/>
      <c r="S279" s="17"/>
      <c r="T279" s="17"/>
      <c r="U279" s="17"/>
      <c r="V279" s="42"/>
      <c r="W279" s="17"/>
      <c r="X279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528502.00999999978</v>
      </c>
      <c r="E12" s="4"/>
      <c r="F12" s="12"/>
      <c r="G12" s="4"/>
      <c r="H12" s="4">
        <f>SUM(OSRRefH13x_0)</f>
        <v>703048.02398000006</v>
      </c>
      <c r="I12" s="4"/>
      <c r="J12" s="12"/>
      <c r="K12" s="4"/>
      <c r="L12" s="4">
        <f t="shared" ref="L12:L121" si="0">+D12-H12</f>
        <v>-174546.01398000028</v>
      </c>
      <c r="M12" s="4"/>
      <c r="N12" s="12">
        <f t="shared" ref="N12:N121" si="1">IF(H12=0,0,L12/H12)</f>
        <v>-0.24827039978276885</v>
      </c>
      <c r="O12" s="10"/>
      <c r="P12" s="4">
        <f>SUM(OSRRefP13x_0)</f>
        <v>7098566.0699999975</v>
      </c>
      <c r="Q12" s="4"/>
      <c r="R12" s="12"/>
      <c r="S12" s="4"/>
      <c r="T12" s="4">
        <f>SUM(OSRRefT13x_0)</f>
        <v>7260710.9692799998</v>
      </c>
      <c r="U12" s="4"/>
      <c r="V12" s="12"/>
      <c r="W12" s="4"/>
      <c r="X12" s="4">
        <f t="shared" ref="X12:X121" si="2">+P12-T12</f>
        <v>-162144.89928000234</v>
      </c>
      <c r="Y12" s="4"/>
      <c r="Z12" s="12">
        <f t="shared" ref="Z12:Z121" si="3">IF(T12=0,0,X12/T12)</f>
        <v>-2.2331821217789261E-2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595481.02398000006</v>
      </c>
      <c r="I13" s="2"/>
      <c r="J13" s="19"/>
      <c r="K13" s="2"/>
      <c r="L13" s="2">
        <f t="shared" si="0"/>
        <v>-595481.02398000006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3754094.9692799998</v>
      </c>
      <c r="U13" s="2"/>
      <c r="V13" s="19"/>
      <c r="W13" s="2"/>
      <c r="X13" s="2">
        <f t="shared" si="2"/>
        <v>-3754094.9692799998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--36689.95</f>
        <v>36689.949999999997</v>
      </c>
      <c r="E14" s="2"/>
      <c r="F14" s="19"/>
      <c r="G14" s="2"/>
      <c r="H14" s="2"/>
      <c r="I14" s="2"/>
      <c r="J14" s="19"/>
      <c r="K14" s="2"/>
      <c r="L14" s="2">
        <f t="shared" si="0"/>
        <v>36689.949999999997</v>
      </c>
      <c r="M14" s="2"/>
      <c r="N14" s="19">
        <f t="shared" si="1"/>
        <v>0</v>
      </c>
      <c r="O14" s="11"/>
      <c r="P14" s="2">
        <f>--1540034.38</f>
        <v>1540034.38</v>
      </c>
      <c r="Q14" s="2"/>
      <c r="R14" s="19"/>
      <c r="S14" s="2"/>
      <c r="T14" s="2"/>
      <c r="U14" s="2"/>
      <c r="V14" s="19"/>
      <c r="W14" s="2"/>
      <c r="X14" s="2">
        <f t="shared" si="2"/>
        <v>1540034.38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--10615.68</f>
        <v>10615.68</v>
      </c>
      <c r="E15" s="2"/>
      <c r="F15" s="19"/>
      <c r="G15" s="2"/>
      <c r="H15" s="2"/>
      <c r="I15" s="2"/>
      <c r="J15" s="19"/>
      <c r="K15" s="2"/>
      <c r="L15" s="2">
        <f t="shared" si="0"/>
        <v>10615.68</v>
      </c>
      <c r="M15" s="2"/>
      <c r="N15" s="19">
        <f t="shared" si="1"/>
        <v>0</v>
      </c>
      <c r="O15" s="11"/>
      <c r="P15" s="2">
        <f>--681094.97</f>
        <v>681094.97</v>
      </c>
      <c r="Q15" s="2"/>
      <c r="R15" s="19"/>
      <c r="S15" s="2"/>
      <c r="T15" s="2"/>
      <c r="U15" s="2"/>
      <c r="V15" s="19"/>
      <c r="W15" s="2"/>
      <c r="X15" s="2">
        <f t="shared" si="2"/>
        <v>681094.97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--586.01</f>
        <v>586.01</v>
      </c>
      <c r="E16" s="2"/>
      <c r="F16" s="19"/>
      <c r="G16" s="2"/>
      <c r="H16" s="2"/>
      <c r="I16" s="2"/>
      <c r="J16" s="19"/>
      <c r="K16" s="2"/>
      <c r="L16" s="2">
        <f t="shared" si="0"/>
        <v>586.01</v>
      </c>
      <c r="M16" s="2"/>
      <c r="N16" s="19">
        <f t="shared" si="1"/>
        <v>0</v>
      </c>
      <c r="O16" s="11"/>
      <c r="P16" s="2">
        <f>--16430.67</f>
        <v>16430.669999999998</v>
      </c>
      <c r="Q16" s="2"/>
      <c r="R16" s="19"/>
      <c r="S16" s="2"/>
      <c r="T16" s="2"/>
      <c r="U16" s="2"/>
      <c r="V16" s="19"/>
      <c r="W16" s="2"/>
      <c r="X16" s="2">
        <f t="shared" si="2"/>
        <v>16430.669999999998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--3.62</f>
        <v>3.62</v>
      </c>
      <c r="E18" s="2"/>
      <c r="F18" s="19"/>
      <c r="G18" s="2"/>
      <c r="H18" s="2"/>
      <c r="I18" s="2"/>
      <c r="J18" s="19"/>
      <c r="K18" s="2"/>
      <c r="L18" s="2">
        <f t="shared" si="0"/>
        <v>3.62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--167.6</f>
        <v>167.6</v>
      </c>
      <c r="E19" s="2"/>
      <c r="F19" s="19"/>
      <c r="G19" s="2"/>
      <c r="H19" s="2"/>
      <c r="I19" s="2"/>
      <c r="J19" s="19"/>
      <c r="K19" s="2"/>
      <c r="L19" s="2">
        <f t="shared" si="0"/>
        <v>167.6</v>
      </c>
      <c r="M19" s="2"/>
      <c r="N19" s="19">
        <f t="shared" si="1"/>
        <v>0</v>
      </c>
      <c r="O19" s="11"/>
      <c r="P19" s="2">
        <f>--1280.32</f>
        <v>1280.32</v>
      </c>
      <c r="Q19" s="2"/>
      <c r="R19" s="19"/>
      <c r="S19" s="2"/>
      <c r="T19" s="2"/>
      <c r="U19" s="2"/>
      <c r="V19" s="19"/>
      <c r="W19" s="2"/>
      <c r="X19" s="2">
        <f t="shared" si="2"/>
        <v>1280.32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--109.34</f>
        <v>109.34</v>
      </c>
      <c r="E20" s="2"/>
      <c r="F20" s="19"/>
      <c r="G20" s="2"/>
      <c r="H20" s="2"/>
      <c r="I20" s="2"/>
      <c r="J20" s="19"/>
      <c r="K20" s="2"/>
      <c r="L20" s="2">
        <f t="shared" si="0"/>
        <v>109.34</v>
      </c>
      <c r="M20" s="2"/>
      <c r="N20" s="19">
        <f t="shared" si="1"/>
        <v>0</v>
      </c>
      <c r="O20" s="11"/>
      <c r="P20" s="2">
        <f>--992.69</f>
        <v>992.69</v>
      </c>
      <c r="Q20" s="2"/>
      <c r="R20" s="19"/>
      <c r="S20" s="2"/>
      <c r="T20" s="2"/>
      <c r="U20" s="2"/>
      <c r="V20" s="19"/>
      <c r="W20" s="2"/>
      <c r="X20" s="2">
        <f t="shared" si="2"/>
        <v>992.69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--10.98</f>
        <v>10.98</v>
      </c>
      <c r="E21" s="2"/>
      <c r="F21" s="19"/>
      <c r="G21" s="2"/>
      <c r="H21" s="2"/>
      <c r="I21" s="2"/>
      <c r="J21" s="19"/>
      <c r="K21" s="2"/>
      <c r="L21" s="2">
        <f t="shared" si="0"/>
        <v>10.98</v>
      </c>
      <c r="M21" s="2"/>
      <c r="N21" s="19">
        <f t="shared" si="1"/>
        <v>0</v>
      </c>
      <c r="O21" s="11"/>
      <c r="P21" s="2">
        <f>--242.14</f>
        <v>242.14</v>
      </c>
      <c r="Q21" s="2"/>
      <c r="R21" s="19"/>
      <c r="S21" s="2"/>
      <c r="T21" s="2"/>
      <c r="U21" s="2"/>
      <c r="V21" s="19"/>
      <c r="W21" s="2"/>
      <c r="X21" s="2">
        <f t="shared" si="2"/>
        <v>242.14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--157.74</f>
        <v>157.74</v>
      </c>
      <c r="E22" s="2"/>
      <c r="F22" s="19"/>
      <c r="G22" s="2"/>
      <c r="H22" s="2"/>
      <c r="I22" s="2"/>
      <c r="J22" s="19"/>
      <c r="K22" s="2"/>
      <c r="L22" s="2">
        <f t="shared" si="0"/>
        <v>157.74</v>
      </c>
      <c r="M22" s="2"/>
      <c r="N22" s="19">
        <f t="shared" si="1"/>
        <v>0</v>
      </c>
      <c r="O22" s="11"/>
      <c r="P22" s="2">
        <f>--2890.39</f>
        <v>2890.39</v>
      </c>
      <c r="Q22" s="2"/>
      <c r="R22" s="19"/>
      <c r="S22" s="2"/>
      <c r="T22" s="2"/>
      <c r="U22" s="2"/>
      <c r="V22" s="19"/>
      <c r="W22" s="2"/>
      <c r="X22" s="2">
        <f t="shared" si="2"/>
        <v>2890.39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--5588.38</f>
        <v>5588.38</v>
      </c>
      <c r="E24" s="2"/>
      <c r="F24" s="19"/>
      <c r="G24" s="2"/>
      <c r="H24" s="2"/>
      <c r="I24" s="2"/>
      <c r="J24" s="19"/>
      <c r="K24" s="2"/>
      <c r="L24" s="2">
        <f t="shared" si="0"/>
        <v>5588.38</v>
      </c>
      <c r="M24" s="2"/>
      <c r="N24" s="19">
        <f t="shared" si="1"/>
        <v>0</v>
      </c>
      <c r="O24" s="11"/>
      <c r="P24" s="2">
        <f>--35133.1</f>
        <v>35133.1</v>
      </c>
      <c r="Q24" s="2"/>
      <c r="R24" s="19"/>
      <c r="S24" s="2"/>
      <c r="T24" s="2"/>
      <c r="U24" s="2"/>
      <c r="V24" s="19"/>
      <c r="W24" s="2"/>
      <c r="X24" s="2">
        <f t="shared" si="2"/>
        <v>35133.1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--6254.22</f>
        <v>6254.22</v>
      </c>
      <c r="E25" s="2"/>
      <c r="F25" s="19"/>
      <c r="G25" s="2"/>
      <c r="H25" s="2"/>
      <c r="I25" s="2"/>
      <c r="J25" s="19"/>
      <c r="K25" s="2"/>
      <c r="L25" s="2">
        <f t="shared" si="0"/>
        <v>6254.22</v>
      </c>
      <c r="M25" s="2"/>
      <c r="N25" s="19">
        <f t="shared" si="1"/>
        <v>0</v>
      </c>
      <c r="O25" s="11"/>
      <c r="P25" s="2">
        <f>--49928.17</f>
        <v>49928.17</v>
      </c>
      <c r="Q25" s="2"/>
      <c r="R25" s="19"/>
      <c r="S25" s="2"/>
      <c r="T25" s="2"/>
      <c r="U25" s="2"/>
      <c r="V25" s="19"/>
      <c r="W25" s="2"/>
      <c r="X25" s="2">
        <f t="shared" si="2"/>
        <v>49928.17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--10568.39</f>
        <v>10568.39</v>
      </c>
      <c r="E26" s="2"/>
      <c r="F26" s="19"/>
      <c r="G26" s="2"/>
      <c r="H26" s="2"/>
      <c r="I26" s="2"/>
      <c r="J26" s="19"/>
      <c r="K26" s="2"/>
      <c r="L26" s="2">
        <f t="shared" si="0"/>
        <v>10568.39</v>
      </c>
      <c r="M26" s="2"/>
      <c r="N26" s="19">
        <f t="shared" si="1"/>
        <v>0</v>
      </c>
      <c r="O26" s="11"/>
      <c r="P26" s="2">
        <f>--165357.47</f>
        <v>165357.47</v>
      </c>
      <c r="Q26" s="2"/>
      <c r="R26" s="19"/>
      <c r="S26" s="2"/>
      <c r="T26" s="2"/>
      <c r="U26" s="2"/>
      <c r="V26" s="19"/>
      <c r="W26" s="2"/>
      <c r="X26" s="2">
        <f t="shared" si="2"/>
        <v>165357.47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--13684.86</f>
        <v>13684.86</v>
      </c>
      <c r="E27" s="2"/>
      <c r="F27" s="19"/>
      <c r="G27" s="2"/>
      <c r="H27" s="2"/>
      <c r="I27" s="2"/>
      <c r="J27" s="19"/>
      <c r="K27" s="2"/>
      <c r="L27" s="2">
        <f t="shared" si="0"/>
        <v>13684.86</v>
      </c>
      <c r="M27" s="2"/>
      <c r="N27" s="19">
        <f t="shared" si="1"/>
        <v>0</v>
      </c>
      <c r="O27" s="11"/>
      <c r="P27" s="2">
        <f>--189637.57</f>
        <v>189637.57</v>
      </c>
      <c r="Q27" s="2"/>
      <c r="R27" s="19"/>
      <c r="S27" s="2"/>
      <c r="T27" s="2"/>
      <c r="U27" s="2"/>
      <c r="V27" s="19"/>
      <c r="W27" s="2"/>
      <c r="X27" s="2">
        <f t="shared" si="2"/>
        <v>189637.57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--26.89</f>
        <v>26.89</v>
      </c>
      <c r="E28" s="2"/>
      <c r="F28" s="19"/>
      <c r="G28" s="2"/>
      <c r="H28" s="2"/>
      <c r="I28" s="2"/>
      <c r="J28" s="19"/>
      <c r="K28" s="2"/>
      <c r="L28" s="2">
        <f t="shared" si="0"/>
        <v>26.89</v>
      </c>
      <c r="M28" s="2"/>
      <c r="N28" s="19">
        <f t="shared" si="1"/>
        <v>0</v>
      </c>
      <c r="O28" s="11"/>
      <c r="P28" s="2">
        <f>--306.94</f>
        <v>306.94</v>
      </c>
      <c r="Q28" s="2"/>
      <c r="R28" s="19"/>
      <c r="S28" s="2"/>
      <c r="T28" s="2"/>
      <c r="U28" s="2"/>
      <c r="V28" s="19"/>
      <c r="W28" s="2"/>
      <c r="X28" s="2">
        <f t="shared" si="2"/>
        <v>306.94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--203.26</f>
        <v>203.26</v>
      </c>
      <c r="E29" s="2"/>
      <c r="F29" s="19"/>
      <c r="G29" s="2"/>
      <c r="H29" s="2"/>
      <c r="I29" s="2"/>
      <c r="J29" s="19"/>
      <c r="K29" s="2"/>
      <c r="L29" s="2">
        <f t="shared" si="0"/>
        <v>203.26</v>
      </c>
      <c r="M29" s="2"/>
      <c r="N29" s="19">
        <f t="shared" si="1"/>
        <v>0</v>
      </c>
      <c r="O29" s="11"/>
      <c r="P29" s="2">
        <f>--866.34</f>
        <v>866.34</v>
      </c>
      <c r="Q29" s="2"/>
      <c r="R29" s="19"/>
      <c r="S29" s="2"/>
      <c r="T29" s="2"/>
      <c r="U29" s="2"/>
      <c r="V29" s="19"/>
      <c r="W29" s="2"/>
      <c r="X29" s="2">
        <f t="shared" si="2"/>
        <v>866.34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--22.41</f>
        <v>22.41</v>
      </c>
      <c r="E30" s="2"/>
      <c r="F30" s="19"/>
      <c r="G30" s="2"/>
      <c r="H30" s="2"/>
      <c r="I30" s="2"/>
      <c r="J30" s="19"/>
      <c r="K30" s="2"/>
      <c r="L30" s="2">
        <f t="shared" si="0"/>
        <v>22.41</v>
      </c>
      <c r="M30" s="2"/>
      <c r="N30" s="19">
        <f t="shared" si="1"/>
        <v>0</v>
      </c>
      <c r="O30" s="11"/>
      <c r="P30" s="2">
        <f>--131.02</f>
        <v>131.02000000000001</v>
      </c>
      <c r="Q30" s="2"/>
      <c r="R30" s="19"/>
      <c r="S30" s="2"/>
      <c r="T30" s="2"/>
      <c r="U30" s="2"/>
      <c r="V30" s="19"/>
      <c r="W30" s="2"/>
      <c r="X30" s="2">
        <f t="shared" si="2"/>
        <v>131.02000000000001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--547.26</f>
        <v>547.26</v>
      </c>
      <c r="E31" s="2"/>
      <c r="F31" s="19"/>
      <c r="G31" s="2"/>
      <c r="H31" s="2"/>
      <c r="I31" s="2"/>
      <c r="J31" s="19"/>
      <c r="K31" s="2"/>
      <c r="L31" s="2">
        <f t="shared" si="0"/>
        <v>547.26</v>
      </c>
      <c r="M31" s="2"/>
      <c r="N31" s="19">
        <f t="shared" si="1"/>
        <v>0</v>
      </c>
      <c r="O31" s="11"/>
      <c r="P31" s="2">
        <f>--5271.51</f>
        <v>5271.51</v>
      </c>
      <c r="Q31" s="2"/>
      <c r="R31" s="19"/>
      <c r="S31" s="2"/>
      <c r="T31" s="2"/>
      <c r="U31" s="2"/>
      <c r="V31" s="19"/>
      <c r="W31" s="2"/>
      <c r="X31" s="2">
        <f t="shared" si="2"/>
        <v>5271.51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--133.49</f>
        <v>133.49</v>
      </c>
      <c r="E32" s="2"/>
      <c r="F32" s="19"/>
      <c r="G32" s="2"/>
      <c r="H32" s="2"/>
      <c r="I32" s="2"/>
      <c r="J32" s="19"/>
      <c r="K32" s="2"/>
      <c r="L32" s="2">
        <f t="shared" si="0"/>
        <v>133.49</v>
      </c>
      <c r="M32" s="2"/>
      <c r="N32" s="19">
        <f t="shared" si="1"/>
        <v>0</v>
      </c>
      <c r="O32" s="11"/>
      <c r="P32" s="2">
        <f>--1267.09</f>
        <v>1267.0899999999999</v>
      </c>
      <c r="Q32" s="2"/>
      <c r="R32" s="19"/>
      <c r="S32" s="2"/>
      <c r="T32" s="2"/>
      <c r="U32" s="2"/>
      <c r="V32" s="19"/>
      <c r="W32" s="2"/>
      <c r="X32" s="2">
        <f t="shared" si="2"/>
        <v>1267.0899999999999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--19.09</f>
        <v>19.09</v>
      </c>
      <c r="E33" s="2"/>
      <c r="F33" s="19"/>
      <c r="G33" s="2"/>
      <c r="H33" s="2"/>
      <c r="I33" s="2"/>
      <c r="J33" s="19"/>
      <c r="K33" s="2"/>
      <c r="L33" s="2">
        <f t="shared" si="0"/>
        <v>19.09</v>
      </c>
      <c r="M33" s="2"/>
      <c r="N33" s="19">
        <f t="shared" si="1"/>
        <v>0</v>
      </c>
      <c r="O33" s="11"/>
      <c r="P33" s="2">
        <f>--396.26</f>
        <v>396.26</v>
      </c>
      <c r="Q33" s="2"/>
      <c r="R33" s="19"/>
      <c r="S33" s="2"/>
      <c r="T33" s="2"/>
      <c r="U33" s="2"/>
      <c r="V33" s="19"/>
      <c r="W33" s="2"/>
      <c r="X33" s="2">
        <f t="shared" si="2"/>
        <v>396.26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--193654.24</f>
        <v>193654.24</v>
      </c>
      <c r="E34" s="2"/>
      <c r="F34" s="19"/>
      <c r="G34" s="2"/>
      <c r="H34" s="2"/>
      <c r="I34" s="2"/>
      <c r="J34" s="19"/>
      <c r="K34" s="2"/>
      <c r="L34" s="2">
        <f t="shared" si="0"/>
        <v>193654.24</v>
      </c>
      <c r="M34" s="2"/>
      <c r="N34" s="19">
        <f t="shared" si="1"/>
        <v>0</v>
      </c>
      <c r="O34" s="11"/>
      <c r="P34" s="2">
        <f>--1291791.18</f>
        <v>1291791.18</v>
      </c>
      <c r="Q34" s="2"/>
      <c r="R34" s="19"/>
      <c r="S34" s="2"/>
      <c r="T34" s="2"/>
      <c r="U34" s="2"/>
      <c r="V34" s="19"/>
      <c r="W34" s="2"/>
      <c r="X34" s="2">
        <f t="shared" si="2"/>
        <v>1291791.18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--37979.16</f>
        <v>37979.160000000003</v>
      </c>
      <c r="E35" s="2"/>
      <c r="F35" s="19"/>
      <c r="G35" s="2"/>
      <c r="H35" s="2"/>
      <c r="I35" s="2"/>
      <c r="J35" s="19"/>
      <c r="K35" s="2"/>
      <c r="L35" s="2">
        <f t="shared" si="0"/>
        <v>37979.160000000003</v>
      </c>
      <c r="M35" s="2"/>
      <c r="N35" s="19">
        <f t="shared" si="1"/>
        <v>0</v>
      </c>
      <c r="O35" s="11"/>
      <c r="P35" s="2">
        <f>--296126.81</f>
        <v>296126.81</v>
      </c>
      <c r="Q35" s="2"/>
      <c r="R35" s="19"/>
      <c r="S35" s="2"/>
      <c r="T35" s="2"/>
      <c r="U35" s="2"/>
      <c r="V35" s="19"/>
      <c r="W35" s="2"/>
      <c r="X35" s="2">
        <f t="shared" si="2"/>
        <v>296126.81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--44973.91</f>
        <v>44973.91</v>
      </c>
      <c r="E36" s="2"/>
      <c r="F36" s="19"/>
      <c r="G36" s="2"/>
      <c r="H36" s="2"/>
      <c r="I36" s="2"/>
      <c r="J36" s="19"/>
      <c r="K36" s="2"/>
      <c r="L36" s="2">
        <f t="shared" si="0"/>
        <v>44973.91</v>
      </c>
      <c r="M36" s="2"/>
      <c r="N36" s="19">
        <f t="shared" si="1"/>
        <v>0</v>
      </c>
      <c r="O36" s="11"/>
      <c r="P36" s="2">
        <f>--199952.1</f>
        <v>199952.1</v>
      </c>
      <c r="Q36" s="2"/>
      <c r="R36" s="19"/>
      <c r="S36" s="2"/>
      <c r="T36" s="2"/>
      <c r="U36" s="2"/>
      <c r="V36" s="19"/>
      <c r="W36" s="2"/>
      <c r="X36" s="2">
        <f t="shared" si="2"/>
        <v>199952.1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--9497.44</f>
        <v>9497.44</v>
      </c>
      <c r="E37" s="2"/>
      <c r="F37" s="19"/>
      <c r="G37" s="2"/>
      <c r="H37" s="2"/>
      <c r="I37" s="2"/>
      <c r="J37" s="19"/>
      <c r="K37" s="2"/>
      <c r="L37" s="2">
        <f t="shared" si="0"/>
        <v>9497.44</v>
      </c>
      <c r="M37" s="2"/>
      <c r="N37" s="19">
        <f t="shared" si="1"/>
        <v>0</v>
      </c>
      <c r="O37" s="11"/>
      <c r="P37" s="2">
        <f>--14320.46</f>
        <v>14320.46</v>
      </c>
      <c r="Q37" s="2"/>
      <c r="R37" s="19"/>
      <c r="S37" s="2"/>
      <c r="T37" s="2"/>
      <c r="U37" s="2"/>
      <c r="V37" s="19"/>
      <c r="W37" s="2"/>
      <c r="X37" s="2">
        <f t="shared" si="2"/>
        <v>14320.46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--5438.42</f>
        <v>5438.42</v>
      </c>
      <c r="E38" s="2"/>
      <c r="F38" s="19"/>
      <c r="G38" s="2"/>
      <c r="H38" s="2"/>
      <c r="I38" s="2"/>
      <c r="J38" s="19"/>
      <c r="K38" s="2"/>
      <c r="L38" s="2">
        <f t="shared" si="0"/>
        <v>5438.42</v>
      </c>
      <c r="M38" s="2"/>
      <c r="N38" s="19">
        <f t="shared" si="1"/>
        <v>0</v>
      </c>
      <c r="O38" s="11"/>
      <c r="P38" s="2">
        <f>--46736.2</f>
        <v>46736.2</v>
      </c>
      <c r="Q38" s="2"/>
      <c r="R38" s="19"/>
      <c r="S38" s="2"/>
      <c r="T38" s="2"/>
      <c r="U38" s="2"/>
      <c r="V38" s="19"/>
      <c r="W38" s="2"/>
      <c r="X38" s="2">
        <f t="shared" si="2"/>
        <v>46736.2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--6487.38</f>
        <v>6487.38</v>
      </c>
      <c r="E39" s="2"/>
      <c r="F39" s="19"/>
      <c r="G39" s="2"/>
      <c r="H39" s="2"/>
      <c r="I39" s="2"/>
      <c r="J39" s="19"/>
      <c r="K39" s="2"/>
      <c r="L39" s="2">
        <f t="shared" si="0"/>
        <v>6487.38</v>
      </c>
      <c r="M39" s="2"/>
      <c r="N39" s="19">
        <f t="shared" si="1"/>
        <v>0</v>
      </c>
      <c r="O39" s="11"/>
      <c r="P39" s="2">
        <f>--61005.82</f>
        <v>61005.82</v>
      </c>
      <c r="Q39" s="2"/>
      <c r="R39" s="19"/>
      <c r="S39" s="2"/>
      <c r="T39" s="2"/>
      <c r="U39" s="2"/>
      <c r="V39" s="19"/>
      <c r="W39" s="2"/>
      <c r="X39" s="2">
        <f t="shared" si="2"/>
        <v>61005.82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--115.39</f>
        <v>115.39</v>
      </c>
      <c r="E40" s="2"/>
      <c r="F40" s="19"/>
      <c r="G40" s="2"/>
      <c r="H40" s="2"/>
      <c r="I40" s="2"/>
      <c r="J40" s="19"/>
      <c r="K40" s="2"/>
      <c r="L40" s="2">
        <f t="shared" si="0"/>
        <v>115.39</v>
      </c>
      <c r="M40" s="2"/>
      <c r="N40" s="19">
        <f t="shared" si="1"/>
        <v>0</v>
      </c>
      <c r="O40" s="11"/>
      <c r="P40" s="2">
        <f>--1793.94</f>
        <v>1793.94</v>
      </c>
      <c r="Q40" s="2"/>
      <c r="R40" s="19"/>
      <c r="S40" s="2"/>
      <c r="T40" s="2"/>
      <c r="U40" s="2"/>
      <c r="V40" s="19"/>
      <c r="W40" s="2"/>
      <c r="X40" s="2">
        <f t="shared" si="2"/>
        <v>1793.94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--14865.23</f>
        <v>14865.23</v>
      </c>
      <c r="E41" s="2"/>
      <c r="F41" s="19"/>
      <c r="G41" s="2"/>
      <c r="H41" s="2"/>
      <c r="I41" s="2"/>
      <c r="J41" s="19"/>
      <c r="K41" s="2"/>
      <c r="L41" s="2">
        <f t="shared" si="0"/>
        <v>14865.23</v>
      </c>
      <c r="M41" s="2"/>
      <c r="N41" s="19">
        <f t="shared" si="1"/>
        <v>0</v>
      </c>
      <c r="O41" s="11"/>
      <c r="P41" s="2">
        <f>--246669.48</f>
        <v>246669.48</v>
      </c>
      <c r="Q41" s="2"/>
      <c r="R41" s="19"/>
      <c r="S41" s="2"/>
      <c r="T41" s="2"/>
      <c r="U41" s="2"/>
      <c r="V41" s="19"/>
      <c r="W41" s="2"/>
      <c r="X41" s="2">
        <f t="shared" si="2"/>
        <v>246669.48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--59585.42</f>
        <v>59585.42</v>
      </c>
      <c r="E42" s="2"/>
      <c r="F42" s="19"/>
      <c r="G42" s="2"/>
      <c r="H42" s="2"/>
      <c r="I42" s="2"/>
      <c r="J42" s="19"/>
      <c r="K42" s="2"/>
      <c r="L42" s="2">
        <f t="shared" si="0"/>
        <v>59585.42</v>
      </c>
      <c r="M42" s="2"/>
      <c r="N42" s="19">
        <f t="shared" si="1"/>
        <v>0</v>
      </c>
      <c r="O42" s="11"/>
      <c r="P42" s="2">
        <f>--1342516.26</f>
        <v>1342516.26</v>
      </c>
      <c r="Q42" s="2"/>
      <c r="R42" s="19"/>
      <c r="S42" s="2"/>
      <c r="T42" s="2"/>
      <c r="U42" s="2"/>
      <c r="V42" s="19"/>
      <c r="W42" s="2"/>
      <c r="X42" s="2">
        <f t="shared" si="2"/>
        <v>1342516.26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--7057.06</f>
        <v>7057.06</v>
      </c>
      <c r="E43" s="2"/>
      <c r="F43" s="19"/>
      <c r="G43" s="2"/>
      <c r="H43" s="2"/>
      <c r="I43" s="2"/>
      <c r="J43" s="19"/>
      <c r="K43" s="2"/>
      <c r="L43" s="2">
        <f t="shared" si="0"/>
        <v>7057.06</v>
      </c>
      <c r="M43" s="2"/>
      <c r="N43" s="19">
        <f t="shared" si="1"/>
        <v>0</v>
      </c>
      <c r="O43" s="11"/>
      <c r="P43" s="2">
        <f>--71130.68</f>
        <v>71130.679999999993</v>
      </c>
      <c r="Q43" s="2"/>
      <c r="R43" s="19"/>
      <c r="S43" s="2"/>
      <c r="T43" s="2"/>
      <c r="U43" s="2"/>
      <c r="V43" s="19"/>
      <c r="W43" s="2"/>
      <c r="X43" s="2">
        <f t="shared" si="2"/>
        <v>71130.679999999993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--4407.94</f>
        <v>4407.9399999999996</v>
      </c>
      <c r="Q45" s="2"/>
      <c r="R45" s="19"/>
      <c r="S45" s="2"/>
      <c r="T45" s="2"/>
      <c r="U45" s="2"/>
      <c r="V45" s="19"/>
      <c r="W45" s="2"/>
      <c r="X45" s="2">
        <f t="shared" si="2"/>
        <v>4407.9399999999996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--2769.54</f>
        <v>2769.54</v>
      </c>
      <c r="E46" s="2"/>
      <c r="F46" s="19"/>
      <c r="G46" s="2"/>
      <c r="H46" s="2"/>
      <c r="I46" s="2"/>
      <c r="J46" s="19"/>
      <c r="K46" s="2"/>
      <c r="L46" s="2">
        <f t="shared" si="0"/>
        <v>2769.54</v>
      </c>
      <c r="M46" s="2"/>
      <c r="N46" s="19">
        <f t="shared" si="1"/>
        <v>0</v>
      </c>
      <c r="O46" s="11"/>
      <c r="P46" s="2">
        <f>--33777.24</f>
        <v>33777.24</v>
      </c>
      <c r="Q46" s="2"/>
      <c r="R46" s="19"/>
      <c r="S46" s="2"/>
      <c r="T46" s="2"/>
      <c r="U46" s="2"/>
      <c r="V46" s="19"/>
      <c r="W46" s="2"/>
      <c r="X46" s="2">
        <f t="shared" si="2"/>
        <v>33777.24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--936.91</f>
        <v>936.91</v>
      </c>
      <c r="Q47" s="2"/>
      <c r="R47" s="19"/>
      <c r="S47" s="2"/>
      <c r="T47" s="2"/>
      <c r="U47" s="2"/>
      <c r="V47" s="19"/>
      <c r="W47" s="2"/>
      <c r="X47" s="2">
        <f t="shared" si="2"/>
        <v>936.91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--218.75</f>
        <v>218.75</v>
      </c>
      <c r="E48" s="2"/>
      <c r="F48" s="19"/>
      <c r="G48" s="2"/>
      <c r="H48" s="2"/>
      <c r="I48" s="2"/>
      <c r="J48" s="19"/>
      <c r="K48" s="2"/>
      <c r="L48" s="2">
        <f t="shared" si="0"/>
        <v>218.75</v>
      </c>
      <c r="M48" s="2"/>
      <c r="N48" s="19">
        <f t="shared" si="1"/>
        <v>0</v>
      </c>
      <c r="O48" s="11"/>
      <c r="P48" s="2">
        <f>--7659.37</f>
        <v>7659.37</v>
      </c>
      <c r="Q48" s="2"/>
      <c r="R48" s="19"/>
      <c r="S48" s="2"/>
      <c r="T48" s="2"/>
      <c r="U48" s="2"/>
      <c r="V48" s="19"/>
      <c r="W48" s="2"/>
      <c r="X48" s="2">
        <f t="shared" si="2"/>
        <v>7659.37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--20.89</f>
        <v>20.89</v>
      </c>
      <c r="E49" s="2"/>
      <c r="F49" s="19"/>
      <c r="G49" s="2"/>
      <c r="H49" s="2"/>
      <c r="I49" s="2"/>
      <c r="J49" s="19"/>
      <c r="K49" s="2"/>
      <c r="L49" s="2">
        <f t="shared" si="0"/>
        <v>20.89</v>
      </c>
      <c r="M49" s="2"/>
      <c r="N49" s="19">
        <f t="shared" si="1"/>
        <v>0</v>
      </c>
      <c r="O49" s="11"/>
      <c r="P49" s="2">
        <f>--297.33</f>
        <v>297.33</v>
      </c>
      <c r="Q49" s="2"/>
      <c r="R49" s="19"/>
      <c r="S49" s="2"/>
      <c r="T49" s="2"/>
      <c r="U49" s="2"/>
      <c r="V49" s="19"/>
      <c r="W49" s="2"/>
      <c r="X49" s="2">
        <f t="shared" si="2"/>
        <v>297.33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--87.99</f>
        <v>87.99</v>
      </c>
      <c r="E50" s="2"/>
      <c r="F50" s="19"/>
      <c r="G50" s="2"/>
      <c r="H50" s="2">
        <v>107567</v>
      </c>
      <c r="I50" s="2"/>
      <c r="J50" s="19"/>
      <c r="K50" s="2"/>
      <c r="L50" s="2">
        <f t="shared" si="0"/>
        <v>-107479.01</v>
      </c>
      <c r="M50" s="2"/>
      <c r="N50" s="19">
        <f t="shared" si="1"/>
        <v>-0.9991819981964728</v>
      </c>
      <c r="O50" s="11"/>
      <c r="P50" s="2">
        <f>--335928.55</f>
        <v>335928.55</v>
      </c>
      <c r="Q50" s="2"/>
      <c r="R50" s="19"/>
      <c r="S50" s="2"/>
      <c r="T50" s="2">
        <v>3506616</v>
      </c>
      <c r="U50" s="2"/>
      <c r="V50" s="19"/>
      <c r="W50" s="2"/>
      <c r="X50" s="2">
        <f t="shared" si="2"/>
        <v>-3170687.45</v>
      </c>
      <c r="Y50" s="2"/>
      <c r="Z50" s="19">
        <f t="shared" si="3"/>
        <v>-0.90420150082016404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--2606.82</f>
        <v>2606.8200000000002</v>
      </c>
      <c r="E51" s="2"/>
      <c r="F51" s="19"/>
      <c r="G51" s="2"/>
      <c r="H51" s="2"/>
      <c r="I51" s="2"/>
      <c r="J51" s="19"/>
      <c r="K51" s="2"/>
      <c r="L51" s="2">
        <f t="shared" si="0"/>
        <v>2606.8200000000002</v>
      </c>
      <c r="M51" s="2"/>
      <c r="N51" s="19">
        <f t="shared" si="1"/>
        <v>0</v>
      </c>
      <c r="O51" s="11"/>
      <c r="P51" s="2">
        <f>--95287.57</f>
        <v>95287.57</v>
      </c>
      <c r="Q51" s="2"/>
      <c r="R51" s="19"/>
      <c r="S51" s="2"/>
      <c r="T51" s="2"/>
      <c r="U51" s="2"/>
      <c r="V51" s="19"/>
      <c r="W51" s="2"/>
      <c r="X51" s="2">
        <f t="shared" si="2"/>
        <v>95287.57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--595.75</f>
        <v>595.75</v>
      </c>
      <c r="E52" s="2"/>
      <c r="F52" s="19"/>
      <c r="G52" s="2"/>
      <c r="H52" s="2"/>
      <c r="I52" s="2"/>
      <c r="J52" s="19"/>
      <c r="K52" s="2"/>
      <c r="L52" s="2">
        <f t="shared" si="0"/>
        <v>595.75</v>
      </c>
      <c r="M52" s="2"/>
      <c r="N52" s="19">
        <f t="shared" si="1"/>
        <v>0</v>
      </c>
      <c r="O52" s="11"/>
      <c r="P52" s="2">
        <f>--38202.59</f>
        <v>38202.589999999997</v>
      </c>
      <c r="Q52" s="2"/>
      <c r="R52" s="19"/>
      <c r="S52" s="2"/>
      <c r="T52" s="2"/>
      <c r="U52" s="2"/>
      <c r="V52" s="19"/>
      <c r="W52" s="2"/>
      <c r="X52" s="2">
        <f t="shared" si="2"/>
        <v>38202.589999999997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--329.98</f>
        <v>329.98</v>
      </c>
      <c r="Q53" s="2"/>
      <c r="R53" s="19"/>
      <c r="S53" s="2"/>
      <c r="T53" s="2"/>
      <c r="U53" s="2"/>
      <c r="V53" s="19"/>
      <c r="W53" s="2"/>
      <c r="X53" s="2">
        <f t="shared" si="2"/>
        <v>329.98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--12189.74</f>
        <v>12189.74</v>
      </c>
      <c r="E54" s="2"/>
      <c r="F54" s="19"/>
      <c r="G54" s="2"/>
      <c r="H54" s="2"/>
      <c r="I54" s="2"/>
      <c r="J54" s="19"/>
      <c r="K54" s="2"/>
      <c r="L54" s="2">
        <f t="shared" si="0"/>
        <v>12189.74</v>
      </c>
      <c r="M54" s="2"/>
      <c r="N54" s="19">
        <f t="shared" si="1"/>
        <v>0</v>
      </c>
      <c r="O54" s="11"/>
      <c r="P54" s="2">
        <f>--332888.83</f>
        <v>332888.83</v>
      </c>
      <c r="Q54" s="2"/>
      <c r="R54" s="19"/>
      <c r="S54" s="2"/>
      <c r="T54" s="2"/>
      <c r="U54" s="2"/>
      <c r="V54" s="19"/>
      <c r="W54" s="2"/>
      <c r="X54" s="2">
        <f t="shared" si="2"/>
        <v>332888.83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--431.78</f>
        <v>431.78</v>
      </c>
      <c r="E55" s="2"/>
      <c r="F55" s="19"/>
      <c r="G55" s="2"/>
      <c r="H55" s="2"/>
      <c r="I55" s="2"/>
      <c r="J55" s="19"/>
      <c r="K55" s="2"/>
      <c r="L55" s="2">
        <f t="shared" si="0"/>
        <v>431.78</v>
      </c>
      <c r="M55" s="2"/>
      <c r="N55" s="19">
        <f t="shared" si="1"/>
        <v>0</v>
      </c>
      <c r="O55" s="11"/>
      <c r="P55" s="2">
        <f>--8023.97</f>
        <v>8023.97</v>
      </c>
      <c r="Q55" s="2"/>
      <c r="R55" s="19"/>
      <c r="S55" s="2"/>
      <c r="T55" s="2"/>
      <c r="U55" s="2"/>
      <c r="V55" s="19"/>
      <c r="W55" s="2"/>
      <c r="X55" s="2">
        <f t="shared" si="2"/>
        <v>8023.97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/>
      <c r="U56" s="2"/>
      <c r="V56" s="19"/>
      <c r="W56" s="2"/>
      <c r="X56" s="2">
        <f t="shared" si="2"/>
        <v>1146.72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--6.95</f>
        <v>6.95</v>
      </c>
      <c r="E57" s="2"/>
      <c r="F57" s="19"/>
      <c r="G57" s="2"/>
      <c r="H57" s="2"/>
      <c r="I57" s="2"/>
      <c r="J57" s="19"/>
      <c r="K57" s="2"/>
      <c r="L57" s="2">
        <f t="shared" si="0"/>
        <v>6.95</v>
      </c>
      <c r="M57" s="2"/>
      <c r="N57" s="19">
        <f t="shared" si="1"/>
        <v>0</v>
      </c>
      <c r="O57" s="11"/>
      <c r="P57" s="2">
        <f>--41.91</f>
        <v>41.91</v>
      </c>
      <c r="Q57" s="2"/>
      <c r="R57" s="19"/>
      <c r="S57" s="2"/>
      <c r="T57" s="2"/>
      <c r="U57" s="2"/>
      <c r="V57" s="19"/>
      <c r="W57" s="2"/>
      <c r="X57" s="2">
        <f t="shared" si="2"/>
        <v>41.91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--124.18</f>
        <v>124.18</v>
      </c>
      <c r="Q58" s="2"/>
      <c r="R58" s="19"/>
      <c r="S58" s="2"/>
      <c r="T58" s="2"/>
      <c r="U58" s="2"/>
      <c r="V58" s="19"/>
      <c r="W58" s="2"/>
      <c r="X58" s="2">
        <f t="shared" si="2"/>
        <v>124.18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--38.73</f>
        <v>38.729999999999997</v>
      </c>
      <c r="E59" s="2"/>
      <c r="F59" s="19"/>
      <c r="G59" s="2"/>
      <c r="H59" s="2"/>
      <c r="I59" s="2"/>
      <c r="J59" s="19"/>
      <c r="K59" s="2"/>
      <c r="L59" s="2">
        <f t="shared" si="0"/>
        <v>38.729999999999997</v>
      </c>
      <c r="M59" s="2"/>
      <c r="N59" s="19">
        <f t="shared" si="1"/>
        <v>0</v>
      </c>
      <c r="O59" s="11"/>
      <c r="P59" s="2">
        <f>--1509.11</f>
        <v>1509.11</v>
      </c>
      <c r="Q59" s="2"/>
      <c r="R59" s="19"/>
      <c r="S59" s="2"/>
      <c r="T59" s="2"/>
      <c r="U59" s="2"/>
      <c r="V59" s="19"/>
      <c r="W59" s="2"/>
      <c r="X59" s="2">
        <f t="shared" si="2"/>
        <v>1509.11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 t="shared" ref="D60:D61" si="5"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--2603.4</f>
        <v>2603.4</v>
      </c>
      <c r="Q60" s="2"/>
      <c r="R60" s="19"/>
      <c r="S60" s="2"/>
      <c r="T60" s="2"/>
      <c r="U60" s="2"/>
      <c r="V60" s="19"/>
      <c r="W60" s="2"/>
      <c r="X60" s="2">
        <f t="shared" si="2"/>
        <v>2603.4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 t="shared" si="5"/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--348.72</f>
        <v>348.72</v>
      </c>
      <c r="Q61" s="2"/>
      <c r="R61" s="19"/>
      <c r="S61" s="2"/>
      <c r="T61" s="2"/>
      <c r="U61" s="2"/>
      <c r="V61" s="19"/>
      <c r="W61" s="2"/>
      <c r="X61" s="2">
        <f t="shared" si="2"/>
        <v>348.72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--4058.22</f>
        <v>4058.22</v>
      </c>
      <c r="E62" s="2"/>
      <c r="F62" s="19"/>
      <c r="G62" s="2"/>
      <c r="H62" s="2"/>
      <c r="I62" s="2"/>
      <c r="J62" s="19"/>
      <c r="K62" s="2"/>
      <c r="L62" s="2">
        <f t="shared" si="0"/>
        <v>4058.22</v>
      </c>
      <c r="M62" s="2"/>
      <c r="N62" s="19">
        <f t="shared" si="1"/>
        <v>0</v>
      </c>
      <c r="O62" s="11"/>
      <c r="P62" s="2">
        <f>--39085.73</f>
        <v>39085.730000000003</v>
      </c>
      <c r="Q62" s="2"/>
      <c r="R62" s="19"/>
      <c r="S62" s="2"/>
      <c r="T62" s="2"/>
      <c r="U62" s="2"/>
      <c r="V62" s="19"/>
      <c r="W62" s="2"/>
      <c r="X62" s="2">
        <f t="shared" si="2"/>
        <v>39085.730000000003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--1170.81</f>
        <v>1170.81</v>
      </c>
      <c r="E63" s="2"/>
      <c r="F63" s="19"/>
      <c r="G63" s="2"/>
      <c r="H63" s="2"/>
      <c r="I63" s="2"/>
      <c r="J63" s="19"/>
      <c r="K63" s="2"/>
      <c r="L63" s="2">
        <f t="shared" si="0"/>
        <v>1170.81</v>
      </c>
      <c r="M63" s="2"/>
      <c r="N63" s="19">
        <f t="shared" si="1"/>
        <v>0</v>
      </c>
      <c r="O63" s="11"/>
      <c r="P63" s="2">
        <f>--11445.2</f>
        <v>11445.2</v>
      </c>
      <c r="Q63" s="2"/>
      <c r="R63" s="19"/>
      <c r="S63" s="2"/>
      <c r="T63" s="2"/>
      <c r="U63" s="2"/>
      <c r="V63" s="19"/>
      <c r="W63" s="2"/>
      <c r="X63" s="2">
        <f t="shared" si="2"/>
        <v>11445.2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--1305.22</f>
        <v>1305.22</v>
      </c>
      <c r="E64" s="2"/>
      <c r="F64" s="19"/>
      <c r="G64" s="2"/>
      <c r="H64" s="2"/>
      <c r="I64" s="2"/>
      <c r="J64" s="19"/>
      <c r="K64" s="2"/>
      <c r="L64" s="2">
        <f t="shared" si="0"/>
        <v>1305.22</v>
      </c>
      <c r="M64" s="2"/>
      <c r="N64" s="19">
        <f t="shared" si="1"/>
        <v>0</v>
      </c>
      <c r="O64" s="11"/>
      <c r="P64" s="2">
        <f>--12121.78</f>
        <v>12121.78</v>
      </c>
      <c r="Q64" s="2"/>
      <c r="R64" s="19"/>
      <c r="S64" s="2"/>
      <c r="T64" s="2"/>
      <c r="U64" s="2"/>
      <c r="V64" s="19"/>
      <c r="W64" s="2"/>
      <c r="X64" s="2">
        <f t="shared" si="2"/>
        <v>12121.78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--3.59</f>
        <v>3.59</v>
      </c>
      <c r="E65" s="2"/>
      <c r="F65" s="19"/>
      <c r="G65" s="2"/>
      <c r="H65" s="2"/>
      <c r="I65" s="2"/>
      <c r="J65" s="19"/>
      <c r="K65" s="2"/>
      <c r="L65" s="2">
        <f t="shared" si="0"/>
        <v>3.59</v>
      </c>
      <c r="M65" s="2"/>
      <c r="N65" s="19">
        <f t="shared" si="1"/>
        <v>0</v>
      </c>
      <c r="O65" s="11"/>
      <c r="P65" s="2">
        <f>--118.32</f>
        <v>118.32</v>
      </c>
      <c r="Q65" s="2"/>
      <c r="R65" s="19"/>
      <c r="S65" s="2"/>
      <c r="T65" s="2"/>
      <c r="U65" s="2"/>
      <c r="V65" s="19"/>
      <c r="W65" s="2"/>
      <c r="X65" s="2">
        <f t="shared" si="2"/>
        <v>118.32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--623.73</f>
        <v>623.73</v>
      </c>
      <c r="E66" s="2"/>
      <c r="F66" s="19"/>
      <c r="G66" s="2"/>
      <c r="H66" s="2"/>
      <c r="I66" s="2"/>
      <c r="J66" s="19"/>
      <c r="K66" s="2"/>
      <c r="L66" s="2">
        <f t="shared" si="0"/>
        <v>623.73</v>
      </c>
      <c r="M66" s="2"/>
      <c r="N66" s="19">
        <f t="shared" si="1"/>
        <v>0</v>
      </c>
      <c r="O66" s="11"/>
      <c r="P66" s="2">
        <f>--5913.07</f>
        <v>5913.07</v>
      </c>
      <c r="Q66" s="2"/>
      <c r="R66" s="19"/>
      <c r="S66" s="2"/>
      <c r="T66" s="2"/>
      <c r="U66" s="2"/>
      <c r="V66" s="19"/>
      <c r="W66" s="2"/>
      <c r="X66" s="2">
        <f t="shared" si="2"/>
        <v>5913.07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--18815.05</f>
        <v>18815.05</v>
      </c>
      <c r="E67" s="2"/>
      <c r="F67" s="19"/>
      <c r="G67" s="2"/>
      <c r="H67" s="2"/>
      <c r="I67" s="2"/>
      <c r="J67" s="19"/>
      <c r="K67" s="2"/>
      <c r="L67" s="2">
        <f t="shared" si="0"/>
        <v>18815.05</v>
      </c>
      <c r="M67" s="2"/>
      <c r="N67" s="19">
        <f t="shared" si="1"/>
        <v>0</v>
      </c>
      <c r="O67" s="11"/>
      <c r="P67" s="2">
        <f>--38823.84</f>
        <v>38823.839999999997</v>
      </c>
      <c r="Q67" s="2"/>
      <c r="R67" s="19"/>
      <c r="S67" s="2"/>
      <c r="T67" s="2"/>
      <c r="U67" s="2"/>
      <c r="V67" s="19"/>
      <c r="W67" s="2"/>
      <c r="X67" s="2">
        <f t="shared" si="2"/>
        <v>38823.839999999997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--699.6</f>
        <v>699.6</v>
      </c>
      <c r="E68" s="2"/>
      <c r="F68" s="19"/>
      <c r="G68" s="2"/>
      <c r="H68" s="2"/>
      <c r="I68" s="2"/>
      <c r="J68" s="19"/>
      <c r="K68" s="2"/>
      <c r="L68" s="2">
        <f t="shared" si="0"/>
        <v>699.6</v>
      </c>
      <c r="M68" s="2"/>
      <c r="N68" s="19">
        <f t="shared" si="1"/>
        <v>0</v>
      </c>
      <c r="O68" s="11"/>
      <c r="P68" s="2">
        <f>--2529.88</f>
        <v>2529.88</v>
      </c>
      <c r="Q68" s="2"/>
      <c r="R68" s="19"/>
      <c r="S68" s="2"/>
      <c r="T68" s="2"/>
      <c r="U68" s="2"/>
      <c r="V68" s="19"/>
      <c r="W68" s="2"/>
      <c r="X68" s="2">
        <f t="shared" si="2"/>
        <v>2529.88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--2554.55</f>
        <v>2554.5500000000002</v>
      </c>
      <c r="E69" s="2"/>
      <c r="F69" s="19"/>
      <c r="G69" s="2"/>
      <c r="H69" s="2"/>
      <c r="I69" s="2"/>
      <c r="J69" s="19"/>
      <c r="K69" s="2"/>
      <c r="L69" s="2">
        <f t="shared" si="0"/>
        <v>2554.5500000000002</v>
      </c>
      <c r="M69" s="2"/>
      <c r="N69" s="19">
        <f t="shared" si="1"/>
        <v>0</v>
      </c>
      <c r="O69" s="11"/>
      <c r="P69" s="2">
        <f>--10487.38</f>
        <v>10487.38</v>
      </c>
      <c r="Q69" s="2"/>
      <c r="R69" s="19"/>
      <c r="S69" s="2"/>
      <c r="T69" s="2"/>
      <c r="U69" s="2"/>
      <c r="V69" s="19"/>
      <c r="W69" s="2"/>
      <c r="X69" s="2">
        <f t="shared" si="2"/>
        <v>10487.38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--351.29</f>
        <v>351.29</v>
      </c>
      <c r="E70" s="2"/>
      <c r="F70" s="19"/>
      <c r="G70" s="2"/>
      <c r="H70" s="2"/>
      <c r="I70" s="2"/>
      <c r="J70" s="19"/>
      <c r="K70" s="2"/>
      <c r="L70" s="2">
        <f t="shared" si="0"/>
        <v>351.29</v>
      </c>
      <c r="M70" s="2"/>
      <c r="N70" s="19">
        <f t="shared" si="1"/>
        <v>0</v>
      </c>
      <c r="O70" s="11"/>
      <c r="P70" s="2">
        <f>--592.85</f>
        <v>592.85</v>
      </c>
      <c r="Q70" s="2"/>
      <c r="R70" s="19"/>
      <c r="S70" s="2"/>
      <c r="T70" s="2"/>
      <c r="U70" s="2"/>
      <c r="V70" s="19"/>
      <c r="W70" s="2"/>
      <c r="X70" s="2">
        <f t="shared" si="2"/>
        <v>592.85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--27126.9</f>
        <v>27126.9</v>
      </c>
      <c r="E72" s="2"/>
      <c r="F72" s="19"/>
      <c r="G72" s="2"/>
      <c r="H72" s="2"/>
      <c r="I72" s="2"/>
      <c r="J72" s="19"/>
      <c r="K72" s="2"/>
      <c r="L72" s="2">
        <f t="shared" si="0"/>
        <v>27126.9</v>
      </c>
      <c r="M72" s="2"/>
      <c r="N72" s="19">
        <f t="shared" si="1"/>
        <v>0</v>
      </c>
      <c r="O72" s="11"/>
      <c r="P72" s="2">
        <f>--146467.95</f>
        <v>146467.95000000001</v>
      </c>
      <c r="Q72" s="2"/>
      <c r="R72" s="19"/>
      <c r="S72" s="2"/>
      <c r="T72" s="2"/>
      <c r="U72" s="2"/>
      <c r="V72" s="19"/>
      <c r="W72" s="2"/>
      <c r="X72" s="2">
        <f t="shared" si="2"/>
        <v>146467.95000000001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--57.5</f>
        <v>57.5</v>
      </c>
      <c r="E73" s="2"/>
      <c r="F73" s="19"/>
      <c r="G73" s="2"/>
      <c r="H73" s="2"/>
      <c r="I73" s="2"/>
      <c r="J73" s="19"/>
      <c r="K73" s="2"/>
      <c r="L73" s="2">
        <f t="shared" si="0"/>
        <v>57.5</v>
      </c>
      <c r="M73" s="2"/>
      <c r="N73" s="19">
        <f t="shared" si="1"/>
        <v>0</v>
      </c>
      <c r="O73" s="11"/>
      <c r="P73" s="2">
        <f>--307.4</f>
        <v>307.39999999999998</v>
      </c>
      <c r="Q73" s="2"/>
      <c r="R73" s="19"/>
      <c r="S73" s="2"/>
      <c r="T73" s="2"/>
      <c r="U73" s="2"/>
      <c r="V73" s="19"/>
      <c r="W73" s="2"/>
      <c r="X73" s="2">
        <f t="shared" si="2"/>
        <v>307.39999999999998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--1462.51</f>
        <v>1462.51</v>
      </c>
      <c r="Q74" s="2"/>
      <c r="R74" s="19"/>
      <c r="S74" s="2"/>
      <c r="T74" s="2"/>
      <c r="U74" s="2"/>
      <c r="V74" s="19"/>
      <c r="W74" s="2"/>
      <c r="X74" s="2">
        <f t="shared" si="2"/>
        <v>1462.51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--8486</f>
        <v>8486</v>
      </c>
      <c r="E75" s="2"/>
      <c r="F75" s="19"/>
      <c r="G75" s="2"/>
      <c r="H75" s="2"/>
      <c r="I75" s="2"/>
      <c r="J75" s="19"/>
      <c r="K75" s="2"/>
      <c r="L75" s="2">
        <f t="shared" si="0"/>
        <v>8486</v>
      </c>
      <c r="M75" s="2"/>
      <c r="N75" s="19">
        <f t="shared" si="1"/>
        <v>0</v>
      </c>
      <c r="O75" s="11"/>
      <c r="P75" s="2">
        <f>--70795</f>
        <v>70795</v>
      </c>
      <c r="Q75" s="2"/>
      <c r="R75" s="19"/>
      <c r="S75" s="2"/>
      <c r="T75" s="2"/>
      <c r="U75" s="2"/>
      <c r="V75" s="19"/>
      <c r="W75" s="2"/>
      <c r="X75" s="2">
        <f t="shared" si="2"/>
        <v>70795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--266.75</f>
        <v>266.75</v>
      </c>
      <c r="E76" s="2"/>
      <c r="F76" s="19"/>
      <c r="G76" s="2"/>
      <c r="H76" s="2"/>
      <c r="I76" s="2"/>
      <c r="J76" s="19"/>
      <c r="K76" s="2"/>
      <c r="L76" s="2">
        <f t="shared" si="0"/>
        <v>266.75</v>
      </c>
      <c r="M76" s="2"/>
      <c r="N76" s="19">
        <f t="shared" si="1"/>
        <v>0</v>
      </c>
      <c r="O76" s="11"/>
      <c r="P76" s="2">
        <f>--3571.63</f>
        <v>3571.63</v>
      </c>
      <c r="Q76" s="2"/>
      <c r="R76" s="19"/>
      <c r="S76" s="2"/>
      <c r="T76" s="2"/>
      <c r="U76" s="2"/>
      <c r="V76" s="19"/>
      <c r="W76" s="2"/>
      <c r="X76" s="2">
        <f t="shared" si="2"/>
        <v>3571.63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--2728</f>
        <v>2728</v>
      </c>
      <c r="Q77" s="2"/>
      <c r="R77" s="19"/>
      <c r="S77" s="2"/>
      <c r="T77" s="2"/>
      <c r="U77" s="2"/>
      <c r="V77" s="19"/>
      <c r="W77" s="2"/>
      <c r="X77" s="2">
        <f t="shared" si="2"/>
        <v>2728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--437.97</f>
        <v>437.97</v>
      </c>
      <c r="E78" s="2"/>
      <c r="F78" s="19"/>
      <c r="G78" s="2"/>
      <c r="H78" s="2"/>
      <c r="I78" s="2"/>
      <c r="J78" s="19"/>
      <c r="K78" s="2"/>
      <c r="L78" s="2">
        <f t="shared" si="0"/>
        <v>437.97</v>
      </c>
      <c r="M78" s="2"/>
      <c r="N78" s="19">
        <f t="shared" si="1"/>
        <v>0</v>
      </c>
      <c r="O78" s="11"/>
      <c r="P78" s="2">
        <f>--9401.84</f>
        <v>9401.84</v>
      </c>
      <c r="Q78" s="2"/>
      <c r="R78" s="19"/>
      <c r="S78" s="2"/>
      <c r="T78" s="2"/>
      <c r="U78" s="2"/>
      <c r="V78" s="19"/>
      <c r="W78" s="2"/>
      <c r="X78" s="2">
        <f t="shared" si="2"/>
        <v>9401.84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--49.99</f>
        <v>49.99</v>
      </c>
      <c r="E79" s="2"/>
      <c r="F79" s="19"/>
      <c r="G79" s="2"/>
      <c r="H79" s="2"/>
      <c r="I79" s="2"/>
      <c r="J79" s="19"/>
      <c r="K79" s="2"/>
      <c r="L79" s="2">
        <f t="shared" si="0"/>
        <v>49.99</v>
      </c>
      <c r="M79" s="2"/>
      <c r="N79" s="19">
        <f t="shared" si="1"/>
        <v>0</v>
      </c>
      <c r="O79" s="11"/>
      <c r="P79" s="2">
        <f>--1622.39</f>
        <v>1622.39</v>
      </c>
      <c r="Q79" s="2"/>
      <c r="R79" s="19"/>
      <c r="S79" s="2"/>
      <c r="T79" s="2"/>
      <c r="U79" s="2"/>
      <c r="V79" s="19"/>
      <c r="W79" s="2"/>
      <c r="X79" s="2">
        <f t="shared" si="2"/>
        <v>1622.39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/>
      <c r="U80" s="2"/>
      <c r="V80" s="19"/>
      <c r="W80" s="2"/>
      <c r="X80" s="2">
        <f t="shared" si="2"/>
        <v>219.96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-631.8</f>
        <v>-631.79999999999995</v>
      </c>
      <c r="E81" s="2"/>
      <c r="F81" s="19"/>
      <c r="G81" s="2"/>
      <c r="H81" s="2"/>
      <c r="I81" s="2"/>
      <c r="J81" s="19"/>
      <c r="K81" s="2"/>
      <c r="L81" s="2">
        <f t="shared" si="0"/>
        <v>-631.79999999999995</v>
      </c>
      <c r="M81" s="2"/>
      <c r="N81" s="19">
        <f t="shared" si="1"/>
        <v>0</v>
      </c>
      <c r="O81" s="11"/>
      <c r="P81" s="2">
        <f>-78730.37</f>
        <v>-78730.37</v>
      </c>
      <c r="Q81" s="2"/>
      <c r="R81" s="19"/>
      <c r="S81" s="2"/>
      <c r="T81" s="2"/>
      <c r="U81" s="2"/>
      <c r="V81" s="19"/>
      <c r="W81" s="2"/>
      <c r="X81" s="2">
        <f t="shared" si="2"/>
        <v>-78730.37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-166.15</f>
        <v>-166.15</v>
      </c>
      <c r="E82" s="2"/>
      <c r="F82" s="19"/>
      <c r="G82" s="2"/>
      <c r="H82" s="2"/>
      <c r="I82" s="2"/>
      <c r="J82" s="19"/>
      <c r="K82" s="2"/>
      <c r="L82" s="2">
        <f t="shared" si="0"/>
        <v>-166.15</v>
      </c>
      <c r="M82" s="2"/>
      <c r="N82" s="19">
        <f t="shared" si="1"/>
        <v>0</v>
      </c>
      <c r="O82" s="11"/>
      <c r="P82" s="2">
        <f>-27208.35</f>
        <v>-27208.35</v>
      </c>
      <c r="Q82" s="2"/>
      <c r="R82" s="19"/>
      <c r="S82" s="2"/>
      <c r="T82" s="2"/>
      <c r="U82" s="2"/>
      <c r="V82" s="19"/>
      <c r="W82" s="2"/>
      <c r="X82" s="2">
        <f t="shared" si="2"/>
        <v>-27208.35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 t="shared" ref="D83:D85" si="6"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/>
      <c r="U83" s="2"/>
      <c r="V83" s="19"/>
      <c r="W83" s="2"/>
      <c r="X83" s="2">
        <f t="shared" si="2"/>
        <v>-144.99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 t="shared" si="6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-11369.46</f>
        <v>-11369.46</v>
      </c>
      <c r="Q84" s="2"/>
      <c r="R84" s="19"/>
      <c r="S84" s="2"/>
      <c r="T84" s="2"/>
      <c r="U84" s="2"/>
      <c r="V84" s="19"/>
      <c r="W84" s="2"/>
      <c r="X84" s="2">
        <f t="shared" si="2"/>
        <v>-11369.46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 t="shared" si="6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-102.71</f>
        <v>-102.71</v>
      </c>
      <c r="Q85" s="2"/>
      <c r="R85" s="19"/>
      <c r="S85" s="2"/>
      <c r="T85" s="2"/>
      <c r="U85" s="2"/>
      <c r="V85" s="19"/>
      <c r="W85" s="2"/>
      <c r="X85" s="2">
        <f t="shared" si="2"/>
        <v>-102.71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"4214", " - ", "SALES RETURN TAXABLE-REMAINDER")</f>
        <v xml:space="preserve">          4214 - SALES RETURN TAXABLE-REMAINDER</v>
      </c>
      <c r="C86" s="11"/>
      <c r="D86" s="2">
        <f>-11.94</f>
        <v>-11.94</v>
      </c>
      <c r="E86" s="2"/>
      <c r="F86" s="19"/>
      <c r="G86" s="2"/>
      <c r="H86" s="2"/>
      <c r="I86" s="2"/>
      <c r="J86" s="19"/>
      <c r="K86" s="2"/>
      <c r="L86" s="2">
        <f t="shared" si="0"/>
        <v>-11.94</v>
      </c>
      <c r="M86" s="2"/>
      <c r="N86" s="19">
        <f t="shared" si="1"/>
        <v>0</v>
      </c>
      <c r="O86" s="11"/>
      <c r="P86" s="2">
        <f>-11.94</f>
        <v>-11.94</v>
      </c>
      <c r="Q86" s="2"/>
      <c r="R86" s="19"/>
      <c r="S86" s="2"/>
      <c r="T86" s="2"/>
      <c r="U86" s="2"/>
      <c r="V86" s="19"/>
      <c r="W86" s="2"/>
      <c r="X86" s="2">
        <f t="shared" si="2"/>
        <v>-11.94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"4217", " - ", "NON-TAXABLE SALES-DORM/HOUSEWA")</f>
        <v xml:space="preserve">          4217 - NON-TAXABLE SALES-DORM/HOUSEWA</v>
      </c>
      <c r="C87" s="11"/>
      <c r="D87" s="2">
        <f t="shared" ref="D87:D88" si="7"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-2.98</f>
        <v>-2.98</v>
      </c>
      <c r="Q87" s="2"/>
      <c r="R87" s="19"/>
      <c r="S87" s="2"/>
      <c r="T87" s="2"/>
      <c r="U87" s="2"/>
      <c r="V87" s="19"/>
      <c r="W87" s="2"/>
      <c r="X87" s="2">
        <f t="shared" si="2"/>
        <v>-2.98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"4218", " - ", "SALES RETURN TAXABLE-STUDY GUI")</f>
        <v xml:space="preserve">          4218 - SALES RETURN TAXABLE-STUDY GUI</v>
      </c>
      <c r="C88" s="11"/>
      <c r="D88" s="2">
        <f t="shared" si="7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-32.75</f>
        <v>-32.75</v>
      </c>
      <c r="Q88" s="2"/>
      <c r="R88" s="19"/>
      <c r="S88" s="2"/>
      <c r="T88" s="2"/>
      <c r="U88" s="2"/>
      <c r="V88" s="19"/>
      <c r="W88" s="2"/>
      <c r="X88" s="2">
        <f t="shared" si="2"/>
        <v>-32.75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"4225", " - ", "SALES RETURN TAXABLE-TEST FORM")</f>
        <v xml:space="preserve">          4225 - SALES RETURN TAXABLE-TEST FORM</v>
      </c>
      <c r="C89" s="11"/>
      <c r="D89" s="2">
        <f>-15.51</f>
        <v>-15.51</v>
      </c>
      <c r="E89" s="2"/>
      <c r="F89" s="19"/>
      <c r="G89" s="2"/>
      <c r="H89" s="2"/>
      <c r="I89" s="2"/>
      <c r="J89" s="19"/>
      <c r="K89" s="2"/>
      <c r="L89" s="2">
        <f t="shared" si="0"/>
        <v>-15.51</v>
      </c>
      <c r="M89" s="2"/>
      <c r="N89" s="19">
        <f t="shared" si="1"/>
        <v>0</v>
      </c>
      <c r="O89" s="11"/>
      <c r="P89" s="2">
        <f>-80.97</f>
        <v>-80.97</v>
      </c>
      <c r="Q89" s="2"/>
      <c r="R89" s="19"/>
      <c r="S89" s="2"/>
      <c r="T89" s="2"/>
      <c r="U89" s="2"/>
      <c r="V89" s="19"/>
      <c r="W89" s="2"/>
      <c r="X89" s="2">
        <f t="shared" si="2"/>
        <v>-80.97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"4226", " - ", "SALES RETURN TAXABLE-WRITING I")</f>
        <v xml:space="preserve">          4226 - SALES RETURN TAXABLE-WRITING I</v>
      </c>
      <c r="C90" s="11"/>
      <c r="D90" s="2">
        <f>-41.65</f>
        <v>-41.65</v>
      </c>
      <c r="E90" s="2"/>
      <c r="F90" s="19"/>
      <c r="G90" s="2"/>
      <c r="H90" s="2"/>
      <c r="I90" s="2"/>
      <c r="J90" s="19"/>
      <c r="K90" s="2"/>
      <c r="L90" s="2">
        <f t="shared" si="0"/>
        <v>-41.65</v>
      </c>
      <c r="M90" s="2"/>
      <c r="N90" s="19">
        <f t="shared" si="1"/>
        <v>0</v>
      </c>
      <c r="O90" s="11"/>
      <c r="P90" s="2">
        <f>-531.36</f>
        <v>-531.36</v>
      </c>
      <c r="Q90" s="2"/>
      <c r="R90" s="19"/>
      <c r="S90" s="2"/>
      <c r="T90" s="2"/>
      <c r="U90" s="2"/>
      <c r="V90" s="19"/>
      <c r="W90" s="2"/>
      <c r="X90" s="2">
        <f t="shared" si="2"/>
        <v>-531.36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"4227", " - ", "SALES RETURN TAXABLE-SCHOOL SU")</f>
        <v xml:space="preserve">          4227 - SALES RETURN TAXABLE-SCHOOL SU</v>
      </c>
      <c r="C91" s="11"/>
      <c r="D91" s="2">
        <f>-204.76</f>
        <v>-204.76</v>
      </c>
      <c r="E91" s="2"/>
      <c r="F91" s="19"/>
      <c r="G91" s="2"/>
      <c r="H91" s="2"/>
      <c r="I91" s="2"/>
      <c r="J91" s="19"/>
      <c r="K91" s="2"/>
      <c r="L91" s="2">
        <f t="shared" si="0"/>
        <v>-204.76</v>
      </c>
      <c r="M91" s="2"/>
      <c r="N91" s="19">
        <f t="shared" si="1"/>
        <v>0</v>
      </c>
      <c r="O91" s="11"/>
      <c r="P91" s="2">
        <f>-5948.58</f>
        <v>-5948.58</v>
      </c>
      <c r="Q91" s="2"/>
      <c r="R91" s="19"/>
      <c r="S91" s="2"/>
      <c r="T91" s="2"/>
      <c r="U91" s="2"/>
      <c r="V91" s="19"/>
      <c r="W91" s="2"/>
      <c r="X91" s="2">
        <f t="shared" si="2"/>
        <v>-5948.58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"4228", " - ", "SALES RETURN TAXABLE-ART/TECH")</f>
        <v xml:space="preserve">          4228 - SALES RETURN TAXABLE-ART/TECH</v>
      </c>
      <c r="C92" s="11"/>
      <c r="D92" s="2">
        <f>-277.33</f>
        <v>-277.33</v>
      </c>
      <c r="E92" s="2"/>
      <c r="F92" s="19"/>
      <c r="G92" s="2"/>
      <c r="H92" s="2"/>
      <c r="I92" s="2"/>
      <c r="J92" s="19"/>
      <c r="K92" s="2"/>
      <c r="L92" s="2">
        <f t="shared" si="0"/>
        <v>-277.33</v>
      </c>
      <c r="M92" s="2"/>
      <c r="N92" s="19">
        <f t="shared" si="1"/>
        <v>0</v>
      </c>
      <c r="O92" s="11"/>
      <c r="P92" s="2">
        <f>-3148.62</f>
        <v>-3148.62</v>
      </c>
      <c r="Q92" s="2"/>
      <c r="R92" s="19"/>
      <c r="S92" s="2"/>
      <c r="T92" s="2"/>
      <c r="U92" s="2"/>
      <c r="V92" s="19"/>
      <c r="W92" s="2"/>
      <c r="X92" s="2">
        <f t="shared" si="2"/>
        <v>-3148.62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"4233", " - ", "SALES RETURN TAXABLE-CANDY")</f>
        <v xml:space="preserve">          4233 - SALES RETURN TAXABLE-CANDY</v>
      </c>
      <c r="C93" s="11"/>
      <c r="D93" s="2">
        <f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-1.29</f>
        <v>-1.29</v>
      </c>
      <c r="Q93" s="2"/>
      <c r="R93" s="19"/>
      <c r="S93" s="2"/>
      <c r="T93" s="2"/>
      <c r="U93" s="2"/>
      <c r="V93" s="19"/>
      <c r="W93" s="2"/>
      <c r="X93" s="2">
        <f t="shared" si="2"/>
        <v>-1.29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-8212.91</f>
        <v>-8212.91</v>
      </c>
      <c r="E94" s="2"/>
      <c r="F94" s="19"/>
      <c r="G94" s="2"/>
      <c r="H94" s="2"/>
      <c r="I94" s="2"/>
      <c r="J94" s="19"/>
      <c r="K94" s="2"/>
      <c r="L94" s="2">
        <f t="shared" si="0"/>
        <v>-8212.91</v>
      </c>
      <c r="M94" s="2"/>
      <c r="N94" s="19">
        <f t="shared" si="1"/>
        <v>0</v>
      </c>
      <c r="O94" s="11"/>
      <c r="P94" s="2">
        <f>-49321.94</f>
        <v>-49321.94</v>
      </c>
      <c r="Q94" s="2"/>
      <c r="R94" s="19"/>
      <c r="S94" s="2"/>
      <c r="T94" s="2"/>
      <c r="U94" s="2"/>
      <c r="V94" s="19"/>
      <c r="W94" s="2"/>
      <c r="X94" s="2">
        <f t="shared" si="2"/>
        <v>-49321.94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-939.28</f>
        <v>-939.28</v>
      </c>
      <c r="E95" s="2"/>
      <c r="F95" s="19"/>
      <c r="G95" s="2"/>
      <c r="H95" s="2"/>
      <c r="I95" s="2"/>
      <c r="J95" s="19"/>
      <c r="K95" s="2"/>
      <c r="L95" s="2">
        <f t="shared" si="0"/>
        <v>-939.28</v>
      </c>
      <c r="M95" s="2"/>
      <c r="N95" s="19">
        <f t="shared" si="1"/>
        <v>0</v>
      </c>
      <c r="O95" s="11"/>
      <c r="P95" s="2">
        <f>-4148.87</f>
        <v>-4148.87</v>
      </c>
      <c r="Q95" s="2"/>
      <c r="R95" s="19"/>
      <c r="S95" s="2"/>
      <c r="T95" s="2"/>
      <c r="U95" s="2"/>
      <c r="V95" s="19"/>
      <c r="W95" s="2"/>
      <c r="X95" s="2">
        <f t="shared" si="2"/>
        <v>-4148.87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>-1097.55</f>
        <v>-1097.55</v>
      </c>
      <c r="E96" s="2"/>
      <c r="F96" s="19"/>
      <c r="G96" s="2"/>
      <c r="H96" s="2"/>
      <c r="I96" s="2"/>
      <c r="J96" s="19"/>
      <c r="K96" s="2"/>
      <c r="L96" s="2">
        <f t="shared" si="0"/>
        <v>-1097.55</v>
      </c>
      <c r="M96" s="2"/>
      <c r="N96" s="19">
        <f t="shared" si="1"/>
        <v>0</v>
      </c>
      <c r="O96" s="11"/>
      <c r="P96" s="2">
        <f>-2789.42</f>
        <v>-2789.42</v>
      </c>
      <c r="Q96" s="2"/>
      <c r="R96" s="19"/>
      <c r="S96" s="2"/>
      <c r="T96" s="2"/>
      <c r="U96" s="2"/>
      <c r="V96" s="19"/>
      <c r="W96" s="2"/>
      <c r="X96" s="2">
        <f t="shared" si="2"/>
        <v>-2789.42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>-558.63</f>
        <v>-558.63</v>
      </c>
      <c r="E97" s="2"/>
      <c r="F97" s="19"/>
      <c r="G97" s="2"/>
      <c r="H97" s="2"/>
      <c r="I97" s="2"/>
      <c r="J97" s="19"/>
      <c r="K97" s="2"/>
      <c r="L97" s="2">
        <f t="shared" si="0"/>
        <v>-558.63</v>
      </c>
      <c r="M97" s="2"/>
      <c r="N97" s="19">
        <f t="shared" si="1"/>
        <v>0</v>
      </c>
      <c r="O97" s="11"/>
      <c r="P97" s="2">
        <f>-879.47</f>
        <v>-879.47</v>
      </c>
      <c r="Q97" s="2"/>
      <c r="R97" s="19"/>
      <c r="S97" s="2"/>
      <c r="T97" s="2"/>
      <c r="U97" s="2"/>
      <c r="V97" s="19"/>
      <c r="W97" s="2"/>
      <c r="X97" s="2">
        <f t="shared" si="2"/>
        <v>-879.47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-202.71</f>
        <v>-202.71</v>
      </c>
      <c r="E98" s="2"/>
      <c r="F98" s="19"/>
      <c r="G98" s="2"/>
      <c r="H98" s="2"/>
      <c r="I98" s="2"/>
      <c r="J98" s="19"/>
      <c r="K98" s="2"/>
      <c r="L98" s="2">
        <f t="shared" si="0"/>
        <v>-202.71</v>
      </c>
      <c r="M98" s="2"/>
      <c r="N98" s="19">
        <f t="shared" si="1"/>
        <v>0</v>
      </c>
      <c r="O98" s="11"/>
      <c r="P98" s="2">
        <f>-1731.77</f>
        <v>-1731.77</v>
      </c>
      <c r="Q98" s="2"/>
      <c r="R98" s="19"/>
      <c r="S98" s="2"/>
      <c r="T98" s="2"/>
      <c r="U98" s="2"/>
      <c r="V98" s="19"/>
      <c r="W98" s="2"/>
      <c r="X98" s="2">
        <f t="shared" si="2"/>
        <v>-1731.77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-91.96</f>
        <v>-91.96</v>
      </c>
      <c r="Q99" s="2"/>
      <c r="R99" s="19"/>
      <c r="S99" s="2"/>
      <c r="T99" s="2"/>
      <c r="U99" s="2"/>
      <c r="V99" s="19"/>
      <c r="W99" s="2"/>
      <c r="X99" s="2">
        <f t="shared" si="2"/>
        <v>-91.96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-814.9</f>
        <v>-814.9</v>
      </c>
      <c r="E100" s="2"/>
      <c r="F100" s="19"/>
      <c r="G100" s="2"/>
      <c r="H100" s="2"/>
      <c r="I100" s="2"/>
      <c r="J100" s="19"/>
      <c r="K100" s="2"/>
      <c r="L100" s="2">
        <f t="shared" si="0"/>
        <v>-814.9</v>
      </c>
      <c r="M100" s="2"/>
      <c r="N100" s="19">
        <f t="shared" si="1"/>
        <v>0</v>
      </c>
      <c r="O100" s="11"/>
      <c r="P100" s="2">
        <f>-5861.96</f>
        <v>-5861.96</v>
      </c>
      <c r="Q100" s="2"/>
      <c r="R100" s="19"/>
      <c r="S100" s="2"/>
      <c r="T100" s="2"/>
      <c r="U100" s="2"/>
      <c r="V100" s="19"/>
      <c r="W100" s="2"/>
      <c r="X100" s="2">
        <f t="shared" si="2"/>
        <v>-5861.96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"4282", " - ", "SALES RETURN TAXABLE-COMPUTER")</f>
        <v xml:space="preserve">          4282 - SALES RETURN TAXABLE-COMPUTER</v>
      </c>
      <c r="C101" s="11"/>
      <c r="D101" s="2">
        <f>-7175.99</f>
        <v>-7175.99</v>
      </c>
      <c r="E101" s="2"/>
      <c r="F101" s="19"/>
      <c r="G101" s="2"/>
      <c r="H101" s="2"/>
      <c r="I101" s="2"/>
      <c r="J101" s="19"/>
      <c r="K101" s="2"/>
      <c r="L101" s="2">
        <f t="shared" si="0"/>
        <v>-7175.99</v>
      </c>
      <c r="M101" s="2"/>
      <c r="N101" s="19">
        <f t="shared" si="1"/>
        <v>0</v>
      </c>
      <c r="O101" s="11"/>
      <c r="P101" s="2">
        <f>-187653.58</f>
        <v>-187653.58</v>
      </c>
      <c r="Q101" s="2"/>
      <c r="R101" s="19"/>
      <c r="S101" s="2"/>
      <c r="T101" s="2"/>
      <c r="U101" s="2"/>
      <c r="V101" s="19"/>
      <c r="W101" s="2"/>
      <c r="X101" s="2">
        <f t="shared" si="2"/>
        <v>-187653.58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"4283", " - ", "SALES RETURN TAXABLE-COMPUTER")</f>
        <v xml:space="preserve">          4283 - SALES RETURN TAXABLE-COMPUTER</v>
      </c>
      <c r="C102" s="11"/>
      <c r="D102" s="2">
        <f>-325.91</f>
        <v>-325.91000000000003</v>
      </c>
      <c r="E102" s="2"/>
      <c r="F102" s="19"/>
      <c r="G102" s="2"/>
      <c r="H102" s="2"/>
      <c r="I102" s="2"/>
      <c r="J102" s="19"/>
      <c r="K102" s="2"/>
      <c r="L102" s="2">
        <f t="shared" si="0"/>
        <v>-325.91000000000003</v>
      </c>
      <c r="M102" s="2"/>
      <c r="N102" s="19">
        <f t="shared" si="1"/>
        <v>0</v>
      </c>
      <c r="O102" s="11"/>
      <c r="P102" s="2">
        <f>-3282.15</f>
        <v>-3282.15</v>
      </c>
      <c r="Q102" s="2"/>
      <c r="R102" s="19"/>
      <c r="S102" s="2"/>
      <c r="T102" s="2"/>
      <c r="U102" s="2"/>
      <c r="V102" s="19"/>
      <c r="W102" s="2"/>
      <c r="X102" s="2">
        <f t="shared" si="2"/>
        <v>-3282.15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"4284", " - ", "SALES RETURN TAXABLE-SOFTWARE")</f>
        <v xml:space="preserve">          4284 - SALES RETURN TAXABLE-SOFTWARE</v>
      </c>
      <c r="C103" s="11"/>
      <c r="D103" s="2">
        <f t="shared" ref="D103:D104" si="8"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-129</f>
        <v>-129</v>
      </c>
      <c r="Q103" s="2"/>
      <c r="R103" s="19"/>
      <c r="S103" s="2"/>
      <c r="T103" s="2"/>
      <c r="U103" s="2"/>
      <c r="V103" s="19"/>
      <c r="W103" s="2"/>
      <c r="X103" s="2">
        <f t="shared" si="2"/>
        <v>-129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"4285", " - ", "SALES RETURN TAXABLE-SOFTWARE")</f>
        <v xml:space="preserve">          4285 - SALES RETURN TAXABLE-SOFTWARE</v>
      </c>
      <c r="C104" s="11"/>
      <c r="D104" s="2">
        <f t="shared" si="8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-655.98</f>
        <v>-655.98</v>
      </c>
      <c r="Q104" s="2"/>
      <c r="R104" s="19"/>
      <c r="S104" s="2"/>
      <c r="T104" s="2"/>
      <c r="U104" s="2"/>
      <c r="V104" s="19"/>
      <c r="W104" s="2"/>
      <c r="X104" s="2">
        <f t="shared" si="2"/>
        <v>-655.98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"4286", " - ", "SALES RETURN TAXABLE-COMPUTER")</f>
        <v xml:space="preserve">          4286 - SALES RETURN TAXABLE-COMPUTER</v>
      </c>
      <c r="C105" s="11"/>
      <c r="D105" s="2">
        <f>-195.9</f>
        <v>-195.9</v>
      </c>
      <c r="E105" s="2"/>
      <c r="F105" s="19"/>
      <c r="G105" s="2"/>
      <c r="H105" s="2"/>
      <c r="I105" s="2"/>
      <c r="J105" s="19"/>
      <c r="K105" s="2"/>
      <c r="L105" s="2">
        <f t="shared" si="0"/>
        <v>-195.9</v>
      </c>
      <c r="M105" s="2"/>
      <c r="N105" s="19">
        <f t="shared" si="1"/>
        <v>0</v>
      </c>
      <c r="O105" s="11"/>
      <c r="P105" s="2">
        <f>-2987.89</f>
        <v>-2987.89</v>
      </c>
      <c r="Q105" s="2"/>
      <c r="R105" s="19"/>
      <c r="S105" s="2"/>
      <c r="T105" s="2"/>
      <c r="U105" s="2"/>
      <c r="V105" s="19"/>
      <c r="W105" s="2"/>
      <c r="X105" s="2">
        <f t="shared" si="2"/>
        <v>-2987.89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"4288", " - ", "TAXABLE SALES RETURN-MUSIC")</f>
        <v xml:space="preserve">          4288 - TAXABLE SALES RETURN-MUSIC</v>
      </c>
      <c r="C106" s="11"/>
      <c r="D106" s="2">
        <f t="shared" ref="D106:D109" si="9"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-3.99</f>
        <v>-3.99</v>
      </c>
      <c r="Q106" s="2"/>
      <c r="R106" s="19"/>
      <c r="S106" s="2"/>
      <c r="T106" s="2"/>
      <c r="U106" s="2"/>
      <c r="V106" s="19"/>
      <c r="W106" s="2"/>
      <c r="X106" s="2">
        <f t="shared" si="2"/>
        <v>-3.99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"4292", " - ", "SALES RETURN TAXABLE-GRAD MERC")</f>
        <v xml:space="preserve">          4292 - SALES RETURN TAXABLE-GRAD MERC</v>
      </c>
      <c r="C107" s="11"/>
      <c r="D107" s="2">
        <f t="shared" si="9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-419.05</f>
        <v>-419.05</v>
      </c>
      <c r="Q107" s="2"/>
      <c r="R107" s="19"/>
      <c r="S107" s="2"/>
      <c r="T107" s="2"/>
      <c r="U107" s="2"/>
      <c r="V107" s="19"/>
      <c r="W107" s="2"/>
      <c r="X107" s="2">
        <f t="shared" si="2"/>
        <v>-419.05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"4295", " - ", "SALES RETURN TAXABLE-CUSTOMER")</f>
        <v xml:space="preserve">          4295 - SALES RETURN TAXABLE-CUSTOMER</v>
      </c>
      <c r="C108" s="11"/>
      <c r="D108" s="2">
        <f t="shared" si="9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--0.99</f>
        <v>0.99</v>
      </c>
      <c r="Q108" s="2"/>
      <c r="R108" s="19"/>
      <c r="S108" s="2"/>
      <c r="T108" s="2"/>
      <c r="U108" s="2"/>
      <c r="V108" s="19"/>
      <c r="W108" s="2"/>
      <c r="X108" s="2">
        <f t="shared" si="2"/>
        <v>0.99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"4301", " - ", "SALES RETURN NON TAXABLE-NEW T")</f>
        <v xml:space="preserve">          4301 - SALES RETURN NON TAXABLE-NEW T</v>
      </c>
      <c r="C109" s="11"/>
      <c r="D109" s="2">
        <f t="shared" si="9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-12310.98</f>
        <v>-12310.98</v>
      </c>
      <c r="Q109" s="2"/>
      <c r="R109" s="19"/>
      <c r="S109" s="2"/>
      <c r="T109" s="2"/>
      <c r="U109" s="2"/>
      <c r="V109" s="19"/>
      <c r="W109" s="2"/>
      <c r="X109" s="2">
        <f t="shared" si="2"/>
        <v>-12310.98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"4302", " - ", "SALES RETURN NON TAXABLE-TEXT")</f>
        <v xml:space="preserve">          4302 - SALES RETURN NON TAXABLE-TEXT</v>
      </c>
      <c r="C110" s="11"/>
      <c r="D110" s="2">
        <f>-14.1</f>
        <v>-14.1</v>
      </c>
      <c r="E110" s="2"/>
      <c r="F110" s="19"/>
      <c r="G110" s="2"/>
      <c r="H110" s="2"/>
      <c r="I110" s="2"/>
      <c r="J110" s="19"/>
      <c r="K110" s="2"/>
      <c r="L110" s="2">
        <f t="shared" si="0"/>
        <v>-14.1</v>
      </c>
      <c r="M110" s="2"/>
      <c r="N110" s="19">
        <f t="shared" si="1"/>
        <v>0</v>
      </c>
      <c r="O110" s="11"/>
      <c r="P110" s="2">
        <f>-697.9</f>
        <v>-697.9</v>
      </c>
      <c r="Q110" s="2"/>
      <c r="R110" s="19"/>
      <c r="S110" s="2"/>
      <c r="T110" s="2"/>
      <c r="U110" s="2"/>
      <c r="V110" s="19"/>
      <c r="W110" s="2"/>
      <c r="X110" s="2">
        <f t="shared" si="2"/>
        <v>-697.9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"4303", " - ", "SALES RETURN NON-TAXABLE-RENTA")</f>
        <v xml:space="preserve">          4303 - SALES RETURN NON-TAXABLE-RENTA</v>
      </c>
      <c r="C111" s="11"/>
      <c r="D111" s="2">
        <f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-184.99</f>
        <v>-184.99</v>
      </c>
      <c r="Q111" s="2"/>
      <c r="R111" s="19"/>
      <c r="S111" s="2"/>
      <c r="T111" s="2"/>
      <c r="U111" s="2"/>
      <c r="V111" s="19"/>
      <c r="W111" s="2"/>
      <c r="X111" s="2">
        <f t="shared" si="2"/>
        <v>-184.99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"4304", " - ", "SALES RETURN NON TAXABLE-DIGIT")</f>
        <v xml:space="preserve">          4304 - SALES RETURN NON TAXABLE-DIGIT</v>
      </c>
      <c r="C112" s="11"/>
      <c r="D112" s="2">
        <f>-226.45</f>
        <v>-226.45</v>
      </c>
      <c r="E112" s="2"/>
      <c r="F112" s="19"/>
      <c r="G112" s="2"/>
      <c r="H112" s="2"/>
      <c r="I112" s="2"/>
      <c r="J112" s="19"/>
      <c r="K112" s="2"/>
      <c r="L112" s="2">
        <f t="shared" si="0"/>
        <v>-226.45</v>
      </c>
      <c r="M112" s="2"/>
      <c r="N112" s="19">
        <f t="shared" si="1"/>
        <v>0</v>
      </c>
      <c r="O112" s="11"/>
      <c r="P112" s="2">
        <f>-13430.32</f>
        <v>-13430.32</v>
      </c>
      <c r="Q112" s="2"/>
      <c r="R112" s="19"/>
      <c r="S112" s="2"/>
      <c r="T112" s="2"/>
      <c r="U112" s="2"/>
      <c r="V112" s="19"/>
      <c r="W112" s="2"/>
      <c r="X112" s="2">
        <f t="shared" si="2"/>
        <v>-13430.32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"4311", " - ", "SALES RETURN NON TAXABLE-NO VA")</f>
        <v xml:space="preserve">          4311 - SALES RETURN NON TAXABLE-NO VA</v>
      </c>
      <c r="C113" s="11"/>
      <c r="D113" s="2">
        <f t="shared" ref="D113:D114" si="10">0</f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-387.96</f>
        <v>-387.96</v>
      </c>
      <c r="Q113" s="2"/>
      <c r="R113" s="19"/>
      <c r="S113" s="2"/>
      <c r="T113" s="2"/>
      <c r="U113" s="2"/>
      <c r="V113" s="19"/>
      <c r="W113" s="2"/>
      <c r="X113" s="2">
        <f t="shared" si="2"/>
        <v>-387.96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"4327", " - ", "SALES RETURN NON TAXABLE-SCHOO")</f>
        <v xml:space="preserve">          4327 - SALES RETURN NON TAXABLE-SCHOO</v>
      </c>
      <c r="C114" s="11"/>
      <c r="D114" s="2">
        <f t="shared" si="10"/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-21.87</f>
        <v>-21.87</v>
      </c>
      <c r="Q114" s="2"/>
      <c r="R114" s="19"/>
      <c r="S114" s="2"/>
      <c r="T114" s="2"/>
      <c r="U114" s="2"/>
      <c r="V114" s="19"/>
      <c r="W114" s="2"/>
      <c r="X114" s="2">
        <f t="shared" si="2"/>
        <v>-21.87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"4340", " - ", "SALES RETURN NON TAXABLE-LOGO")</f>
        <v xml:space="preserve">          4340 - SALES RETURN NON TAXABLE-LOGO</v>
      </c>
      <c r="C115" s="11"/>
      <c r="D115" s="2">
        <f>-391.5</f>
        <v>-391.5</v>
      </c>
      <c r="E115" s="2"/>
      <c r="F115" s="19"/>
      <c r="G115" s="2"/>
      <c r="H115" s="2"/>
      <c r="I115" s="2"/>
      <c r="J115" s="19"/>
      <c r="K115" s="2"/>
      <c r="L115" s="2">
        <f t="shared" si="0"/>
        <v>-391.5</v>
      </c>
      <c r="M115" s="2"/>
      <c r="N115" s="19">
        <f t="shared" si="1"/>
        <v>0</v>
      </c>
      <c r="O115" s="11"/>
      <c r="P115" s="2">
        <f>-714.9</f>
        <v>-714.9</v>
      </c>
      <c r="Q115" s="2"/>
      <c r="R115" s="19"/>
      <c r="S115" s="2"/>
      <c r="T115" s="2"/>
      <c r="U115" s="2"/>
      <c r="V115" s="19"/>
      <c r="W115" s="2"/>
      <c r="X115" s="2">
        <f t="shared" si="2"/>
        <v>-714.9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"4341", " - ", "SALES RETURN NON TAXABLE-LOGO")</f>
        <v xml:space="preserve">          4341 - SALES RETURN NON TAXABLE-LOGO</v>
      </c>
      <c r="C116" s="11"/>
      <c r="D116" s="2">
        <f>-9.95</f>
        <v>-9.9499999999999993</v>
      </c>
      <c r="E116" s="2"/>
      <c r="F116" s="19"/>
      <c r="G116" s="2"/>
      <c r="H116" s="2"/>
      <c r="I116" s="2"/>
      <c r="J116" s="19"/>
      <c r="K116" s="2"/>
      <c r="L116" s="2">
        <f t="shared" si="0"/>
        <v>-9.9499999999999993</v>
      </c>
      <c r="M116" s="2"/>
      <c r="N116" s="19">
        <f t="shared" si="1"/>
        <v>0</v>
      </c>
      <c r="O116" s="11"/>
      <c r="P116" s="2">
        <f>-20.85</f>
        <v>-20.85</v>
      </c>
      <c r="Q116" s="2"/>
      <c r="R116" s="19"/>
      <c r="S116" s="2"/>
      <c r="T116" s="2"/>
      <c r="U116" s="2"/>
      <c r="V116" s="19"/>
      <c r="W116" s="2"/>
      <c r="X116" s="2">
        <f t="shared" si="2"/>
        <v>-20.85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"4342", " - ", "SALES RETURN NON TAXABLE-EVERY")</f>
        <v xml:space="preserve">          4342 - SALES RETURN NON TAXABLE-EVERY</v>
      </c>
      <c r="C117" s="11"/>
      <c r="D117" s="2">
        <f t="shared" ref="D117:D121" si="11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-109.8</f>
        <v>-109.8</v>
      </c>
      <c r="Q117" s="2"/>
      <c r="R117" s="19"/>
      <c r="S117" s="2"/>
      <c r="T117" s="2"/>
      <c r="U117" s="2"/>
      <c r="V117" s="19"/>
      <c r="W117" s="2"/>
      <c r="X117" s="2">
        <f t="shared" si="2"/>
        <v>-109.8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"4346", " - ", "SALES RETURN NON TAXABLE-COIN-")</f>
        <v xml:space="preserve">          4346 - SALES RETURN NON TAXABLE-COIN-</v>
      </c>
      <c r="C118" s="11"/>
      <c r="D118" s="2">
        <f t="shared" si="11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-8.15</f>
        <v>-8.15</v>
      </c>
      <c r="Q118" s="2"/>
      <c r="R118" s="19"/>
      <c r="S118" s="2"/>
      <c r="T118" s="2"/>
      <c r="U118" s="2"/>
      <c r="V118" s="19"/>
      <c r="W118" s="2"/>
      <c r="X118" s="2">
        <f t="shared" si="2"/>
        <v>-8.15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"4381", " - ", "SALES RETURN NON TAXABLE-ELECT")</f>
        <v xml:space="preserve">          4381 - SALES RETURN NON TAXABLE-ELECT</v>
      </c>
      <c r="C119" s="11"/>
      <c r="D119" s="2">
        <f t="shared" si="11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-1279.84</f>
        <v>-1279.8399999999999</v>
      </c>
      <c r="Q119" s="2"/>
      <c r="R119" s="19"/>
      <c r="S119" s="2"/>
      <c r="T119" s="2"/>
      <c r="U119" s="2"/>
      <c r="V119" s="19"/>
      <c r="W119" s="2"/>
      <c r="X119" s="2">
        <f t="shared" si="2"/>
        <v>-1279.8399999999999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"4383", " - ", "SALES RETURN NON TAXABLE-COMPU")</f>
        <v xml:space="preserve">          4383 - SALES RETURN NON TAXABLE-COMPU</v>
      </c>
      <c r="C120" s="11"/>
      <c r="D120" s="2">
        <f t="shared" si="11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-49.98</f>
        <v>-49.98</v>
      </c>
      <c r="Q120" s="2"/>
      <c r="R120" s="19"/>
      <c r="S120" s="2"/>
      <c r="T120" s="2"/>
      <c r="U120" s="2"/>
      <c r="V120" s="19"/>
      <c r="W120" s="2"/>
      <c r="X120" s="2">
        <f t="shared" si="2"/>
        <v>-49.98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"4386", " - ", "SALES RETURN NON TAXABLE-COMPU")</f>
        <v xml:space="preserve">          4386 - SALES RETURN NON TAXABLE-COMPU</v>
      </c>
      <c r="C121" s="11"/>
      <c r="D121" s="2">
        <f t="shared" si="11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-54.97</f>
        <v>-54.97</v>
      </c>
      <c r="Q121" s="2"/>
      <c r="R121" s="19"/>
      <c r="S121" s="2"/>
      <c r="T121" s="2"/>
      <c r="U121" s="2"/>
      <c r="V121" s="19"/>
      <c r="W121" s="2"/>
      <c r="X121" s="2">
        <f t="shared" si="2"/>
        <v>-54.97</v>
      </c>
      <c r="Y121" s="2"/>
      <c r="Z121" s="19">
        <f t="shared" si="3"/>
        <v>0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collapsed="1" x14ac:dyDescent="0.25">
      <c r="A123" s="10"/>
      <c r="B123" s="28" t="s">
        <v>8</v>
      </c>
      <c r="C123" s="10"/>
      <c r="D123" s="4">
        <f>SUM(OSRRefD16x_0)</f>
        <v>264708.85000000009</v>
      </c>
      <c r="E123" s="4"/>
      <c r="F123" s="12">
        <f t="shared" ref="F123:F181" si="12">IF(D$12=0,0,D123/D$12)</f>
        <v>0.5008663070174515</v>
      </c>
      <c r="G123" s="4"/>
      <c r="H123" s="4">
        <f>SUM(OSRRefH16x_0)</f>
        <v>356209.75766999996</v>
      </c>
      <c r="I123" s="4"/>
      <c r="J123" s="12">
        <f t="shared" ref="J123:J181" si="13">IF(H$12=0,0,H123/H$12)</f>
        <v>0.50666490128721742</v>
      </c>
      <c r="K123" s="4"/>
      <c r="L123" s="4">
        <f t="shared" ref="L123:L181" si="14">+D123-H123</f>
        <v>-91500.90766999987</v>
      </c>
      <c r="M123" s="4"/>
      <c r="N123" s="12">
        <f t="shared" ref="N123:N181" si="15">IF(H123=0,0,L123/H123)</f>
        <v>-0.25687366979645793</v>
      </c>
      <c r="O123" s="10"/>
      <c r="P123" s="4">
        <f>SUM(OSRRefP16x_0)</f>
        <v>4627473.8099999977</v>
      </c>
      <c r="Q123" s="4"/>
      <c r="R123" s="12">
        <f t="shared" ref="R123:R181" si="16">IF(P$12=0,0,P123/P$12)</f>
        <v>0.65188853134109093</v>
      </c>
      <c r="S123" s="4"/>
      <c r="T123" s="4">
        <f>SUM(OSRRefT16x_0)</f>
        <v>4456698.8078600001</v>
      </c>
      <c r="U123" s="4"/>
      <c r="V123" s="12">
        <f t="shared" ref="V123:V181" si="17">IF(T$12=0,0,T123/T$12)</f>
        <v>0.61381024898474146</v>
      </c>
      <c r="W123" s="4"/>
      <c r="X123" s="4">
        <f t="shared" ref="X123:X181" si="18">+P123-T123</f>
        <v>170775.00213999767</v>
      </c>
      <c r="Y123" s="4"/>
      <c r="Z123" s="12">
        <f t="shared" ref="Z123:Z181" si="19">IF(T123=0,0,X123/T123)</f>
        <v>3.8318721884192067E-2</v>
      </c>
    </row>
    <row r="124" spans="1:26" s="24" customFormat="1" hidden="1" outlineLevel="1" x14ac:dyDescent="0.25">
      <c r="A124" s="44"/>
      <c r="B124" s="11" t="str">
        <f>CONCATENATE("          ", "5000", " - ", "PURCHASES @ COST")</f>
        <v xml:space="preserve">          5000 - PURCHASES @ COST</v>
      </c>
      <c r="C124" s="11"/>
      <c r="D124" s="2"/>
      <c r="E124" s="2"/>
      <c r="F124" s="19">
        <f t="shared" si="12"/>
        <v>0</v>
      </c>
      <c r="G124" s="2"/>
      <c r="H124" s="2">
        <v>356209.75766999996</v>
      </c>
      <c r="I124" s="2"/>
      <c r="J124" s="19">
        <f t="shared" si="13"/>
        <v>0.50666490128721742</v>
      </c>
      <c r="K124" s="2"/>
      <c r="L124" s="2">
        <f t="shared" si="14"/>
        <v>-356209.75766999996</v>
      </c>
      <c r="M124" s="2"/>
      <c r="N124" s="19">
        <f t="shared" si="15"/>
        <v>-1</v>
      </c>
      <c r="O124" s="11"/>
      <c r="P124" s="2"/>
      <c r="Q124" s="2"/>
      <c r="R124" s="19">
        <f t="shared" si="16"/>
        <v>0</v>
      </c>
      <c r="S124" s="2"/>
      <c r="T124" s="2">
        <v>4456698.8078600001</v>
      </c>
      <c r="U124" s="2"/>
      <c r="V124" s="19">
        <f t="shared" si="17"/>
        <v>0.61381024898474146</v>
      </c>
      <c r="W124" s="2"/>
      <c r="X124" s="2">
        <f t="shared" si="18"/>
        <v>-4456698.8078600001</v>
      </c>
      <c r="Y124" s="2"/>
      <c r="Z124" s="19">
        <f t="shared" si="19"/>
        <v>-1</v>
      </c>
    </row>
    <row r="125" spans="1:26" s="24" customFormat="1" hidden="1" outlineLevel="1" x14ac:dyDescent="0.25">
      <c r="A125" s="44"/>
      <c r="B125" s="11" t="str">
        <f>CONCATENATE("          ", "5001", " - ", "PURCHASES @ COST-NEW TEXT")</f>
        <v xml:space="preserve">          5001 - PURCHASES @ COST-NEW TEXT</v>
      </c>
      <c r="C125" s="11"/>
      <c r="D125" s="2">
        <v>155219.06</v>
      </c>
      <c r="E125" s="2"/>
      <c r="F125" s="19">
        <f t="shared" si="12"/>
        <v>0.29369625292437407</v>
      </c>
      <c r="G125" s="2"/>
      <c r="H125" s="2"/>
      <c r="I125" s="2"/>
      <c r="J125" s="19">
        <f t="shared" si="13"/>
        <v>0</v>
      </c>
      <c r="K125" s="2"/>
      <c r="L125" s="2">
        <f t="shared" si="14"/>
        <v>155219.06</v>
      </c>
      <c r="M125" s="2"/>
      <c r="N125" s="19">
        <f t="shared" si="15"/>
        <v>0</v>
      </c>
      <c r="O125" s="11"/>
      <c r="P125" s="2">
        <v>1737069.75</v>
      </c>
      <c r="Q125" s="2"/>
      <c r="R125" s="19">
        <f t="shared" si="16"/>
        <v>0.24470713280266765</v>
      </c>
      <c r="S125" s="2"/>
      <c r="T125" s="2"/>
      <c r="U125" s="2"/>
      <c r="V125" s="19">
        <f t="shared" si="17"/>
        <v>0</v>
      </c>
      <c r="W125" s="2"/>
      <c r="X125" s="2">
        <f t="shared" si="18"/>
        <v>1737069.75</v>
      </c>
      <c r="Y125" s="2"/>
      <c r="Z125" s="19">
        <f t="shared" si="19"/>
        <v>0</v>
      </c>
    </row>
    <row r="126" spans="1:26" s="24" customFormat="1" hidden="1" outlineLevel="1" x14ac:dyDescent="0.25">
      <c r="A126" s="44"/>
      <c r="B126" s="11" t="str">
        <f>CONCATENATE("          ", "5002", " - ", "PURCHASES @ COST-USED TEXT")</f>
        <v xml:space="preserve">          5002 - PURCHASES @ COST-USED TEXT</v>
      </c>
      <c r="C126" s="11"/>
      <c r="D126" s="2">
        <v>40274.950000000004</v>
      </c>
      <c r="E126" s="2"/>
      <c r="F126" s="19">
        <f t="shared" si="12"/>
        <v>7.6205859652265132E-2</v>
      </c>
      <c r="G126" s="2"/>
      <c r="H126" s="2"/>
      <c r="I126" s="2"/>
      <c r="J126" s="19">
        <f t="shared" si="13"/>
        <v>0</v>
      </c>
      <c r="K126" s="2"/>
      <c r="L126" s="2">
        <f t="shared" si="14"/>
        <v>40274.950000000004</v>
      </c>
      <c r="M126" s="2"/>
      <c r="N126" s="19">
        <f t="shared" si="15"/>
        <v>0</v>
      </c>
      <c r="O126" s="11"/>
      <c r="P126" s="2">
        <v>252522.85</v>
      </c>
      <c r="Q126" s="2"/>
      <c r="R126" s="19">
        <f t="shared" si="16"/>
        <v>3.5573783142938346E-2</v>
      </c>
      <c r="S126" s="2"/>
      <c r="T126" s="2"/>
      <c r="U126" s="2"/>
      <c r="V126" s="19">
        <f t="shared" si="17"/>
        <v>0</v>
      </c>
      <c r="W126" s="2"/>
      <c r="X126" s="2">
        <f t="shared" si="18"/>
        <v>252522.85</v>
      </c>
      <c r="Y126" s="2"/>
      <c r="Z126" s="19">
        <f t="shared" si="19"/>
        <v>0</v>
      </c>
    </row>
    <row r="127" spans="1:26" s="24" customFormat="1" hidden="1" outlineLevel="1" x14ac:dyDescent="0.25">
      <c r="A127" s="44"/>
      <c r="B127" s="11" t="str">
        <f>CONCATENATE("          ", "5003", " - ", "PURCHASES @ COST-RENTAL TEXT")</f>
        <v xml:space="preserve">          5003 - PURCHASES @ COST-RENTAL TEXT</v>
      </c>
      <c r="C127" s="11"/>
      <c r="D127" s="2"/>
      <c r="E127" s="2"/>
      <c r="F127" s="19">
        <f t="shared" si="12"/>
        <v>0</v>
      </c>
      <c r="G127" s="2"/>
      <c r="H127" s="2"/>
      <c r="I127" s="2"/>
      <c r="J127" s="19">
        <f t="shared" si="13"/>
        <v>0</v>
      </c>
      <c r="K127" s="2"/>
      <c r="L127" s="2">
        <f t="shared" si="14"/>
        <v>0</v>
      </c>
      <c r="M127" s="2"/>
      <c r="N127" s="19">
        <f t="shared" si="15"/>
        <v>0</v>
      </c>
      <c r="O127" s="11"/>
      <c r="P127" s="2">
        <v>-78.400000000000006</v>
      </c>
      <c r="Q127" s="2"/>
      <c r="R127" s="19">
        <f t="shared" si="16"/>
        <v>-1.1044484086910814E-5</v>
      </c>
      <c r="S127" s="2"/>
      <c r="T127" s="2"/>
      <c r="U127" s="2"/>
      <c r="V127" s="19">
        <f t="shared" si="17"/>
        <v>0</v>
      </c>
      <c r="W127" s="2"/>
      <c r="X127" s="2">
        <f t="shared" si="18"/>
        <v>-78.400000000000006</v>
      </c>
      <c r="Y127" s="2"/>
      <c r="Z127" s="19">
        <f t="shared" si="19"/>
        <v>0</v>
      </c>
    </row>
    <row r="128" spans="1:26" s="24" customFormat="1" hidden="1" outlineLevel="1" x14ac:dyDescent="0.25">
      <c r="A128" s="44"/>
      <c r="B128" s="11" t="str">
        <f>CONCATENATE("          ", "5004", " - ", "PURCHASES @ COST-DIGITAL TEXT")</f>
        <v xml:space="preserve">          5004 - PURCHASES @ COST-DIGITAL TEXT</v>
      </c>
      <c r="C128" s="11"/>
      <c r="D128" s="2">
        <v>31572.300000000003</v>
      </c>
      <c r="E128" s="2"/>
      <c r="F128" s="19">
        <f t="shared" si="12"/>
        <v>5.9739224075987932E-2</v>
      </c>
      <c r="G128" s="2"/>
      <c r="H128" s="2"/>
      <c r="I128" s="2"/>
      <c r="J128" s="19">
        <f t="shared" si="13"/>
        <v>0</v>
      </c>
      <c r="K128" s="2"/>
      <c r="L128" s="2">
        <f t="shared" si="14"/>
        <v>31572.300000000003</v>
      </c>
      <c r="M128" s="2"/>
      <c r="N128" s="19">
        <f t="shared" si="15"/>
        <v>0</v>
      </c>
      <c r="O128" s="11"/>
      <c r="P128" s="2">
        <v>354352.27</v>
      </c>
      <c r="Q128" s="2"/>
      <c r="R128" s="19">
        <f t="shared" si="16"/>
        <v>4.9918852132343421E-2</v>
      </c>
      <c r="S128" s="2"/>
      <c r="T128" s="2"/>
      <c r="U128" s="2"/>
      <c r="V128" s="19">
        <f t="shared" si="17"/>
        <v>0</v>
      </c>
      <c r="W128" s="2"/>
      <c r="X128" s="2">
        <f t="shared" si="18"/>
        <v>354352.27</v>
      </c>
      <c r="Y128" s="2"/>
      <c r="Z128" s="19">
        <f t="shared" si="19"/>
        <v>0</v>
      </c>
    </row>
    <row r="129" spans="1:26" s="24" customFormat="1" hidden="1" outlineLevel="1" x14ac:dyDescent="0.25">
      <c r="A129" s="44"/>
      <c r="B129" s="11" t="str">
        <f>CONCATENATE("          ", "5011", " - ", "PURCHASES @ COST-NO VALUE TEXT")</f>
        <v xml:space="preserve">          5011 - PURCHASES @ COST-NO VALUE TEXT</v>
      </c>
      <c r="C129" s="11"/>
      <c r="D129" s="2">
        <v>1161</v>
      </c>
      <c r="E129" s="2"/>
      <c r="F129" s="19">
        <f t="shared" si="12"/>
        <v>2.1967749942899944E-3</v>
      </c>
      <c r="G129" s="2"/>
      <c r="H129" s="2"/>
      <c r="I129" s="2"/>
      <c r="J129" s="19">
        <f t="shared" si="13"/>
        <v>0</v>
      </c>
      <c r="K129" s="2"/>
      <c r="L129" s="2">
        <f t="shared" si="14"/>
        <v>1161</v>
      </c>
      <c r="M129" s="2"/>
      <c r="N129" s="19">
        <f t="shared" si="15"/>
        <v>0</v>
      </c>
      <c r="O129" s="11"/>
      <c r="P129" s="2">
        <v>4902</v>
      </c>
      <c r="Q129" s="2"/>
      <c r="R129" s="19">
        <f t="shared" si="16"/>
        <v>6.9056200247495929E-4</v>
      </c>
      <c r="S129" s="2"/>
      <c r="T129" s="2"/>
      <c r="U129" s="2"/>
      <c r="V129" s="19">
        <f t="shared" si="17"/>
        <v>0</v>
      </c>
      <c r="W129" s="2"/>
      <c r="X129" s="2">
        <f t="shared" si="18"/>
        <v>4902</v>
      </c>
      <c r="Y129" s="2"/>
      <c r="Z129" s="19">
        <f t="shared" si="19"/>
        <v>0</v>
      </c>
    </row>
    <row r="130" spans="1:26" s="24" customFormat="1" hidden="1" outlineLevel="1" x14ac:dyDescent="0.25">
      <c r="A130" s="44"/>
      <c r="B130" s="11" t="str">
        <f>CONCATENATE("          ", "5013", " - ", "PURCHASES @ COST-TRADE BOOKS")</f>
        <v xml:space="preserve">          5013 - PURCHASES @ COST-TRADE BOOKS</v>
      </c>
      <c r="C130" s="11"/>
      <c r="D130" s="2">
        <v>37.17</v>
      </c>
      <c r="E130" s="2"/>
      <c r="F130" s="19">
        <f t="shared" si="12"/>
        <v>7.033085834432308E-5</v>
      </c>
      <c r="G130" s="2"/>
      <c r="H130" s="2"/>
      <c r="I130" s="2"/>
      <c r="J130" s="19">
        <f t="shared" si="13"/>
        <v>0</v>
      </c>
      <c r="K130" s="2"/>
      <c r="L130" s="2">
        <f t="shared" si="14"/>
        <v>37.17</v>
      </c>
      <c r="M130" s="2"/>
      <c r="N130" s="19">
        <f t="shared" si="15"/>
        <v>0</v>
      </c>
      <c r="O130" s="11"/>
      <c r="P130" s="2">
        <v>735.31</v>
      </c>
      <c r="Q130" s="2"/>
      <c r="R130" s="19">
        <f t="shared" si="16"/>
        <v>1.0358570910645905E-4</v>
      </c>
      <c r="S130" s="2"/>
      <c r="T130" s="2"/>
      <c r="U130" s="2"/>
      <c r="V130" s="19">
        <f t="shared" si="17"/>
        <v>0</v>
      </c>
      <c r="W130" s="2"/>
      <c r="X130" s="2">
        <f t="shared" si="18"/>
        <v>735.31</v>
      </c>
      <c r="Y130" s="2"/>
      <c r="Z130" s="19">
        <f t="shared" si="19"/>
        <v>0</v>
      </c>
    </row>
    <row r="131" spans="1:26" s="24" customFormat="1" hidden="1" outlineLevel="1" x14ac:dyDescent="0.25">
      <c r="A131" s="44"/>
      <c r="B131" s="11" t="str">
        <f>CONCATENATE("          ", "5014", " - ", "PURCHASES @ COST-REMAINDERS")</f>
        <v xml:space="preserve">          5014 - PURCHASES @ COST-REMAINDERS</v>
      </c>
      <c r="C131" s="11"/>
      <c r="D131" s="2">
        <v>56.98</v>
      </c>
      <c r="E131" s="2"/>
      <c r="F131" s="19">
        <f t="shared" si="12"/>
        <v>1.0781415949581728E-4</v>
      </c>
      <c r="G131" s="2"/>
      <c r="H131" s="2"/>
      <c r="I131" s="2"/>
      <c r="J131" s="19">
        <f t="shared" si="13"/>
        <v>0</v>
      </c>
      <c r="K131" s="2"/>
      <c r="L131" s="2">
        <f t="shared" si="14"/>
        <v>56.98</v>
      </c>
      <c r="M131" s="2"/>
      <c r="N131" s="19">
        <f t="shared" si="15"/>
        <v>0</v>
      </c>
      <c r="O131" s="11"/>
      <c r="P131" s="2">
        <v>513.79</v>
      </c>
      <c r="Q131" s="2"/>
      <c r="R131" s="19">
        <f t="shared" si="16"/>
        <v>7.2379406620075331E-5</v>
      </c>
      <c r="S131" s="2"/>
      <c r="T131" s="2"/>
      <c r="U131" s="2"/>
      <c r="V131" s="19">
        <f t="shared" si="17"/>
        <v>0</v>
      </c>
      <c r="W131" s="2"/>
      <c r="X131" s="2">
        <f t="shared" si="18"/>
        <v>513.79</v>
      </c>
      <c r="Y131" s="2"/>
      <c r="Z131" s="19">
        <f t="shared" si="19"/>
        <v>0</v>
      </c>
    </row>
    <row r="132" spans="1:26" s="24" customFormat="1" hidden="1" outlineLevel="1" x14ac:dyDescent="0.25">
      <c r="A132" s="44"/>
      <c r="B132" s="11" t="str">
        <f>CONCATENATE("          ", "5017", " - ", "PURCHASES @ COST-DORM/HOUSEWAR")</f>
        <v xml:space="preserve">          5017 - PURCHASES @ COST-DORM/HOUSEWAR</v>
      </c>
      <c r="C132" s="11"/>
      <c r="D132" s="2"/>
      <c r="E132" s="2"/>
      <c r="F132" s="19">
        <f t="shared" si="12"/>
        <v>0</v>
      </c>
      <c r="G132" s="2"/>
      <c r="H132" s="2"/>
      <c r="I132" s="2"/>
      <c r="J132" s="19">
        <f t="shared" si="13"/>
        <v>0</v>
      </c>
      <c r="K132" s="2"/>
      <c r="L132" s="2">
        <f t="shared" si="14"/>
        <v>0</v>
      </c>
      <c r="M132" s="2"/>
      <c r="N132" s="19">
        <f t="shared" si="15"/>
        <v>0</v>
      </c>
      <c r="O132" s="11"/>
      <c r="P132" s="2">
        <v>0</v>
      </c>
      <c r="Q132" s="2"/>
      <c r="R132" s="19">
        <f t="shared" si="16"/>
        <v>0</v>
      </c>
      <c r="S132" s="2"/>
      <c r="T132" s="2"/>
      <c r="U132" s="2"/>
      <c r="V132" s="19">
        <f t="shared" si="17"/>
        <v>0</v>
      </c>
      <c r="W132" s="2"/>
      <c r="X132" s="2">
        <f t="shared" si="18"/>
        <v>0</v>
      </c>
      <c r="Y132" s="2"/>
      <c r="Z132" s="19">
        <f t="shared" si="19"/>
        <v>0</v>
      </c>
    </row>
    <row r="133" spans="1:26" s="24" customFormat="1" hidden="1" outlineLevel="1" x14ac:dyDescent="0.25">
      <c r="A133" s="44"/>
      <c r="B133" s="11" t="str">
        <f>CONCATENATE("          ", "5018", " - ", "PURCHASES @ COST-STUDY GUIDES")</f>
        <v xml:space="preserve">          5018 - PURCHASES @ COST-STUDY GUIDES</v>
      </c>
      <c r="C133" s="11"/>
      <c r="D133" s="2">
        <v>196.31</v>
      </c>
      <c r="E133" s="2"/>
      <c r="F133" s="19">
        <f t="shared" si="12"/>
        <v>3.7144608021452951E-4</v>
      </c>
      <c r="G133" s="2"/>
      <c r="H133" s="2"/>
      <c r="I133" s="2"/>
      <c r="J133" s="19">
        <f t="shared" si="13"/>
        <v>0</v>
      </c>
      <c r="K133" s="2"/>
      <c r="L133" s="2">
        <f t="shared" si="14"/>
        <v>196.31</v>
      </c>
      <c r="M133" s="2"/>
      <c r="N133" s="19">
        <f t="shared" si="15"/>
        <v>0</v>
      </c>
      <c r="O133" s="11"/>
      <c r="P133" s="2">
        <v>998.4</v>
      </c>
      <c r="Q133" s="2"/>
      <c r="R133" s="19">
        <f t="shared" si="16"/>
        <v>1.406481238822928E-4</v>
      </c>
      <c r="S133" s="2"/>
      <c r="T133" s="2"/>
      <c r="U133" s="2"/>
      <c r="V133" s="19">
        <f t="shared" si="17"/>
        <v>0</v>
      </c>
      <c r="W133" s="2"/>
      <c r="X133" s="2">
        <f t="shared" si="18"/>
        <v>998.4</v>
      </c>
      <c r="Y133" s="2"/>
      <c r="Z133" s="19">
        <f t="shared" si="19"/>
        <v>0</v>
      </c>
    </row>
    <row r="134" spans="1:26" s="24" customFormat="1" hidden="1" outlineLevel="1" x14ac:dyDescent="0.25">
      <c r="A134" s="44"/>
      <c r="B134" s="11" t="str">
        <f>CONCATENATE("          ", "5025", " - ", "PURCHASES @ COST-TEST FORMS")</f>
        <v xml:space="preserve">          5025 - PURCHASES @ COST-TEST FORMS</v>
      </c>
      <c r="C134" s="11"/>
      <c r="D134" s="2">
        <v>0</v>
      </c>
      <c r="E134" s="2"/>
      <c r="F134" s="19">
        <f t="shared" si="12"/>
        <v>0</v>
      </c>
      <c r="G134" s="2"/>
      <c r="H134" s="2"/>
      <c r="I134" s="2"/>
      <c r="J134" s="19">
        <f t="shared" si="13"/>
        <v>0</v>
      </c>
      <c r="K134" s="2"/>
      <c r="L134" s="2">
        <f t="shared" si="14"/>
        <v>0</v>
      </c>
      <c r="M134" s="2"/>
      <c r="N134" s="19">
        <f t="shared" si="15"/>
        <v>0</v>
      </c>
      <c r="O134" s="11"/>
      <c r="P134" s="2">
        <v>22098.390000000003</v>
      </c>
      <c r="Q134" s="2"/>
      <c r="R134" s="19">
        <f t="shared" si="16"/>
        <v>3.1130780191498605E-3</v>
      </c>
      <c r="S134" s="2"/>
      <c r="T134" s="2"/>
      <c r="U134" s="2"/>
      <c r="V134" s="19">
        <f t="shared" si="17"/>
        <v>0</v>
      </c>
      <c r="W134" s="2"/>
      <c r="X134" s="2">
        <f t="shared" si="18"/>
        <v>22098.390000000003</v>
      </c>
      <c r="Y134" s="2"/>
      <c r="Z134" s="19">
        <f t="shared" si="19"/>
        <v>0</v>
      </c>
    </row>
    <row r="135" spans="1:26" s="24" customFormat="1" hidden="1" outlineLevel="1" x14ac:dyDescent="0.25">
      <c r="A135" s="44"/>
      <c r="B135" s="11" t="str">
        <f>CONCATENATE("          ", "5026", " - ", "PURCHASES @ COST-WRITING INSTR")</f>
        <v xml:space="preserve">          5026 - PURCHASES @ COST-WRITING INSTR</v>
      </c>
      <c r="C135" s="11"/>
      <c r="D135" s="2">
        <v>4344.2</v>
      </c>
      <c r="E135" s="2"/>
      <c r="F135" s="19">
        <f t="shared" si="12"/>
        <v>8.2198362878506404E-3</v>
      </c>
      <c r="G135" s="2"/>
      <c r="H135" s="2"/>
      <c r="I135" s="2"/>
      <c r="J135" s="19">
        <f t="shared" si="13"/>
        <v>0</v>
      </c>
      <c r="K135" s="2"/>
      <c r="L135" s="2">
        <f t="shared" si="14"/>
        <v>4344.2</v>
      </c>
      <c r="M135" s="2"/>
      <c r="N135" s="19">
        <f t="shared" si="15"/>
        <v>0</v>
      </c>
      <c r="O135" s="11"/>
      <c r="P135" s="2">
        <v>34294.769999999997</v>
      </c>
      <c r="Q135" s="2"/>
      <c r="R135" s="19">
        <f t="shared" si="16"/>
        <v>4.8312250195059478E-3</v>
      </c>
      <c r="S135" s="2"/>
      <c r="T135" s="2"/>
      <c r="U135" s="2"/>
      <c r="V135" s="19">
        <f t="shared" si="17"/>
        <v>0</v>
      </c>
      <c r="W135" s="2"/>
      <c r="X135" s="2">
        <f t="shared" si="18"/>
        <v>34294.769999999997</v>
      </c>
      <c r="Y135" s="2"/>
      <c r="Z135" s="19">
        <f t="shared" si="19"/>
        <v>0</v>
      </c>
    </row>
    <row r="136" spans="1:26" s="24" customFormat="1" hidden="1" outlineLevel="1" x14ac:dyDescent="0.25">
      <c r="A136" s="44"/>
      <c r="B136" s="11" t="str">
        <f>CONCATENATE("          ", "5027", " - ", "PURCHASES @ COST-SCHOOL SUPPLI")</f>
        <v xml:space="preserve">          5027 - PURCHASES @ COST-SCHOOL SUPPLI</v>
      </c>
      <c r="C136" s="11"/>
      <c r="D136" s="2">
        <v>2493.64</v>
      </c>
      <c r="E136" s="2"/>
      <c r="F136" s="19">
        <f t="shared" si="12"/>
        <v>4.7183169653413444E-3</v>
      </c>
      <c r="G136" s="2"/>
      <c r="H136" s="2"/>
      <c r="I136" s="2"/>
      <c r="J136" s="19">
        <f t="shared" si="13"/>
        <v>0</v>
      </c>
      <c r="K136" s="2"/>
      <c r="L136" s="2">
        <f t="shared" si="14"/>
        <v>2493.64</v>
      </c>
      <c r="M136" s="2"/>
      <c r="N136" s="19">
        <f t="shared" si="15"/>
        <v>0</v>
      </c>
      <c r="O136" s="11"/>
      <c r="P136" s="2">
        <v>78000</v>
      </c>
      <c r="Q136" s="2"/>
      <c r="R136" s="19">
        <f t="shared" si="16"/>
        <v>1.0988134678304125E-2</v>
      </c>
      <c r="S136" s="2"/>
      <c r="T136" s="2"/>
      <c r="U136" s="2"/>
      <c r="V136" s="19">
        <f t="shared" si="17"/>
        <v>0</v>
      </c>
      <c r="W136" s="2"/>
      <c r="X136" s="2">
        <f t="shared" si="18"/>
        <v>78000</v>
      </c>
      <c r="Y136" s="2"/>
      <c r="Z136" s="19">
        <f t="shared" si="19"/>
        <v>0</v>
      </c>
    </row>
    <row r="137" spans="1:26" s="24" customFormat="1" hidden="1" outlineLevel="1" x14ac:dyDescent="0.25">
      <c r="A137" s="44"/>
      <c r="B137" s="11" t="str">
        <f>CONCATENATE("          ", "5028", " - ", "PURCHASES @ COST-ART/TECH")</f>
        <v xml:space="preserve">          5028 - PURCHASES @ COST-ART/TECH</v>
      </c>
      <c r="C137" s="11"/>
      <c r="D137" s="2">
        <v>7730.31</v>
      </c>
      <c r="E137" s="2"/>
      <c r="F137" s="19">
        <f t="shared" si="12"/>
        <v>1.4626831788208344E-2</v>
      </c>
      <c r="G137" s="2"/>
      <c r="H137" s="2"/>
      <c r="I137" s="2"/>
      <c r="J137" s="19">
        <f t="shared" si="13"/>
        <v>0</v>
      </c>
      <c r="K137" s="2"/>
      <c r="L137" s="2">
        <f t="shared" si="14"/>
        <v>7730.31</v>
      </c>
      <c r="M137" s="2"/>
      <c r="N137" s="19">
        <f t="shared" si="15"/>
        <v>0</v>
      </c>
      <c r="O137" s="11"/>
      <c r="P137" s="2">
        <v>103000.81999999999</v>
      </c>
      <c r="Q137" s="2"/>
      <c r="R137" s="19">
        <f t="shared" si="16"/>
        <v>1.4510088232509757E-2</v>
      </c>
      <c r="S137" s="2"/>
      <c r="T137" s="2"/>
      <c r="U137" s="2"/>
      <c r="V137" s="19">
        <f t="shared" si="17"/>
        <v>0</v>
      </c>
      <c r="W137" s="2"/>
      <c r="X137" s="2">
        <f t="shared" si="18"/>
        <v>103000.81999999999</v>
      </c>
      <c r="Y137" s="2"/>
      <c r="Z137" s="19">
        <f t="shared" si="19"/>
        <v>0</v>
      </c>
    </row>
    <row r="138" spans="1:26" s="24" customFormat="1" hidden="1" outlineLevel="1" x14ac:dyDescent="0.25">
      <c r="A138" s="44"/>
      <c r="B138" s="11" t="str">
        <f>CONCATENATE("          ", "5031", " - ", "PURCHASES @ COST-FOOD")</f>
        <v xml:space="preserve">          5031 - PURCHASES @ COST-FOOD</v>
      </c>
      <c r="C138" s="11"/>
      <c r="D138" s="2">
        <v>1695.24</v>
      </c>
      <c r="E138" s="2"/>
      <c r="F138" s="19">
        <f t="shared" si="12"/>
        <v>3.2076320769338241E-3</v>
      </c>
      <c r="G138" s="2"/>
      <c r="H138" s="2"/>
      <c r="I138" s="2"/>
      <c r="J138" s="19">
        <f t="shared" si="13"/>
        <v>0</v>
      </c>
      <c r="K138" s="2"/>
      <c r="L138" s="2">
        <f t="shared" si="14"/>
        <v>1695.24</v>
      </c>
      <c r="M138" s="2"/>
      <c r="N138" s="19">
        <f t="shared" si="15"/>
        <v>0</v>
      </c>
      <c r="O138" s="11"/>
      <c r="P138" s="2">
        <v>22509.73</v>
      </c>
      <c r="Q138" s="2"/>
      <c r="R138" s="19">
        <f t="shared" si="16"/>
        <v>3.1710249334905476E-3</v>
      </c>
      <c r="S138" s="2"/>
      <c r="T138" s="2"/>
      <c r="U138" s="2"/>
      <c r="V138" s="19">
        <f t="shared" si="17"/>
        <v>0</v>
      </c>
      <c r="W138" s="2"/>
      <c r="X138" s="2">
        <f t="shared" si="18"/>
        <v>22509.73</v>
      </c>
      <c r="Y138" s="2"/>
      <c r="Z138" s="19">
        <f t="shared" si="19"/>
        <v>0</v>
      </c>
    </row>
    <row r="139" spans="1:26" s="24" customFormat="1" hidden="1" outlineLevel="1" x14ac:dyDescent="0.25">
      <c r="A139" s="44"/>
      <c r="B139" s="11" t="str">
        <f>CONCATENATE("          ", "5032", " - ", "PURCHASES @ COST-JUICE")</f>
        <v xml:space="preserve">          5032 - PURCHASES @ COST-JUICE</v>
      </c>
      <c r="C139" s="11"/>
      <c r="D139" s="2">
        <v>358.99</v>
      </c>
      <c r="E139" s="2"/>
      <c r="F139" s="19">
        <f t="shared" si="12"/>
        <v>6.7925947906990959E-4</v>
      </c>
      <c r="G139" s="2"/>
      <c r="H139" s="2"/>
      <c r="I139" s="2"/>
      <c r="J139" s="19">
        <f t="shared" si="13"/>
        <v>0</v>
      </c>
      <c r="K139" s="2"/>
      <c r="L139" s="2">
        <f t="shared" si="14"/>
        <v>358.99</v>
      </c>
      <c r="M139" s="2"/>
      <c r="N139" s="19">
        <f t="shared" si="15"/>
        <v>0</v>
      </c>
      <c r="O139" s="11"/>
      <c r="P139" s="2">
        <v>5021.4799999999996</v>
      </c>
      <c r="Q139" s="2"/>
      <c r="R139" s="19">
        <f t="shared" si="16"/>
        <v>7.0739357082577679E-4</v>
      </c>
      <c r="S139" s="2"/>
      <c r="T139" s="2"/>
      <c r="U139" s="2"/>
      <c r="V139" s="19">
        <f t="shared" si="17"/>
        <v>0</v>
      </c>
      <c r="W139" s="2"/>
      <c r="X139" s="2">
        <f t="shared" si="18"/>
        <v>5021.4799999999996</v>
      </c>
      <c r="Y139" s="2"/>
      <c r="Z139" s="19">
        <f t="shared" si="19"/>
        <v>0</v>
      </c>
    </row>
    <row r="140" spans="1:26" s="24" customFormat="1" hidden="1" outlineLevel="1" x14ac:dyDescent="0.25">
      <c r="A140" s="44"/>
      <c r="B140" s="11" t="str">
        <f>CONCATENATE("          ", "5033", " - ", "PURCHASES @ COST-CANDY")</f>
        <v xml:space="preserve">          5033 - PURCHASES @ COST-CANDY</v>
      </c>
      <c r="C140" s="11"/>
      <c r="D140" s="2">
        <v>260.19</v>
      </c>
      <c r="E140" s="2"/>
      <c r="F140" s="19">
        <f t="shared" si="12"/>
        <v>4.9231600841026155E-4</v>
      </c>
      <c r="G140" s="2"/>
      <c r="H140" s="2"/>
      <c r="I140" s="2"/>
      <c r="J140" s="19">
        <f t="shared" si="13"/>
        <v>0</v>
      </c>
      <c r="K140" s="2"/>
      <c r="L140" s="2">
        <f t="shared" si="14"/>
        <v>260.19</v>
      </c>
      <c r="M140" s="2"/>
      <c r="N140" s="19">
        <f t="shared" si="15"/>
        <v>0</v>
      </c>
      <c r="O140" s="11"/>
      <c r="P140" s="2">
        <v>6197.93</v>
      </c>
      <c r="Q140" s="2"/>
      <c r="R140" s="19">
        <f t="shared" si="16"/>
        <v>8.7312422521412163E-4</v>
      </c>
      <c r="S140" s="2"/>
      <c r="T140" s="2"/>
      <c r="U140" s="2"/>
      <c r="V140" s="19">
        <f t="shared" si="17"/>
        <v>0</v>
      </c>
      <c r="W140" s="2"/>
      <c r="X140" s="2">
        <f t="shared" si="18"/>
        <v>6197.93</v>
      </c>
      <c r="Y140" s="2"/>
      <c r="Z140" s="19">
        <f t="shared" si="19"/>
        <v>0</v>
      </c>
    </row>
    <row r="141" spans="1:26" s="24" customFormat="1" hidden="1" outlineLevel="1" x14ac:dyDescent="0.25">
      <c r="A141" s="44"/>
      <c r="B141" s="11" t="str">
        <f>CONCATENATE("          ", "5034", " - ", "PURCHASES @ COST-SODA")</f>
        <v xml:space="preserve">          5034 - PURCHASES @ COST-SODA</v>
      </c>
      <c r="C141" s="11"/>
      <c r="D141" s="2">
        <v>42.24</v>
      </c>
      <c r="E141" s="2"/>
      <c r="F141" s="19">
        <f t="shared" si="12"/>
        <v>7.9924010128173435E-5</v>
      </c>
      <c r="G141" s="2"/>
      <c r="H141" s="2"/>
      <c r="I141" s="2"/>
      <c r="J141" s="19">
        <f t="shared" si="13"/>
        <v>0</v>
      </c>
      <c r="K141" s="2"/>
      <c r="L141" s="2">
        <f t="shared" si="14"/>
        <v>42.24</v>
      </c>
      <c r="M141" s="2"/>
      <c r="N141" s="19">
        <f t="shared" si="15"/>
        <v>0</v>
      </c>
      <c r="O141" s="11"/>
      <c r="P141" s="2">
        <v>2124.16</v>
      </c>
      <c r="Q141" s="2"/>
      <c r="R141" s="19">
        <f t="shared" si="16"/>
        <v>2.9923789946495499E-4</v>
      </c>
      <c r="S141" s="2"/>
      <c r="T141" s="2"/>
      <c r="U141" s="2"/>
      <c r="V141" s="19">
        <f t="shared" si="17"/>
        <v>0</v>
      </c>
      <c r="W141" s="2"/>
      <c r="X141" s="2">
        <f t="shared" si="18"/>
        <v>2124.16</v>
      </c>
      <c r="Y141" s="2"/>
      <c r="Z141" s="19">
        <f t="shared" si="19"/>
        <v>0</v>
      </c>
    </row>
    <row r="142" spans="1:26" s="24" customFormat="1" hidden="1" outlineLevel="1" x14ac:dyDescent="0.25">
      <c r="A142" s="44"/>
      <c r="B142" s="11" t="str">
        <f>CONCATENATE("          ", "5035", " - ", "PURCHASES @ COST-HEALTH &amp; BEAU")</f>
        <v xml:space="preserve">          5035 - PURCHASES @ COST-HEALTH &amp; BEAU</v>
      </c>
      <c r="C142" s="11"/>
      <c r="D142" s="2">
        <v>23.17</v>
      </c>
      <c r="E142" s="2"/>
      <c r="F142" s="19">
        <f t="shared" si="12"/>
        <v>4.3840892866235286E-5</v>
      </c>
      <c r="G142" s="2"/>
      <c r="H142" s="2"/>
      <c r="I142" s="2"/>
      <c r="J142" s="19">
        <f t="shared" si="13"/>
        <v>0</v>
      </c>
      <c r="K142" s="2"/>
      <c r="L142" s="2">
        <f t="shared" si="14"/>
        <v>23.17</v>
      </c>
      <c r="M142" s="2"/>
      <c r="N142" s="19">
        <f t="shared" si="15"/>
        <v>0</v>
      </c>
      <c r="O142" s="11"/>
      <c r="P142" s="2">
        <v>824.38</v>
      </c>
      <c r="Q142" s="2"/>
      <c r="R142" s="19">
        <f t="shared" si="16"/>
        <v>1.1613331366795326E-4</v>
      </c>
      <c r="S142" s="2"/>
      <c r="T142" s="2"/>
      <c r="U142" s="2"/>
      <c r="V142" s="19">
        <f t="shared" si="17"/>
        <v>0</v>
      </c>
      <c r="W142" s="2"/>
      <c r="X142" s="2">
        <f t="shared" si="18"/>
        <v>824.38</v>
      </c>
      <c r="Y142" s="2"/>
      <c r="Z142" s="19">
        <f t="shared" si="19"/>
        <v>0</v>
      </c>
    </row>
    <row r="143" spans="1:26" s="24" customFormat="1" hidden="1" outlineLevel="1" x14ac:dyDescent="0.25">
      <c r="A143" s="44"/>
      <c r="B143" s="11" t="str">
        <f>CONCATENATE("          ", "5037", " - ", "PURCHASES @ COST-WATER")</f>
        <v xml:space="preserve">          5037 - PURCHASES @ COST-WATER</v>
      </c>
      <c r="C143" s="11"/>
      <c r="D143" s="2">
        <v>235.9</v>
      </c>
      <c r="E143" s="2"/>
      <c r="F143" s="19">
        <f t="shared" si="12"/>
        <v>4.4635591830577919E-4</v>
      </c>
      <c r="G143" s="2"/>
      <c r="H143" s="2"/>
      <c r="I143" s="2"/>
      <c r="J143" s="19">
        <f t="shared" si="13"/>
        <v>0</v>
      </c>
      <c r="K143" s="2"/>
      <c r="L143" s="2">
        <f t="shared" si="14"/>
        <v>235.9</v>
      </c>
      <c r="M143" s="2"/>
      <c r="N143" s="19">
        <f t="shared" si="15"/>
        <v>0</v>
      </c>
      <c r="O143" s="11"/>
      <c r="P143" s="2">
        <v>3759.27</v>
      </c>
      <c r="Q143" s="2"/>
      <c r="R143" s="19">
        <f t="shared" si="16"/>
        <v>5.2958160323215834E-4</v>
      </c>
      <c r="S143" s="2"/>
      <c r="T143" s="2"/>
      <c r="U143" s="2"/>
      <c r="V143" s="19">
        <f t="shared" si="17"/>
        <v>0</v>
      </c>
      <c r="W143" s="2"/>
      <c r="X143" s="2">
        <f t="shared" si="18"/>
        <v>3759.27</v>
      </c>
      <c r="Y143" s="2"/>
      <c r="Z143" s="19">
        <f t="shared" si="19"/>
        <v>0</v>
      </c>
    </row>
    <row r="144" spans="1:26" s="24" customFormat="1" hidden="1" outlineLevel="1" x14ac:dyDescent="0.25">
      <c r="A144" s="44"/>
      <c r="B144" s="11" t="str">
        <f>CONCATENATE("          ", "5040", " - ", "PURCHASES @ COST-LOGO CLOTHING")</f>
        <v xml:space="preserve">          5040 - PURCHASES @ COST-LOGO CLOTHING</v>
      </c>
      <c r="C144" s="11"/>
      <c r="D144" s="2">
        <v>97946.53</v>
      </c>
      <c r="E144" s="2"/>
      <c r="F144" s="19">
        <f t="shared" si="12"/>
        <v>0.18532858559989213</v>
      </c>
      <c r="G144" s="2"/>
      <c r="H144" s="2"/>
      <c r="I144" s="2"/>
      <c r="J144" s="19">
        <f t="shared" si="13"/>
        <v>0</v>
      </c>
      <c r="K144" s="2"/>
      <c r="L144" s="2">
        <f t="shared" si="14"/>
        <v>97946.53</v>
      </c>
      <c r="M144" s="2"/>
      <c r="N144" s="19">
        <f t="shared" si="15"/>
        <v>0</v>
      </c>
      <c r="O144" s="11"/>
      <c r="P144" s="2">
        <v>716238.84000000008</v>
      </c>
      <c r="Q144" s="2"/>
      <c r="R144" s="19">
        <f t="shared" si="16"/>
        <v>0.10089908763785027</v>
      </c>
      <c r="S144" s="2"/>
      <c r="T144" s="2"/>
      <c r="U144" s="2"/>
      <c r="V144" s="19">
        <f t="shared" si="17"/>
        <v>0</v>
      </c>
      <c r="W144" s="2"/>
      <c r="X144" s="2">
        <f t="shared" si="18"/>
        <v>716238.84000000008</v>
      </c>
      <c r="Y144" s="2"/>
      <c r="Z144" s="19">
        <f t="shared" si="19"/>
        <v>0</v>
      </c>
    </row>
    <row r="145" spans="1:26" s="24" customFormat="1" hidden="1" outlineLevel="1" x14ac:dyDescent="0.25">
      <c r="A145" s="44"/>
      <c r="B145" s="11" t="str">
        <f>CONCATENATE("          ", "5041", " - ", "PURCHASES @ COST-LOGO GIFTS")</f>
        <v xml:space="preserve">          5041 - PURCHASES @ COST-LOGO GIFTS</v>
      </c>
      <c r="C145" s="11"/>
      <c r="D145" s="2">
        <v>20607.12</v>
      </c>
      <c r="E145" s="2"/>
      <c r="F145" s="19">
        <f t="shared" si="12"/>
        <v>3.8991564100200882E-2</v>
      </c>
      <c r="G145" s="2"/>
      <c r="H145" s="2"/>
      <c r="I145" s="2"/>
      <c r="J145" s="19">
        <f t="shared" si="13"/>
        <v>0</v>
      </c>
      <c r="K145" s="2"/>
      <c r="L145" s="2">
        <f t="shared" si="14"/>
        <v>20607.12</v>
      </c>
      <c r="M145" s="2"/>
      <c r="N145" s="19">
        <f t="shared" si="15"/>
        <v>0</v>
      </c>
      <c r="O145" s="11"/>
      <c r="P145" s="2">
        <v>109403.67</v>
      </c>
      <c r="Q145" s="2"/>
      <c r="R145" s="19">
        <f t="shared" si="16"/>
        <v>1.5412080259753085E-2</v>
      </c>
      <c r="S145" s="2"/>
      <c r="T145" s="2"/>
      <c r="U145" s="2"/>
      <c r="V145" s="19">
        <f t="shared" si="17"/>
        <v>0</v>
      </c>
      <c r="W145" s="2"/>
      <c r="X145" s="2">
        <f t="shared" si="18"/>
        <v>109403.67</v>
      </c>
      <c r="Y145" s="2"/>
      <c r="Z145" s="19">
        <f t="shared" si="19"/>
        <v>0</v>
      </c>
    </row>
    <row r="146" spans="1:26" s="24" customFormat="1" hidden="1" outlineLevel="1" x14ac:dyDescent="0.25">
      <c r="A146" s="44"/>
      <c r="B146" s="11" t="str">
        <f>CONCATENATE("          ", "5042", " - ", "PURCHASES @ COST-EVERYDAY GIFT")</f>
        <v xml:space="preserve">          5042 - PURCHASES @ COST-EVERYDAY GIFT</v>
      </c>
      <c r="C146" s="11"/>
      <c r="D146" s="2">
        <v>7822.79</v>
      </c>
      <c r="E146" s="2"/>
      <c r="F146" s="19">
        <f t="shared" si="12"/>
        <v>1.4801816931595026E-2</v>
      </c>
      <c r="G146" s="2"/>
      <c r="H146" s="2"/>
      <c r="I146" s="2"/>
      <c r="J146" s="19">
        <f t="shared" si="13"/>
        <v>0</v>
      </c>
      <c r="K146" s="2"/>
      <c r="L146" s="2">
        <f t="shared" si="14"/>
        <v>7822.79</v>
      </c>
      <c r="M146" s="2"/>
      <c r="N146" s="19">
        <f t="shared" si="15"/>
        <v>0</v>
      </c>
      <c r="O146" s="11"/>
      <c r="P146" s="2">
        <v>88388.11</v>
      </c>
      <c r="Q146" s="2"/>
      <c r="R146" s="19">
        <f t="shared" si="16"/>
        <v>1.2451544315907176E-2</v>
      </c>
      <c r="S146" s="2"/>
      <c r="T146" s="2"/>
      <c r="U146" s="2"/>
      <c r="V146" s="19">
        <f t="shared" si="17"/>
        <v>0</v>
      </c>
      <c r="W146" s="2"/>
      <c r="X146" s="2">
        <f t="shared" si="18"/>
        <v>88388.11</v>
      </c>
      <c r="Y146" s="2"/>
      <c r="Z146" s="19">
        <f t="shared" si="19"/>
        <v>0</v>
      </c>
    </row>
    <row r="147" spans="1:26" s="24" customFormat="1" hidden="1" outlineLevel="1" x14ac:dyDescent="0.25">
      <c r="A147" s="44"/>
      <c r="B147" s="11" t="str">
        <f>CONCATENATE("          ", "5043", " - ", "PURCHASES @ COST-CARDS")</f>
        <v xml:space="preserve">          5043 - PURCHASES @ COST-CARDS</v>
      </c>
      <c r="C147" s="11"/>
      <c r="D147" s="2">
        <v>3256.15</v>
      </c>
      <c r="E147" s="2"/>
      <c r="F147" s="19">
        <f t="shared" si="12"/>
        <v>6.1610929351053959E-3</v>
      </c>
      <c r="G147" s="2"/>
      <c r="H147" s="2"/>
      <c r="I147" s="2"/>
      <c r="J147" s="19">
        <f t="shared" si="13"/>
        <v>0</v>
      </c>
      <c r="K147" s="2"/>
      <c r="L147" s="2">
        <f t="shared" si="14"/>
        <v>3256.15</v>
      </c>
      <c r="M147" s="2"/>
      <c r="N147" s="19">
        <f t="shared" si="15"/>
        <v>0</v>
      </c>
      <c r="O147" s="11"/>
      <c r="P147" s="2">
        <v>6784.89</v>
      </c>
      <c r="Q147" s="2"/>
      <c r="R147" s="19">
        <f t="shared" si="16"/>
        <v>9.558113474035754E-4</v>
      </c>
      <c r="S147" s="2"/>
      <c r="T147" s="2"/>
      <c r="U147" s="2"/>
      <c r="V147" s="19">
        <f t="shared" si="17"/>
        <v>0</v>
      </c>
      <c r="W147" s="2"/>
      <c r="X147" s="2">
        <f t="shared" si="18"/>
        <v>6784.89</v>
      </c>
      <c r="Y147" s="2"/>
      <c r="Z147" s="19">
        <f t="shared" si="19"/>
        <v>0</v>
      </c>
    </row>
    <row r="148" spans="1:26" s="24" customFormat="1" hidden="1" outlineLevel="1" x14ac:dyDescent="0.25">
      <c r="A148" s="44"/>
      <c r="B148" s="11" t="str">
        <f>CONCATENATE("          ", "5044", " - ", "PURCHASES @ COST-ACCESSORIES")</f>
        <v xml:space="preserve">          5044 - PURCHASES @ COST-ACCESSORIES</v>
      </c>
      <c r="C148" s="11"/>
      <c r="D148" s="2">
        <v>432</v>
      </c>
      <c r="E148" s="2"/>
      <c r="F148" s="19">
        <f t="shared" si="12"/>
        <v>8.1740464903813745E-4</v>
      </c>
      <c r="G148" s="2"/>
      <c r="H148" s="2"/>
      <c r="I148" s="2"/>
      <c r="J148" s="19">
        <f t="shared" si="13"/>
        <v>0</v>
      </c>
      <c r="K148" s="2"/>
      <c r="L148" s="2">
        <f t="shared" si="14"/>
        <v>432</v>
      </c>
      <c r="M148" s="2"/>
      <c r="N148" s="19">
        <f t="shared" si="15"/>
        <v>0</v>
      </c>
      <c r="O148" s="11"/>
      <c r="P148" s="2">
        <v>17687.580000000002</v>
      </c>
      <c r="Q148" s="2"/>
      <c r="R148" s="19">
        <f t="shared" si="16"/>
        <v>2.4917116817086988E-3</v>
      </c>
      <c r="S148" s="2"/>
      <c r="T148" s="2"/>
      <c r="U148" s="2"/>
      <c r="V148" s="19">
        <f t="shared" si="17"/>
        <v>0</v>
      </c>
      <c r="W148" s="2"/>
      <c r="X148" s="2">
        <f t="shared" si="18"/>
        <v>17687.580000000002</v>
      </c>
      <c r="Y148" s="2"/>
      <c r="Z148" s="19">
        <f t="shared" si="19"/>
        <v>0</v>
      </c>
    </row>
    <row r="149" spans="1:26" s="24" customFormat="1" hidden="1" outlineLevel="1" x14ac:dyDescent="0.25">
      <c r="A149" s="44"/>
      <c r="B149" s="11" t="str">
        <f>CONCATENATE("          ", "5045", " - ", "PURCHASES @ COST-SPECIAL ORDER")</f>
        <v xml:space="preserve">          5045 - PURCHASES @ COST-SPECIAL ORDER</v>
      </c>
      <c r="C149" s="11"/>
      <c r="D149" s="2">
        <v>-1045.9100000000001</v>
      </c>
      <c r="E149" s="2"/>
      <c r="F149" s="19">
        <f t="shared" si="12"/>
        <v>-1.9790085566561998E-3</v>
      </c>
      <c r="G149" s="2"/>
      <c r="H149" s="2"/>
      <c r="I149" s="2"/>
      <c r="J149" s="19">
        <f t="shared" si="13"/>
        <v>0</v>
      </c>
      <c r="K149" s="2"/>
      <c r="L149" s="2">
        <f t="shared" si="14"/>
        <v>-1045.9100000000001</v>
      </c>
      <c r="M149" s="2"/>
      <c r="N149" s="19">
        <f t="shared" si="15"/>
        <v>0</v>
      </c>
      <c r="O149" s="11"/>
      <c r="P149" s="2">
        <v>41180.579999999994</v>
      </c>
      <c r="Q149" s="2"/>
      <c r="R149" s="19">
        <f t="shared" si="16"/>
        <v>5.8012533227009902E-3</v>
      </c>
      <c r="S149" s="2"/>
      <c r="T149" s="2"/>
      <c r="U149" s="2"/>
      <c r="V149" s="19">
        <f t="shared" si="17"/>
        <v>0</v>
      </c>
      <c r="W149" s="2"/>
      <c r="X149" s="2">
        <f t="shared" si="18"/>
        <v>41180.579999999994</v>
      </c>
      <c r="Y149" s="2"/>
      <c r="Z149" s="19">
        <f t="shared" si="19"/>
        <v>0</v>
      </c>
    </row>
    <row r="150" spans="1:26" s="24" customFormat="1" hidden="1" outlineLevel="1" x14ac:dyDescent="0.25">
      <c r="A150" s="44"/>
      <c r="B150" s="11" t="str">
        <f>CONCATENATE("          ", "5081", " - ", "PURCHASES @ COST-ELECTRONICS")</f>
        <v xml:space="preserve">          5081 - PURCHASES @ COST-ELECTRONICS</v>
      </c>
      <c r="C150" s="11"/>
      <c r="D150" s="2">
        <v>3128.44</v>
      </c>
      <c r="E150" s="2"/>
      <c r="F150" s="19">
        <f t="shared" si="12"/>
        <v>5.9194476857334965E-3</v>
      </c>
      <c r="G150" s="2"/>
      <c r="H150" s="2"/>
      <c r="I150" s="2"/>
      <c r="J150" s="19">
        <f t="shared" si="13"/>
        <v>0</v>
      </c>
      <c r="K150" s="2"/>
      <c r="L150" s="2">
        <f t="shared" si="14"/>
        <v>3128.44</v>
      </c>
      <c r="M150" s="2"/>
      <c r="N150" s="19">
        <f t="shared" si="15"/>
        <v>0</v>
      </c>
      <c r="O150" s="11"/>
      <c r="P150" s="2">
        <v>189180.98</v>
      </c>
      <c r="Q150" s="2"/>
      <c r="R150" s="19">
        <f t="shared" si="16"/>
        <v>2.6650590856584094E-2</v>
      </c>
      <c r="S150" s="2"/>
      <c r="T150" s="2"/>
      <c r="U150" s="2"/>
      <c r="V150" s="19">
        <f t="shared" si="17"/>
        <v>0</v>
      </c>
      <c r="W150" s="2"/>
      <c r="X150" s="2">
        <f t="shared" si="18"/>
        <v>189180.98</v>
      </c>
      <c r="Y150" s="2"/>
      <c r="Z150" s="19">
        <f t="shared" si="19"/>
        <v>0</v>
      </c>
    </row>
    <row r="151" spans="1:26" s="24" customFormat="1" hidden="1" outlineLevel="1" x14ac:dyDescent="0.25">
      <c r="A151" s="44"/>
      <c r="B151" s="11" t="str">
        <f>CONCATENATE("          ", "5082", " - ", "PURCHASES @ COST-COMPUTER HARD")</f>
        <v xml:space="preserve">          5082 - PURCHASES @ COST-COMPUTER HARD</v>
      </c>
      <c r="C151" s="11"/>
      <c r="D151" s="2">
        <v>49932.72</v>
      </c>
      <c r="E151" s="2"/>
      <c r="F151" s="19">
        <f t="shared" si="12"/>
        <v>9.447971635907311E-2</v>
      </c>
      <c r="G151" s="2"/>
      <c r="H151" s="2"/>
      <c r="I151" s="2"/>
      <c r="J151" s="19">
        <f t="shared" si="13"/>
        <v>0</v>
      </c>
      <c r="K151" s="2"/>
      <c r="L151" s="2">
        <f t="shared" si="14"/>
        <v>49932.72</v>
      </c>
      <c r="M151" s="2"/>
      <c r="N151" s="19">
        <f t="shared" si="15"/>
        <v>0</v>
      </c>
      <c r="O151" s="11"/>
      <c r="P151" s="2">
        <v>1008527.58</v>
      </c>
      <c r="Q151" s="2"/>
      <c r="R151" s="19">
        <f t="shared" si="16"/>
        <v>0.14207483174133509</v>
      </c>
      <c r="S151" s="2"/>
      <c r="T151" s="2"/>
      <c r="U151" s="2"/>
      <c r="V151" s="19">
        <f t="shared" si="17"/>
        <v>0</v>
      </c>
      <c r="W151" s="2"/>
      <c r="X151" s="2">
        <f t="shared" si="18"/>
        <v>1008527.58</v>
      </c>
      <c r="Y151" s="2"/>
      <c r="Z151" s="19">
        <f t="shared" si="19"/>
        <v>0</v>
      </c>
    </row>
    <row r="152" spans="1:26" s="24" customFormat="1" hidden="1" outlineLevel="1" x14ac:dyDescent="0.25">
      <c r="A152" s="44"/>
      <c r="B152" s="11" t="str">
        <f>CONCATENATE("          ", "5083", " - ", "PURCHASES @ COST-COMPUTER EQUI")</f>
        <v xml:space="preserve">          5083 - PURCHASES @ COST-COMPUTER EQUI</v>
      </c>
      <c r="C152" s="11"/>
      <c r="D152" s="2">
        <v>5662.46</v>
      </c>
      <c r="E152" s="2"/>
      <c r="F152" s="19">
        <f t="shared" si="12"/>
        <v>1.0714169280075212E-2</v>
      </c>
      <c r="G152" s="2"/>
      <c r="H152" s="2"/>
      <c r="I152" s="2"/>
      <c r="J152" s="19">
        <f t="shared" si="13"/>
        <v>0</v>
      </c>
      <c r="K152" s="2"/>
      <c r="L152" s="2">
        <f t="shared" si="14"/>
        <v>5662.46</v>
      </c>
      <c r="M152" s="2"/>
      <c r="N152" s="19">
        <f t="shared" si="15"/>
        <v>0</v>
      </c>
      <c r="O152" s="11"/>
      <c r="P152" s="2">
        <v>54830.780000000006</v>
      </c>
      <c r="Q152" s="2"/>
      <c r="R152" s="19">
        <f t="shared" si="16"/>
        <v>7.7242050661085167E-3</v>
      </c>
      <c r="S152" s="2"/>
      <c r="T152" s="2"/>
      <c r="U152" s="2"/>
      <c r="V152" s="19">
        <f t="shared" si="17"/>
        <v>0</v>
      </c>
      <c r="W152" s="2"/>
      <c r="X152" s="2">
        <f t="shared" si="18"/>
        <v>54830.780000000006</v>
      </c>
      <c r="Y152" s="2"/>
      <c r="Z152" s="19">
        <f t="shared" si="19"/>
        <v>0</v>
      </c>
    </row>
    <row r="153" spans="1:26" s="24" customFormat="1" hidden="1" outlineLevel="1" x14ac:dyDescent="0.25">
      <c r="A153" s="44"/>
      <c r="B153" s="11" t="str">
        <f>CONCATENATE("          ", "5084", " - ", "PURCHASES @ COST-SOFTWARE LICE")</f>
        <v xml:space="preserve">          5084 - PURCHASES @ COST-SOFTWARE LICE</v>
      </c>
      <c r="C153" s="11"/>
      <c r="D153" s="2"/>
      <c r="E153" s="2"/>
      <c r="F153" s="19">
        <f t="shared" si="12"/>
        <v>0</v>
      </c>
      <c r="G153" s="2"/>
      <c r="H153" s="2"/>
      <c r="I153" s="2"/>
      <c r="J153" s="19">
        <f t="shared" si="13"/>
        <v>0</v>
      </c>
      <c r="K153" s="2"/>
      <c r="L153" s="2">
        <f t="shared" si="14"/>
        <v>0</v>
      </c>
      <c r="M153" s="2"/>
      <c r="N153" s="19">
        <f t="shared" si="15"/>
        <v>0</v>
      </c>
      <c r="O153" s="11"/>
      <c r="P153" s="2">
        <v>2728</v>
      </c>
      <c r="Q153" s="2"/>
      <c r="R153" s="19">
        <f t="shared" si="16"/>
        <v>3.8430296669761095E-4</v>
      </c>
      <c r="S153" s="2"/>
      <c r="T153" s="2"/>
      <c r="U153" s="2"/>
      <c r="V153" s="19">
        <f t="shared" si="17"/>
        <v>0</v>
      </c>
      <c r="W153" s="2"/>
      <c r="X153" s="2">
        <f t="shared" si="18"/>
        <v>2728</v>
      </c>
      <c r="Y153" s="2"/>
      <c r="Z153" s="19">
        <f t="shared" si="19"/>
        <v>0</v>
      </c>
    </row>
    <row r="154" spans="1:26" s="24" customFormat="1" hidden="1" outlineLevel="1" x14ac:dyDescent="0.25">
      <c r="A154" s="44"/>
      <c r="B154" s="11" t="str">
        <f>CONCATENATE("          ", "5085", " - ", "PURCHASES @ COST-SOFTWARE")</f>
        <v xml:space="preserve">          5085 - PURCHASES @ COST-SOFTWARE</v>
      </c>
      <c r="C154" s="11"/>
      <c r="D154" s="2">
        <v>780.26</v>
      </c>
      <c r="E154" s="2"/>
      <c r="F154" s="19">
        <f t="shared" si="12"/>
        <v>1.476361461709484E-3</v>
      </c>
      <c r="G154" s="2"/>
      <c r="H154" s="2"/>
      <c r="I154" s="2"/>
      <c r="J154" s="19">
        <f t="shared" si="13"/>
        <v>0</v>
      </c>
      <c r="K154" s="2"/>
      <c r="L154" s="2">
        <f t="shared" si="14"/>
        <v>780.26</v>
      </c>
      <c r="M154" s="2"/>
      <c r="N154" s="19">
        <f t="shared" si="15"/>
        <v>0</v>
      </c>
      <c r="O154" s="11"/>
      <c r="P154" s="2">
        <v>7860.66</v>
      </c>
      <c r="Q154" s="2"/>
      <c r="R154" s="19">
        <f t="shared" si="16"/>
        <v>1.1073588556456168E-3</v>
      </c>
      <c r="S154" s="2"/>
      <c r="T154" s="2"/>
      <c r="U154" s="2"/>
      <c r="V154" s="19">
        <f t="shared" si="17"/>
        <v>0</v>
      </c>
      <c r="W154" s="2"/>
      <c r="X154" s="2">
        <f t="shared" si="18"/>
        <v>7860.66</v>
      </c>
      <c r="Y154" s="2"/>
      <c r="Z154" s="19">
        <f t="shared" si="19"/>
        <v>0</v>
      </c>
    </row>
    <row r="155" spans="1:26" s="24" customFormat="1" hidden="1" outlineLevel="1" x14ac:dyDescent="0.25">
      <c r="A155" s="44"/>
      <c r="B155" s="11" t="str">
        <f>CONCATENATE("          ", "5086", " - ", "PURCHASES @ COST-COMPUTER SUPP")</f>
        <v xml:space="preserve">          5086 - PURCHASES @ COST-COMPUTER SUPP</v>
      </c>
      <c r="C155" s="11"/>
      <c r="D155" s="2">
        <v>1560.99</v>
      </c>
      <c r="E155" s="2"/>
      <c r="F155" s="19">
        <f t="shared" si="12"/>
        <v>2.9536122294028752E-3</v>
      </c>
      <c r="G155" s="2"/>
      <c r="H155" s="2"/>
      <c r="I155" s="2"/>
      <c r="J155" s="19">
        <f t="shared" si="13"/>
        <v>0</v>
      </c>
      <c r="K155" s="2"/>
      <c r="L155" s="2">
        <f t="shared" si="14"/>
        <v>1560.99</v>
      </c>
      <c r="M155" s="2"/>
      <c r="N155" s="19">
        <f t="shared" si="15"/>
        <v>0</v>
      </c>
      <c r="O155" s="11"/>
      <c r="P155" s="2">
        <v>20983.64</v>
      </c>
      <c r="Q155" s="2"/>
      <c r="R155" s="19">
        <f t="shared" si="16"/>
        <v>2.9560392610390972E-3</v>
      </c>
      <c r="S155" s="2"/>
      <c r="T155" s="2"/>
      <c r="U155" s="2"/>
      <c r="V155" s="19">
        <f t="shared" si="17"/>
        <v>0</v>
      </c>
      <c r="W155" s="2"/>
      <c r="X155" s="2">
        <f t="shared" si="18"/>
        <v>20983.64</v>
      </c>
      <c r="Y155" s="2"/>
      <c r="Z155" s="19">
        <f t="shared" si="19"/>
        <v>0</v>
      </c>
    </row>
    <row r="156" spans="1:26" s="24" customFormat="1" hidden="1" outlineLevel="1" x14ac:dyDescent="0.25">
      <c r="A156" s="44"/>
      <c r="B156" s="11" t="str">
        <f>CONCATENATE("          ", "5088", " - ", "PURCHASES @ COST-MUSIC")</f>
        <v xml:space="preserve">          5088 - PURCHASES @ COST-MUSIC</v>
      </c>
      <c r="C156" s="11"/>
      <c r="D156" s="2"/>
      <c r="E156" s="2"/>
      <c r="F156" s="19">
        <f t="shared" si="12"/>
        <v>0</v>
      </c>
      <c r="G156" s="2"/>
      <c r="H156" s="2"/>
      <c r="I156" s="2"/>
      <c r="J156" s="19">
        <f t="shared" si="13"/>
        <v>0</v>
      </c>
      <c r="K156" s="2"/>
      <c r="L156" s="2">
        <f t="shared" si="14"/>
        <v>0</v>
      </c>
      <c r="M156" s="2"/>
      <c r="N156" s="19">
        <f t="shared" si="15"/>
        <v>0</v>
      </c>
      <c r="O156" s="11"/>
      <c r="P156" s="2">
        <v>88.75</v>
      </c>
      <c r="Q156" s="2"/>
      <c r="R156" s="19">
        <f t="shared" si="16"/>
        <v>1.2502525034608861E-5</v>
      </c>
      <c r="S156" s="2"/>
      <c r="T156" s="2"/>
      <c r="U156" s="2"/>
      <c r="V156" s="19">
        <f t="shared" si="17"/>
        <v>0</v>
      </c>
      <c r="W156" s="2"/>
      <c r="X156" s="2">
        <f t="shared" si="18"/>
        <v>88.75</v>
      </c>
      <c r="Y156" s="2"/>
      <c r="Z156" s="19">
        <f t="shared" si="19"/>
        <v>0</v>
      </c>
    </row>
    <row r="157" spans="1:26" s="24" customFormat="1" hidden="1" outlineLevel="1" x14ac:dyDescent="0.25">
      <c r="A157" s="44"/>
      <c r="B157" s="11" t="str">
        <f>CONCATENATE("          ", "5092", " - ", "PURCHASES @ COST-GRAD MERCH")</f>
        <v xml:space="preserve">          5092 - PURCHASES @ COST-GRAD MERCH</v>
      </c>
      <c r="C157" s="11"/>
      <c r="D157" s="2"/>
      <c r="E157" s="2"/>
      <c r="F157" s="19">
        <f t="shared" si="12"/>
        <v>0</v>
      </c>
      <c r="G157" s="2"/>
      <c r="H157" s="2"/>
      <c r="I157" s="2"/>
      <c r="J157" s="19">
        <f t="shared" si="13"/>
        <v>0</v>
      </c>
      <c r="K157" s="2"/>
      <c r="L157" s="2">
        <f t="shared" si="14"/>
        <v>0</v>
      </c>
      <c r="M157" s="2"/>
      <c r="N157" s="19">
        <f t="shared" si="15"/>
        <v>0</v>
      </c>
      <c r="O157" s="11"/>
      <c r="P157" s="2">
        <v>1924.14</v>
      </c>
      <c r="Q157" s="2"/>
      <c r="R157" s="19">
        <f t="shared" si="16"/>
        <v>2.7106037769118079E-4</v>
      </c>
      <c r="S157" s="2"/>
      <c r="T157" s="2"/>
      <c r="U157" s="2"/>
      <c r="V157" s="19">
        <f t="shared" si="17"/>
        <v>0</v>
      </c>
      <c r="W157" s="2"/>
      <c r="X157" s="2">
        <f t="shared" si="18"/>
        <v>1924.14</v>
      </c>
      <c r="Y157" s="2"/>
      <c r="Z157" s="19">
        <f t="shared" si="19"/>
        <v>0</v>
      </c>
    </row>
    <row r="158" spans="1:26" s="24" customFormat="1" hidden="1" outlineLevel="1" x14ac:dyDescent="0.25">
      <c r="A158" s="44"/>
      <c r="B158" s="11" t="str">
        <f>CONCATENATE("          ", "5095", " - ", "PURCHASES @ COST-CUSTOMER SERV")</f>
        <v xml:space="preserve">          5095 - PURCHASES @ COST-CUSTOMER SERV</v>
      </c>
      <c r="C158" s="11"/>
      <c r="D158" s="2"/>
      <c r="E158" s="2"/>
      <c r="F158" s="19">
        <f t="shared" si="12"/>
        <v>0</v>
      </c>
      <c r="G158" s="2"/>
      <c r="H158" s="2"/>
      <c r="I158" s="2"/>
      <c r="J158" s="19">
        <f t="shared" si="13"/>
        <v>0</v>
      </c>
      <c r="K158" s="2"/>
      <c r="L158" s="2">
        <f t="shared" si="14"/>
        <v>0</v>
      </c>
      <c r="M158" s="2"/>
      <c r="N158" s="19">
        <f t="shared" si="15"/>
        <v>0</v>
      </c>
      <c r="O158" s="11"/>
      <c r="P158" s="2">
        <v>0</v>
      </c>
      <c r="Q158" s="2"/>
      <c r="R158" s="19">
        <f t="shared" si="16"/>
        <v>0</v>
      </c>
      <c r="S158" s="2"/>
      <c r="T158" s="2"/>
      <c r="U158" s="2"/>
      <c r="V158" s="19">
        <f t="shared" si="17"/>
        <v>0</v>
      </c>
      <c r="W158" s="2"/>
      <c r="X158" s="2">
        <f t="shared" si="18"/>
        <v>0</v>
      </c>
      <c r="Y158" s="2"/>
      <c r="Z158" s="19">
        <f t="shared" si="19"/>
        <v>0</v>
      </c>
    </row>
    <row r="159" spans="1:26" s="24" customFormat="1" hidden="1" outlineLevel="1" x14ac:dyDescent="0.25">
      <c r="A159" s="44"/>
      <c r="B159" s="11" t="str">
        <f>CONCATENATE("          ", "5200", " - ", "PURCHASES OFFSET")</f>
        <v xml:space="preserve">          5200 - PURCHASES OFFSET</v>
      </c>
      <c r="C159" s="11"/>
      <c r="D159" s="2">
        <v>-422519</v>
      </c>
      <c r="E159" s="2"/>
      <c r="F159" s="19">
        <f t="shared" si="12"/>
        <v>-0.79946526598829815</v>
      </c>
      <c r="G159" s="2"/>
      <c r="H159" s="2"/>
      <c r="I159" s="2"/>
      <c r="J159" s="19">
        <f t="shared" si="13"/>
        <v>0</v>
      </c>
      <c r="K159" s="2"/>
      <c r="L159" s="2">
        <f t="shared" si="14"/>
        <v>-422519</v>
      </c>
      <c r="M159" s="2"/>
      <c r="N159" s="19">
        <f t="shared" si="15"/>
        <v>0</v>
      </c>
      <c r="O159" s="11"/>
      <c r="P159" s="2">
        <v>-4268163</v>
      </c>
      <c r="Q159" s="2"/>
      <c r="R159" s="19">
        <f t="shared" si="16"/>
        <v>-0.60127115221736627</v>
      </c>
      <c r="S159" s="2"/>
      <c r="T159" s="2"/>
      <c r="U159" s="2"/>
      <c r="V159" s="19">
        <f t="shared" si="17"/>
        <v>0</v>
      </c>
      <c r="W159" s="2"/>
      <c r="X159" s="2">
        <f t="shared" si="18"/>
        <v>-4268163</v>
      </c>
      <c r="Y159" s="2"/>
      <c r="Z159" s="19">
        <f t="shared" si="19"/>
        <v>0</v>
      </c>
    </row>
    <row r="160" spans="1:26" s="24" customFormat="1" hidden="1" outlineLevel="1" x14ac:dyDescent="0.25">
      <c r="A160" s="44"/>
      <c r="B160" s="11" t="str">
        <f>CONCATENATE("          ", "5300", " - ", "COG$ OFFSET")</f>
        <v xml:space="preserve">          5300 - COG$ OFFSET</v>
      </c>
      <c r="C160" s="11"/>
      <c r="D160" s="2">
        <v>240738.46999999997</v>
      </c>
      <c r="E160" s="2"/>
      <c r="F160" s="19">
        <f t="shared" si="12"/>
        <v>0.45551098282483365</v>
      </c>
      <c r="G160" s="2"/>
      <c r="H160" s="2"/>
      <c r="I160" s="2"/>
      <c r="J160" s="19">
        <f t="shared" si="13"/>
        <v>0</v>
      </c>
      <c r="K160" s="2"/>
      <c r="L160" s="2">
        <f t="shared" si="14"/>
        <v>240738.46999999997</v>
      </c>
      <c r="M160" s="2"/>
      <c r="N160" s="19">
        <f t="shared" si="15"/>
        <v>0</v>
      </c>
      <c r="O160" s="11"/>
      <c r="P160" s="2">
        <v>3920135.4699999997</v>
      </c>
      <c r="Q160" s="2"/>
      <c r="R160" s="19">
        <f t="shared" si="16"/>
        <v>0.5522432884815005</v>
      </c>
      <c r="S160" s="2"/>
      <c r="T160" s="2"/>
      <c r="U160" s="2"/>
      <c r="V160" s="19">
        <f t="shared" si="17"/>
        <v>0</v>
      </c>
      <c r="W160" s="2"/>
      <c r="X160" s="2">
        <f t="shared" si="18"/>
        <v>3920135.4699999997</v>
      </c>
      <c r="Y160" s="2"/>
      <c r="Z160" s="19">
        <f t="shared" si="19"/>
        <v>0</v>
      </c>
    </row>
    <row r="161" spans="1:26" s="24" customFormat="1" hidden="1" outlineLevel="1" x14ac:dyDescent="0.25">
      <c r="A161" s="44"/>
      <c r="B161" s="11" t="str">
        <f>CONCATENATE("          ", "5500", " - ", "FREIGHT-IN")</f>
        <v xml:space="preserve">          5500 - FREIGHT-IN</v>
      </c>
      <c r="C161" s="11"/>
      <c r="D161" s="2">
        <v>80</v>
      </c>
      <c r="E161" s="2"/>
      <c r="F161" s="19">
        <f t="shared" si="12"/>
        <v>1.5137123130335879E-4</v>
      </c>
      <c r="G161" s="2"/>
      <c r="H161" s="2"/>
      <c r="I161" s="2"/>
      <c r="J161" s="19">
        <f t="shared" si="13"/>
        <v>0</v>
      </c>
      <c r="K161" s="2"/>
      <c r="L161" s="2">
        <f t="shared" si="14"/>
        <v>80</v>
      </c>
      <c r="M161" s="2"/>
      <c r="N161" s="19">
        <f t="shared" si="15"/>
        <v>0</v>
      </c>
      <c r="O161" s="11"/>
      <c r="P161" s="2">
        <v>115.23</v>
      </c>
      <c r="Q161" s="2"/>
      <c r="R161" s="19">
        <f t="shared" si="16"/>
        <v>1.6232855884371595E-5</v>
      </c>
      <c r="S161" s="2"/>
      <c r="T161" s="2"/>
      <c r="U161" s="2"/>
      <c r="V161" s="19">
        <f t="shared" si="17"/>
        <v>0</v>
      </c>
      <c r="W161" s="2"/>
      <c r="X161" s="2">
        <f t="shared" si="18"/>
        <v>115.23</v>
      </c>
      <c r="Y161" s="2"/>
      <c r="Z161" s="19">
        <f t="shared" si="19"/>
        <v>0</v>
      </c>
    </row>
    <row r="162" spans="1:26" s="24" customFormat="1" hidden="1" outlineLevel="1" x14ac:dyDescent="0.25">
      <c r="A162" s="44"/>
      <c r="B162" s="11" t="str">
        <f>CONCATENATE("          ", "5501", " - ", "FREIGHT-IN-NEW TEXT")</f>
        <v xml:space="preserve">          5501 - FREIGHT-IN-NEW TEXT</v>
      </c>
      <c r="C162" s="11"/>
      <c r="D162" s="2">
        <v>4162.3900000000003</v>
      </c>
      <c r="E162" s="2"/>
      <c r="F162" s="19">
        <f t="shared" si="12"/>
        <v>7.8758262433098452E-3</v>
      </c>
      <c r="G162" s="2"/>
      <c r="H162" s="2"/>
      <c r="I162" s="2"/>
      <c r="J162" s="19">
        <f t="shared" si="13"/>
        <v>0</v>
      </c>
      <c r="K162" s="2"/>
      <c r="L162" s="2">
        <f t="shared" si="14"/>
        <v>4162.3900000000003</v>
      </c>
      <c r="M162" s="2"/>
      <c r="N162" s="19">
        <f t="shared" si="15"/>
        <v>0</v>
      </c>
      <c r="O162" s="11"/>
      <c r="P162" s="2">
        <v>38669.939999999995</v>
      </c>
      <c r="Q162" s="2"/>
      <c r="R162" s="19">
        <f t="shared" si="16"/>
        <v>5.4475706246402533E-3</v>
      </c>
      <c r="S162" s="2"/>
      <c r="T162" s="2"/>
      <c r="U162" s="2"/>
      <c r="V162" s="19">
        <f t="shared" si="17"/>
        <v>0</v>
      </c>
      <c r="W162" s="2"/>
      <c r="X162" s="2">
        <f t="shared" si="18"/>
        <v>38669.939999999995</v>
      </c>
      <c r="Y162" s="2"/>
      <c r="Z162" s="19">
        <f t="shared" si="19"/>
        <v>0</v>
      </c>
    </row>
    <row r="163" spans="1:26" s="24" customFormat="1" hidden="1" outlineLevel="1" x14ac:dyDescent="0.25">
      <c r="A163" s="44"/>
      <c r="B163" s="11" t="str">
        <f>CONCATENATE("          ", "5502", " - ", "FREIGHT-IN-USED TEXT")</f>
        <v xml:space="preserve">          5502 - FREIGHT-IN-USED TEXT</v>
      </c>
      <c r="C163" s="11"/>
      <c r="D163" s="2">
        <v>563.29999999999995</v>
      </c>
      <c r="E163" s="2"/>
      <c r="F163" s="19">
        <f t="shared" si="12"/>
        <v>1.0658426824147749E-3</v>
      </c>
      <c r="G163" s="2"/>
      <c r="H163" s="2"/>
      <c r="I163" s="2"/>
      <c r="J163" s="19">
        <f t="shared" si="13"/>
        <v>0</v>
      </c>
      <c r="K163" s="2"/>
      <c r="L163" s="2">
        <f t="shared" si="14"/>
        <v>563.29999999999995</v>
      </c>
      <c r="M163" s="2"/>
      <c r="N163" s="19">
        <f t="shared" si="15"/>
        <v>0</v>
      </c>
      <c r="O163" s="11"/>
      <c r="P163" s="2">
        <v>7653.42</v>
      </c>
      <c r="Q163" s="2"/>
      <c r="R163" s="19">
        <f t="shared" si="16"/>
        <v>1.0781642270464918E-3</v>
      </c>
      <c r="S163" s="2"/>
      <c r="T163" s="2"/>
      <c r="U163" s="2"/>
      <c r="V163" s="19">
        <f t="shared" si="17"/>
        <v>0</v>
      </c>
      <c r="W163" s="2"/>
      <c r="X163" s="2">
        <f t="shared" si="18"/>
        <v>7653.42</v>
      </c>
      <c r="Y163" s="2"/>
      <c r="Z163" s="19">
        <f t="shared" si="19"/>
        <v>0</v>
      </c>
    </row>
    <row r="164" spans="1:26" s="24" customFormat="1" hidden="1" outlineLevel="1" x14ac:dyDescent="0.25">
      <c r="A164" s="44"/>
      <c r="B164" s="11" t="str">
        <f>CONCATENATE("          ", "5504", " - ", "FREIGHT-IN-DIGITAL TEXT")</f>
        <v xml:space="preserve">          5504 - FREIGHT-IN-DIGITAL TEXT</v>
      </c>
      <c r="C164" s="11"/>
      <c r="D164" s="2"/>
      <c r="E164" s="2"/>
      <c r="F164" s="19">
        <f t="shared" si="12"/>
        <v>0</v>
      </c>
      <c r="G164" s="2"/>
      <c r="H164" s="2"/>
      <c r="I164" s="2"/>
      <c r="J164" s="19">
        <f t="shared" si="13"/>
        <v>0</v>
      </c>
      <c r="K164" s="2"/>
      <c r="L164" s="2">
        <f t="shared" si="14"/>
        <v>0</v>
      </c>
      <c r="M164" s="2"/>
      <c r="N164" s="19">
        <f t="shared" si="15"/>
        <v>0</v>
      </c>
      <c r="O164" s="11"/>
      <c r="P164" s="2">
        <v>105.97</v>
      </c>
      <c r="Q164" s="2"/>
      <c r="R164" s="19">
        <f t="shared" si="16"/>
        <v>1.4928367075126771E-5</v>
      </c>
      <c r="S164" s="2"/>
      <c r="T164" s="2"/>
      <c r="U164" s="2"/>
      <c r="V164" s="19">
        <f t="shared" si="17"/>
        <v>0</v>
      </c>
      <c r="W164" s="2"/>
      <c r="X164" s="2">
        <f t="shared" si="18"/>
        <v>105.97</v>
      </c>
      <c r="Y164" s="2"/>
      <c r="Z164" s="19">
        <f t="shared" si="19"/>
        <v>0</v>
      </c>
    </row>
    <row r="165" spans="1:26" s="24" customFormat="1" hidden="1" outlineLevel="1" x14ac:dyDescent="0.25">
      <c r="A165" s="44"/>
      <c r="B165" s="11" t="str">
        <f>CONCATENATE("          ", "5513", " - ", "FREIGHT-IN-TRADE BOOKS")</f>
        <v xml:space="preserve">          5513 - FREIGHT-IN-TRADE BOOKS</v>
      </c>
      <c r="C165" s="11"/>
      <c r="D165" s="2">
        <v>9.08</v>
      </c>
      <c r="E165" s="2"/>
      <c r="F165" s="19">
        <f t="shared" si="12"/>
        <v>1.7180634752931221E-5</v>
      </c>
      <c r="G165" s="2"/>
      <c r="H165" s="2"/>
      <c r="I165" s="2"/>
      <c r="J165" s="19">
        <f t="shared" si="13"/>
        <v>0</v>
      </c>
      <c r="K165" s="2"/>
      <c r="L165" s="2">
        <f t="shared" si="14"/>
        <v>9.08</v>
      </c>
      <c r="M165" s="2"/>
      <c r="N165" s="19">
        <f t="shared" si="15"/>
        <v>0</v>
      </c>
      <c r="O165" s="11"/>
      <c r="P165" s="2">
        <v>21.41</v>
      </c>
      <c r="Q165" s="2"/>
      <c r="R165" s="19">
        <f t="shared" si="16"/>
        <v>3.0161020956729654E-6</v>
      </c>
      <c r="S165" s="2"/>
      <c r="T165" s="2"/>
      <c r="U165" s="2"/>
      <c r="V165" s="19">
        <f t="shared" si="17"/>
        <v>0</v>
      </c>
      <c r="W165" s="2"/>
      <c r="X165" s="2">
        <f t="shared" si="18"/>
        <v>21.41</v>
      </c>
      <c r="Y165" s="2"/>
      <c r="Z165" s="19">
        <f t="shared" si="19"/>
        <v>0</v>
      </c>
    </row>
    <row r="166" spans="1:26" s="24" customFormat="1" hidden="1" outlineLevel="1" x14ac:dyDescent="0.25">
      <c r="A166" s="44"/>
      <c r="B166" s="11" t="str">
        <f>CONCATENATE("          ", "5518", " - ", "FREIGHT-IN-STUDY GUIDES")</f>
        <v xml:space="preserve">          5518 - FREIGHT-IN-STUDY GUIDES</v>
      </c>
      <c r="C166" s="11"/>
      <c r="D166" s="2">
        <v>8.8699999999999992</v>
      </c>
      <c r="E166" s="2"/>
      <c r="F166" s="19">
        <f t="shared" si="12"/>
        <v>1.6783285270759904E-5</v>
      </c>
      <c r="G166" s="2"/>
      <c r="H166" s="2"/>
      <c r="I166" s="2"/>
      <c r="J166" s="19">
        <f t="shared" si="13"/>
        <v>0</v>
      </c>
      <c r="K166" s="2"/>
      <c r="L166" s="2">
        <f t="shared" si="14"/>
        <v>8.8699999999999992</v>
      </c>
      <c r="M166" s="2"/>
      <c r="N166" s="19">
        <f t="shared" si="15"/>
        <v>0</v>
      </c>
      <c r="O166" s="11"/>
      <c r="P166" s="2">
        <v>21.13</v>
      </c>
      <c r="Q166" s="2"/>
      <c r="R166" s="19">
        <f t="shared" si="16"/>
        <v>2.976657509648284E-6</v>
      </c>
      <c r="S166" s="2"/>
      <c r="T166" s="2"/>
      <c r="U166" s="2"/>
      <c r="V166" s="19">
        <f t="shared" si="17"/>
        <v>0</v>
      </c>
      <c r="W166" s="2"/>
      <c r="X166" s="2">
        <f t="shared" si="18"/>
        <v>21.13</v>
      </c>
      <c r="Y166" s="2"/>
      <c r="Z166" s="19">
        <f t="shared" si="19"/>
        <v>0</v>
      </c>
    </row>
    <row r="167" spans="1:26" s="24" customFormat="1" hidden="1" outlineLevel="1" x14ac:dyDescent="0.25">
      <c r="A167" s="44"/>
      <c r="B167" s="11" t="str">
        <f>CONCATENATE("          ", "5525", " - ", "FREIGHT-IN-TEST FORMS")</f>
        <v xml:space="preserve">          5525 - FREIGHT-IN-TEST FORMS</v>
      </c>
      <c r="C167" s="11"/>
      <c r="D167" s="2">
        <v>247.49</v>
      </c>
      <c r="E167" s="2"/>
      <c r="F167" s="19">
        <f t="shared" si="12"/>
        <v>4.6828582544085329E-4</v>
      </c>
      <c r="G167" s="2"/>
      <c r="H167" s="2"/>
      <c r="I167" s="2"/>
      <c r="J167" s="19">
        <f t="shared" si="13"/>
        <v>0</v>
      </c>
      <c r="K167" s="2"/>
      <c r="L167" s="2">
        <f t="shared" si="14"/>
        <v>247.49</v>
      </c>
      <c r="M167" s="2"/>
      <c r="N167" s="19">
        <f t="shared" si="15"/>
        <v>0</v>
      </c>
      <c r="O167" s="11"/>
      <c r="P167" s="2">
        <v>622.41</v>
      </c>
      <c r="Q167" s="2"/>
      <c r="R167" s="19">
        <f t="shared" si="16"/>
        <v>8.7681088527221418E-5</v>
      </c>
      <c r="S167" s="2"/>
      <c r="T167" s="2"/>
      <c r="U167" s="2"/>
      <c r="V167" s="19">
        <f t="shared" si="17"/>
        <v>0</v>
      </c>
      <c r="W167" s="2"/>
      <c r="X167" s="2">
        <f t="shared" si="18"/>
        <v>622.41</v>
      </c>
      <c r="Y167" s="2"/>
      <c r="Z167" s="19">
        <f t="shared" si="19"/>
        <v>0</v>
      </c>
    </row>
    <row r="168" spans="1:26" s="24" customFormat="1" hidden="1" outlineLevel="1" x14ac:dyDescent="0.25">
      <c r="A168" s="44"/>
      <c r="B168" s="11" t="str">
        <f>CONCATENATE("          ", "5526", " - ", "FREIGHT-IN-WRITING INSTRUMENTS")</f>
        <v xml:space="preserve">          5526 - FREIGHT-IN-WRITING INSTRUMENTS</v>
      </c>
      <c r="C168" s="11"/>
      <c r="D168" s="2">
        <v>42.86</v>
      </c>
      <c r="E168" s="2"/>
      <c r="F168" s="19">
        <f t="shared" si="12"/>
        <v>8.1097137170774467E-5</v>
      </c>
      <c r="G168" s="2"/>
      <c r="H168" s="2"/>
      <c r="I168" s="2"/>
      <c r="J168" s="19">
        <f t="shared" si="13"/>
        <v>0</v>
      </c>
      <c r="K168" s="2"/>
      <c r="L168" s="2">
        <f t="shared" si="14"/>
        <v>42.86</v>
      </c>
      <c r="M168" s="2"/>
      <c r="N168" s="19">
        <f t="shared" si="15"/>
        <v>0</v>
      </c>
      <c r="O168" s="11"/>
      <c r="P168" s="2">
        <v>260.35000000000002</v>
      </c>
      <c r="Q168" s="2"/>
      <c r="R168" s="19">
        <f t="shared" si="16"/>
        <v>3.667642132687794E-5</v>
      </c>
      <c r="S168" s="2"/>
      <c r="T168" s="2"/>
      <c r="U168" s="2"/>
      <c r="V168" s="19">
        <f t="shared" si="17"/>
        <v>0</v>
      </c>
      <c r="W168" s="2"/>
      <c r="X168" s="2">
        <f t="shared" si="18"/>
        <v>260.35000000000002</v>
      </c>
      <c r="Y168" s="2"/>
      <c r="Z168" s="19">
        <f t="shared" si="19"/>
        <v>0</v>
      </c>
    </row>
    <row r="169" spans="1:26" s="24" customFormat="1" hidden="1" outlineLevel="1" x14ac:dyDescent="0.25">
      <c r="A169" s="44"/>
      <c r="B169" s="11" t="str">
        <f>CONCATENATE("          ", "5527", " - ", "FREIGHT-IN-SCHOOL SUPPLIES")</f>
        <v xml:space="preserve">          5527 - FREIGHT-IN-SCHOOL SUPPLIES</v>
      </c>
      <c r="C169" s="11"/>
      <c r="D169" s="2">
        <v>25.34</v>
      </c>
      <c r="E169" s="2"/>
      <c r="F169" s="19">
        <f t="shared" si="12"/>
        <v>4.7946837515338892E-5</v>
      </c>
      <c r="G169" s="2"/>
      <c r="H169" s="2"/>
      <c r="I169" s="2"/>
      <c r="J169" s="19">
        <f t="shared" si="13"/>
        <v>0</v>
      </c>
      <c r="K169" s="2"/>
      <c r="L169" s="2">
        <f t="shared" si="14"/>
        <v>25.34</v>
      </c>
      <c r="M169" s="2"/>
      <c r="N169" s="19">
        <f t="shared" si="15"/>
        <v>0</v>
      </c>
      <c r="O169" s="11"/>
      <c r="P169" s="2">
        <v>897.92</v>
      </c>
      <c r="Q169" s="2"/>
      <c r="R169" s="19">
        <f t="shared" si="16"/>
        <v>1.2649315244029282E-4</v>
      </c>
      <c r="S169" s="2"/>
      <c r="T169" s="2"/>
      <c r="U169" s="2"/>
      <c r="V169" s="19">
        <f t="shared" si="17"/>
        <v>0</v>
      </c>
      <c r="W169" s="2"/>
      <c r="X169" s="2">
        <f t="shared" si="18"/>
        <v>897.92</v>
      </c>
      <c r="Y169" s="2"/>
      <c r="Z169" s="19">
        <f t="shared" si="19"/>
        <v>0</v>
      </c>
    </row>
    <row r="170" spans="1:26" s="24" customFormat="1" hidden="1" outlineLevel="1" x14ac:dyDescent="0.25">
      <c r="A170" s="44"/>
      <c r="B170" s="11" t="str">
        <f>CONCATENATE("          ", "5528", " - ", "FREIGHT-IN-ART/TECH")</f>
        <v xml:space="preserve">          5528 - FREIGHT-IN-ART/TECH</v>
      </c>
      <c r="C170" s="11"/>
      <c r="D170" s="2">
        <v>187.14</v>
      </c>
      <c r="E170" s="2"/>
      <c r="F170" s="19">
        <f t="shared" si="12"/>
        <v>3.5409515282638199E-4</v>
      </c>
      <c r="G170" s="2"/>
      <c r="H170" s="2"/>
      <c r="I170" s="2"/>
      <c r="J170" s="19">
        <f t="shared" si="13"/>
        <v>0</v>
      </c>
      <c r="K170" s="2"/>
      <c r="L170" s="2">
        <f t="shared" si="14"/>
        <v>187.14</v>
      </c>
      <c r="M170" s="2"/>
      <c r="N170" s="19">
        <f t="shared" si="15"/>
        <v>0</v>
      </c>
      <c r="O170" s="11"/>
      <c r="P170" s="2">
        <v>1110.6400000000001</v>
      </c>
      <c r="Q170" s="2"/>
      <c r="R170" s="19">
        <f t="shared" si="16"/>
        <v>1.5645976793732941E-4</v>
      </c>
      <c r="S170" s="2"/>
      <c r="T170" s="2"/>
      <c r="U170" s="2"/>
      <c r="V170" s="19">
        <f t="shared" si="17"/>
        <v>0</v>
      </c>
      <c r="W170" s="2"/>
      <c r="X170" s="2">
        <f t="shared" si="18"/>
        <v>1110.6400000000001</v>
      </c>
      <c r="Y170" s="2"/>
      <c r="Z170" s="19">
        <f t="shared" si="19"/>
        <v>0</v>
      </c>
    </row>
    <row r="171" spans="1:26" s="24" customFormat="1" hidden="1" outlineLevel="1" x14ac:dyDescent="0.25">
      <c r="A171" s="44"/>
      <c r="B171" s="11" t="str">
        <f>CONCATENATE("          ", "5540", " - ", "FREIGHT-IN-LOGO CLOTHING")</f>
        <v xml:space="preserve">          5540 - FREIGHT-IN-LOGO CLOTHING</v>
      </c>
      <c r="C171" s="11"/>
      <c r="D171" s="2">
        <v>4036.06</v>
      </c>
      <c r="E171" s="2"/>
      <c r="F171" s="19">
        <f t="shared" si="12"/>
        <v>7.6367921476779279E-3</v>
      </c>
      <c r="G171" s="2"/>
      <c r="H171" s="2"/>
      <c r="I171" s="2"/>
      <c r="J171" s="19">
        <f t="shared" si="13"/>
        <v>0</v>
      </c>
      <c r="K171" s="2"/>
      <c r="L171" s="2">
        <f t="shared" si="14"/>
        <v>4036.06</v>
      </c>
      <c r="M171" s="2"/>
      <c r="N171" s="19">
        <f t="shared" si="15"/>
        <v>0</v>
      </c>
      <c r="O171" s="11"/>
      <c r="P171" s="2">
        <v>24277.390000000003</v>
      </c>
      <c r="Q171" s="2"/>
      <c r="R171" s="19">
        <f t="shared" si="16"/>
        <v>3.4200414225347927E-3</v>
      </c>
      <c r="S171" s="2"/>
      <c r="T171" s="2"/>
      <c r="U171" s="2"/>
      <c r="V171" s="19">
        <f t="shared" si="17"/>
        <v>0</v>
      </c>
      <c r="W171" s="2"/>
      <c r="X171" s="2">
        <f t="shared" si="18"/>
        <v>24277.390000000003</v>
      </c>
      <c r="Y171" s="2"/>
      <c r="Z171" s="19">
        <f t="shared" si="19"/>
        <v>0</v>
      </c>
    </row>
    <row r="172" spans="1:26" s="24" customFormat="1" hidden="1" outlineLevel="1" x14ac:dyDescent="0.25">
      <c r="A172" s="44"/>
      <c r="B172" s="11" t="str">
        <f>CONCATENATE("          ", "5541", " - ", "FREIGHT-IN-LOGO GIFTS")</f>
        <v xml:space="preserve">          5541 - FREIGHT-IN-LOGO GIFTS</v>
      </c>
      <c r="C172" s="11"/>
      <c r="D172" s="2">
        <v>709.94</v>
      </c>
      <c r="E172" s="2"/>
      <c r="F172" s="19">
        <f t="shared" si="12"/>
        <v>1.3433061493938318E-3</v>
      </c>
      <c r="G172" s="2"/>
      <c r="H172" s="2"/>
      <c r="I172" s="2"/>
      <c r="J172" s="19">
        <f t="shared" si="13"/>
        <v>0</v>
      </c>
      <c r="K172" s="2"/>
      <c r="L172" s="2">
        <f t="shared" si="14"/>
        <v>709.94</v>
      </c>
      <c r="M172" s="2"/>
      <c r="N172" s="19">
        <f t="shared" si="15"/>
        <v>0</v>
      </c>
      <c r="O172" s="11"/>
      <c r="P172" s="2">
        <v>3562.77</v>
      </c>
      <c r="Q172" s="2"/>
      <c r="R172" s="19">
        <f t="shared" si="16"/>
        <v>5.0189995625412296E-4</v>
      </c>
      <c r="S172" s="2"/>
      <c r="T172" s="2"/>
      <c r="U172" s="2"/>
      <c r="V172" s="19">
        <f t="shared" si="17"/>
        <v>0</v>
      </c>
      <c r="W172" s="2"/>
      <c r="X172" s="2">
        <f t="shared" si="18"/>
        <v>3562.77</v>
      </c>
      <c r="Y172" s="2"/>
      <c r="Z172" s="19">
        <f t="shared" si="19"/>
        <v>0</v>
      </c>
    </row>
    <row r="173" spans="1:26" s="24" customFormat="1" hidden="1" outlineLevel="1" x14ac:dyDescent="0.25">
      <c r="A173" s="44"/>
      <c r="B173" s="11" t="str">
        <f>CONCATENATE("          ", "5542", " - ", "FREIGHT-IN-EVERYDAY GIFTS")</f>
        <v xml:space="preserve">          5542 - FREIGHT-IN-EVERYDAY GIFTS</v>
      </c>
      <c r="C173" s="11"/>
      <c r="D173" s="2">
        <v>194.82</v>
      </c>
      <c r="E173" s="2"/>
      <c r="F173" s="19">
        <f t="shared" si="12"/>
        <v>3.6862679103150445E-4</v>
      </c>
      <c r="G173" s="2"/>
      <c r="H173" s="2"/>
      <c r="I173" s="2"/>
      <c r="J173" s="19">
        <f t="shared" si="13"/>
        <v>0</v>
      </c>
      <c r="K173" s="2"/>
      <c r="L173" s="2">
        <f t="shared" si="14"/>
        <v>194.82</v>
      </c>
      <c r="M173" s="2"/>
      <c r="N173" s="19">
        <f t="shared" si="15"/>
        <v>0</v>
      </c>
      <c r="O173" s="11"/>
      <c r="P173" s="2">
        <v>1708.33</v>
      </c>
      <c r="Q173" s="2"/>
      <c r="R173" s="19">
        <f t="shared" si="16"/>
        <v>2.406584630126575E-4</v>
      </c>
      <c r="S173" s="2"/>
      <c r="T173" s="2"/>
      <c r="U173" s="2"/>
      <c r="V173" s="19">
        <f t="shared" si="17"/>
        <v>0</v>
      </c>
      <c r="W173" s="2"/>
      <c r="X173" s="2">
        <f t="shared" si="18"/>
        <v>1708.33</v>
      </c>
      <c r="Y173" s="2"/>
      <c r="Z173" s="19">
        <f t="shared" si="19"/>
        <v>0</v>
      </c>
    </row>
    <row r="174" spans="1:26" s="24" customFormat="1" hidden="1" outlineLevel="1" x14ac:dyDescent="0.25">
      <c r="A174" s="44"/>
      <c r="B174" s="11" t="str">
        <f>CONCATENATE("          ", "5543", " - ", "FREIGHT-IN-CARDS")</f>
        <v xml:space="preserve">          5543 - FREIGHT-IN-CARDS</v>
      </c>
      <c r="C174" s="11"/>
      <c r="D174" s="2">
        <v>77.760000000000005</v>
      </c>
      <c r="E174" s="2"/>
      <c r="F174" s="19">
        <f t="shared" si="12"/>
        <v>1.4713283682686473E-4</v>
      </c>
      <c r="G174" s="2"/>
      <c r="H174" s="2"/>
      <c r="I174" s="2"/>
      <c r="J174" s="19">
        <f t="shared" si="13"/>
        <v>0</v>
      </c>
      <c r="K174" s="2"/>
      <c r="L174" s="2">
        <f t="shared" si="14"/>
        <v>77.760000000000005</v>
      </c>
      <c r="M174" s="2"/>
      <c r="N174" s="19">
        <f t="shared" si="15"/>
        <v>0</v>
      </c>
      <c r="O174" s="11"/>
      <c r="P174" s="2">
        <v>121.35</v>
      </c>
      <c r="Q174" s="2"/>
      <c r="R174" s="19">
        <f t="shared" si="16"/>
        <v>1.7095001836053917E-5</v>
      </c>
      <c r="S174" s="2"/>
      <c r="T174" s="2"/>
      <c r="U174" s="2"/>
      <c r="V174" s="19">
        <f t="shared" si="17"/>
        <v>0</v>
      </c>
      <c r="W174" s="2"/>
      <c r="X174" s="2">
        <f t="shared" si="18"/>
        <v>121.35</v>
      </c>
      <c r="Y174" s="2"/>
      <c r="Z174" s="19">
        <f t="shared" si="19"/>
        <v>0</v>
      </c>
    </row>
    <row r="175" spans="1:26" s="24" customFormat="1" hidden="1" outlineLevel="1" x14ac:dyDescent="0.25">
      <c r="A175" s="44"/>
      <c r="B175" s="11" t="str">
        <f>CONCATENATE("          ", "5544", " - ", "FREIGHT-IN-ACCESSORIES")</f>
        <v xml:space="preserve">          5544 - FREIGHT-IN-ACCESSORIES</v>
      </c>
      <c r="C175" s="11"/>
      <c r="D175" s="2">
        <v>28.4</v>
      </c>
      <c r="E175" s="2"/>
      <c r="F175" s="19">
        <f t="shared" si="12"/>
        <v>5.3736787112692361E-5</v>
      </c>
      <c r="G175" s="2"/>
      <c r="H175" s="2"/>
      <c r="I175" s="2"/>
      <c r="J175" s="19">
        <f t="shared" si="13"/>
        <v>0</v>
      </c>
      <c r="K175" s="2"/>
      <c r="L175" s="2">
        <f t="shared" si="14"/>
        <v>28.4</v>
      </c>
      <c r="M175" s="2"/>
      <c r="N175" s="19">
        <f t="shared" si="15"/>
        <v>0</v>
      </c>
      <c r="O175" s="11"/>
      <c r="P175" s="2">
        <v>442.31</v>
      </c>
      <c r="Q175" s="2"/>
      <c r="R175" s="19">
        <f t="shared" si="16"/>
        <v>6.230976730206023E-5</v>
      </c>
      <c r="S175" s="2"/>
      <c r="T175" s="2"/>
      <c r="U175" s="2"/>
      <c r="V175" s="19">
        <f t="shared" si="17"/>
        <v>0</v>
      </c>
      <c r="W175" s="2"/>
      <c r="X175" s="2">
        <f t="shared" si="18"/>
        <v>442.31</v>
      </c>
      <c r="Y175" s="2"/>
      <c r="Z175" s="19">
        <f t="shared" si="19"/>
        <v>0</v>
      </c>
    </row>
    <row r="176" spans="1:26" s="24" customFormat="1" hidden="1" outlineLevel="1" x14ac:dyDescent="0.25">
      <c r="A176" s="44"/>
      <c r="B176" s="11" t="str">
        <f>CONCATENATE("          ", "5545", " - ", "FREIGHT-IN-SPECIAL ORDERS")</f>
        <v xml:space="preserve">          5545 - FREIGHT-IN-SPECIAL ORDERS</v>
      </c>
      <c r="C176" s="11"/>
      <c r="D176" s="2">
        <v>322.61</v>
      </c>
      <c r="E176" s="2"/>
      <c r="F176" s="19">
        <f t="shared" si="12"/>
        <v>6.1042341163470724E-4</v>
      </c>
      <c r="G176" s="2"/>
      <c r="H176" s="2"/>
      <c r="I176" s="2"/>
      <c r="J176" s="19">
        <f t="shared" si="13"/>
        <v>0</v>
      </c>
      <c r="K176" s="2"/>
      <c r="L176" s="2">
        <f t="shared" si="14"/>
        <v>322.61</v>
      </c>
      <c r="M176" s="2"/>
      <c r="N176" s="19">
        <f t="shared" si="15"/>
        <v>0</v>
      </c>
      <c r="O176" s="11"/>
      <c r="P176" s="2">
        <v>827.67</v>
      </c>
      <c r="Q176" s="2"/>
      <c r="R176" s="19">
        <f t="shared" si="16"/>
        <v>1.1659678755374327E-4</v>
      </c>
      <c r="S176" s="2"/>
      <c r="T176" s="2"/>
      <c r="U176" s="2"/>
      <c r="V176" s="19">
        <f t="shared" si="17"/>
        <v>0</v>
      </c>
      <c r="W176" s="2"/>
      <c r="X176" s="2">
        <f t="shared" si="18"/>
        <v>827.67</v>
      </c>
      <c r="Y176" s="2"/>
      <c r="Z176" s="19">
        <f t="shared" si="19"/>
        <v>0</v>
      </c>
    </row>
    <row r="177" spans="1:26" s="24" customFormat="1" hidden="1" outlineLevel="1" x14ac:dyDescent="0.25">
      <c r="A177" s="44"/>
      <c r="B177" s="11" t="str">
        <f>CONCATENATE("          ", "5581", " - ", "FREIGHT-IN-ELECTRONICS")</f>
        <v xml:space="preserve">          5581 - FREIGHT-IN-ELECTRONICS</v>
      </c>
      <c r="C177" s="11"/>
      <c r="D177" s="2"/>
      <c r="E177" s="2"/>
      <c r="F177" s="19">
        <f t="shared" si="12"/>
        <v>0</v>
      </c>
      <c r="G177" s="2"/>
      <c r="H177" s="2"/>
      <c r="I177" s="2"/>
      <c r="J177" s="19">
        <f t="shared" si="13"/>
        <v>0</v>
      </c>
      <c r="K177" s="2"/>
      <c r="L177" s="2">
        <f t="shared" si="14"/>
        <v>0</v>
      </c>
      <c r="M177" s="2"/>
      <c r="N177" s="19">
        <f t="shared" si="15"/>
        <v>0</v>
      </c>
      <c r="O177" s="11"/>
      <c r="P177" s="2">
        <v>105.75</v>
      </c>
      <c r="Q177" s="2"/>
      <c r="R177" s="19">
        <f t="shared" si="16"/>
        <v>1.4897374900393093E-5</v>
      </c>
      <c r="S177" s="2"/>
      <c r="T177" s="2"/>
      <c r="U177" s="2"/>
      <c r="V177" s="19">
        <f t="shared" si="17"/>
        <v>0</v>
      </c>
      <c r="W177" s="2"/>
      <c r="X177" s="2">
        <f t="shared" si="18"/>
        <v>105.75</v>
      </c>
      <c r="Y177" s="2"/>
      <c r="Z177" s="19">
        <f t="shared" si="19"/>
        <v>0</v>
      </c>
    </row>
    <row r="178" spans="1:26" s="24" customFormat="1" hidden="1" outlineLevel="1" x14ac:dyDescent="0.25">
      <c r="A178" s="44"/>
      <c r="B178" s="11" t="str">
        <f>CONCATENATE("          ", "5582", " - ", "FREIGHT-IN-COMPUTER HARDWARE")</f>
        <v xml:space="preserve">          5582 - FREIGHT-IN-COMPUTER HARDWARE</v>
      </c>
      <c r="C178" s="11"/>
      <c r="D178" s="2"/>
      <c r="E178" s="2"/>
      <c r="F178" s="19">
        <f t="shared" si="12"/>
        <v>0</v>
      </c>
      <c r="G178" s="2"/>
      <c r="H178" s="2"/>
      <c r="I178" s="2"/>
      <c r="J178" s="19">
        <f t="shared" si="13"/>
        <v>0</v>
      </c>
      <c r="K178" s="2"/>
      <c r="L178" s="2">
        <f t="shared" si="14"/>
        <v>0</v>
      </c>
      <c r="M178" s="2"/>
      <c r="N178" s="19">
        <f t="shared" si="15"/>
        <v>0</v>
      </c>
      <c r="O178" s="11"/>
      <c r="P178" s="2">
        <v>4.84</v>
      </c>
      <c r="Q178" s="2"/>
      <c r="R178" s="19">
        <f t="shared" si="16"/>
        <v>6.8182784414092264E-7</v>
      </c>
      <c r="S178" s="2"/>
      <c r="T178" s="2"/>
      <c r="U178" s="2"/>
      <c r="V178" s="19">
        <f t="shared" si="17"/>
        <v>0</v>
      </c>
      <c r="W178" s="2"/>
      <c r="X178" s="2">
        <f t="shared" si="18"/>
        <v>4.84</v>
      </c>
      <c r="Y178" s="2"/>
      <c r="Z178" s="19">
        <f t="shared" si="19"/>
        <v>0</v>
      </c>
    </row>
    <row r="179" spans="1:26" s="24" customFormat="1" hidden="1" outlineLevel="1" x14ac:dyDescent="0.25">
      <c r="A179" s="44"/>
      <c r="B179" s="11" t="str">
        <f>CONCATENATE("          ", "5583", " - ", "FREIGHT-IN-COMPUTER EQUIPMENT")</f>
        <v xml:space="preserve">          5583 - FREIGHT-IN-COMPUTER EQUIPMENT</v>
      </c>
      <c r="C179" s="11"/>
      <c r="D179" s="2">
        <v>8.1199999999999992</v>
      </c>
      <c r="E179" s="2"/>
      <c r="F179" s="19">
        <f t="shared" si="12"/>
        <v>1.5364179977290914E-5</v>
      </c>
      <c r="G179" s="2"/>
      <c r="H179" s="2"/>
      <c r="I179" s="2"/>
      <c r="J179" s="19">
        <f t="shared" si="13"/>
        <v>0</v>
      </c>
      <c r="K179" s="2"/>
      <c r="L179" s="2">
        <f t="shared" si="14"/>
        <v>8.1199999999999992</v>
      </c>
      <c r="M179" s="2"/>
      <c r="N179" s="19">
        <f t="shared" si="15"/>
        <v>0</v>
      </c>
      <c r="O179" s="11"/>
      <c r="P179" s="2">
        <v>49.12</v>
      </c>
      <c r="Q179" s="2"/>
      <c r="R179" s="19">
        <f t="shared" si="16"/>
        <v>6.9197073769012639E-6</v>
      </c>
      <c r="S179" s="2"/>
      <c r="T179" s="2"/>
      <c r="U179" s="2"/>
      <c r="V179" s="19">
        <f t="shared" si="17"/>
        <v>0</v>
      </c>
      <c r="W179" s="2"/>
      <c r="X179" s="2">
        <f t="shared" si="18"/>
        <v>49.12</v>
      </c>
      <c r="Y179" s="2"/>
      <c r="Z179" s="19">
        <f t="shared" si="19"/>
        <v>0</v>
      </c>
    </row>
    <row r="180" spans="1:26" s="24" customFormat="1" hidden="1" outlineLevel="1" x14ac:dyDescent="0.25">
      <c r="A180" s="44"/>
      <c r="B180" s="11" t="str">
        <f>CONCATENATE("          ", "5586", " - ", "FREIGHT-IN-COMPUTER SUPPLIES")</f>
        <v xml:space="preserve">          5586 - FREIGHT-IN-COMPUTER SUPPLIES</v>
      </c>
      <c r="C180" s="11"/>
      <c r="D180" s="2"/>
      <c r="E180" s="2"/>
      <c r="F180" s="19">
        <f t="shared" si="12"/>
        <v>0</v>
      </c>
      <c r="G180" s="2"/>
      <c r="H180" s="2"/>
      <c r="I180" s="2"/>
      <c r="J180" s="19">
        <f t="shared" si="13"/>
        <v>0</v>
      </c>
      <c r="K180" s="2"/>
      <c r="L180" s="2">
        <f t="shared" si="14"/>
        <v>0</v>
      </c>
      <c r="M180" s="2"/>
      <c r="N180" s="19">
        <f t="shared" si="15"/>
        <v>0</v>
      </c>
      <c r="O180" s="11"/>
      <c r="P180" s="2">
        <v>162.51</v>
      </c>
      <c r="Q180" s="2"/>
      <c r="R180" s="19">
        <f t="shared" si="16"/>
        <v>2.2893355981682092E-5</v>
      </c>
      <c r="S180" s="2"/>
      <c r="T180" s="2"/>
      <c r="U180" s="2"/>
      <c r="V180" s="19">
        <f t="shared" si="17"/>
        <v>0</v>
      </c>
      <c r="W180" s="2"/>
      <c r="X180" s="2">
        <f t="shared" si="18"/>
        <v>162.51</v>
      </c>
      <c r="Y180" s="2"/>
      <c r="Z180" s="19">
        <f t="shared" si="19"/>
        <v>0</v>
      </c>
    </row>
    <row r="181" spans="1:26" s="24" customFormat="1" hidden="1" outlineLevel="1" x14ac:dyDescent="0.25">
      <c r="A181" s="44"/>
      <c r="B181" s="11" t="str">
        <f>CONCATENATE("          ", "5592", " - ", "FREIGHT-IN-GRAD MERCH")</f>
        <v xml:space="preserve">          5592 - FREIGHT-IN-GRAD MERCH</v>
      </c>
      <c r="C181" s="11"/>
      <c r="D181" s="2"/>
      <c r="E181" s="2"/>
      <c r="F181" s="19">
        <f t="shared" si="12"/>
        <v>0</v>
      </c>
      <c r="G181" s="2"/>
      <c r="H181" s="2"/>
      <c r="I181" s="2"/>
      <c r="J181" s="19">
        <f t="shared" si="13"/>
        <v>0</v>
      </c>
      <c r="K181" s="2"/>
      <c r="L181" s="2">
        <f t="shared" si="14"/>
        <v>0</v>
      </c>
      <c r="M181" s="2"/>
      <c r="N181" s="19">
        <f t="shared" si="15"/>
        <v>0</v>
      </c>
      <c r="O181" s="11"/>
      <c r="P181" s="2">
        <v>105.78</v>
      </c>
      <c r="Q181" s="2"/>
      <c r="R181" s="19">
        <f t="shared" si="16"/>
        <v>1.4901601106038595E-5</v>
      </c>
      <c r="S181" s="2"/>
      <c r="T181" s="2"/>
      <c r="U181" s="2"/>
      <c r="V181" s="19">
        <f t="shared" si="17"/>
        <v>0</v>
      </c>
      <c r="W181" s="2"/>
      <c r="X181" s="2">
        <f t="shared" si="18"/>
        <v>105.78</v>
      </c>
      <c r="Y181" s="2"/>
      <c r="Z181" s="19">
        <f t="shared" si="19"/>
        <v>0</v>
      </c>
    </row>
    <row r="182" spans="1:26" x14ac:dyDescent="0.25">
      <c r="A182" s="9"/>
      <c r="B182" s="10"/>
      <c r="C182" s="10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O182" s="10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x14ac:dyDescent="0.25">
      <c r="A183" s="10"/>
      <c r="B183" s="29" t="s">
        <v>6</v>
      </c>
      <c r="C183" s="29"/>
      <c r="D183" s="22">
        <f>D12-D123</f>
        <v>263793.15999999968</v>
      </c>
      <c r="E183" s="14"/>
      <c r="F183" s="20">
        <f>IF(D$12=0,0,D183/D$12)</f>
        <v>0.49913369298254856</v>
      </c>
      <c r="G183" s="14"/>
      <c r="H183" s="22">
        <f>H12-H123</f>
        <v>346838.26631000009</v>
      </c>
      <c r="I183" s="14"/>
      <c r="J183" s="20">
        <f>IF(H$12=0,0,H183/H$12)</f>
        <v>0.49333509871278264</v>
      </c>
      <c r="K183" s="16"/>
      <c r="L183" s="22">
        <f>+D183-H183</f>
        <v>-83045.10631000041</v>
      </c>
      <c r="M183" s="16"/>
      <c r="N183" s="20">
        <f>IF(H183=0,0,L183/H183)</f>
        <v>-0.23943467136286409</v>
      </c>
      <c r="O183" s="28"/>
      <c r="P183" s="22">
        <f>P12-P123</f>
        <v>2471092.2599999998</v>
      </c>
      <c r="Q183" s="14"/>
      <c r="R183" s="20">
        <f>IF(P$12=0,0,P183/P$12)</f>
        <v>0.34811146865890913</v>
      </c>
      <c r="S183" s="14"/>
      <c r="T183" s="22">
        <f>T12-T123</f>
        <v>2804012.1614199998</v>
      </c>
      <c r="U183" s="14"/>
      <c r="V183" s="20">
        <f>IF(T$12=0,0,T183/T$12)</f>
        <v>0.38618975101525854</v>
      </c>
      <c r="W183" s="16"/>
      <c r="X183" s="22">
        <f>+P183-T183</f>
        <v>-332919.90142000001</v>
      </c>
      <c r="Y183" s="16"/>
      <c r="Z183" s="20">
        <f>IF(T183=0,0,X183/T183)</f>
        <v>-0.11872983505585213</v>
      </c>
    </row>
    <row r="184" spans="1:26" x14ac:dyDescent="0.25">
      <c r="A184" s="9"/>
      <c r="B184" s="10"/>
      <c r="C184" s="9"/>
      <c r="D184" s="1"/>
      <c r="E184" s="1"/>
      <c r="F184" s="5"/>
      <c r="G184" s="1"/>
      <c r="H184" s="1"/>
      <c r="I184" s="1"/>
      <c r="J184" s="5"/>
      <c r="K184" s="1"/>
      <c r="L184" s="1"/>
      <c r="M184" s="1"/>
      <c r="N184" s="5"/>
      <c r="O184" s="36"/>
      <c r="P184" s="1"/>
      <c r="Q184" s="1"/>
      <c r="R184" s="5"/>
      <c r="S184" s="1"/>
      <c r="T184" s="1"/>
      <c r="U184" s="1"/>
      <c r="V184" s="5"/>
      <c r="W184" s="1"/>
      <c r="X184" s="1"/>
      <c r="Y184" s="1"/>
      <c r="Z184" s="5"/>
    </row>
    <row r="185" spans="1:26" s="23" customFormat="1" x14ac:dyDescent="0.25">
      <c r="A185" s="10"/>
      <c r="B185" s="28" t="s">
        <v>9</v>
      </c>
      <c r="C185" s="10"/>
      <c r="D185" s="21">
        <f>SUM(OSRRefD22x_0)</f>
        <v>357391</v>
      </c>
      <c r="E185" s="21"/>
      <c r="F185" s="30">
        <f t="shared" ref="F185:F196" si="20">IF(D$12=0,0,D185/D$12)</f>
        <v>0.67623394658423375</v>
      </c>
      <c r="G185" s="21"/>
      <c r="H185" s="21">
        <f>SUM(OSRRefH22x_0)</f>
        <v>440817.32330462907</v>
      </c>
      <c r="I185" s="21"/>
      <c r="J185" s="30">
        <f t="shared" ref="J185:J196" si="21">IF(H$12=0,0,H185/H$12)</f>
        <v>0.62700883619462278</v>
      </c>
      <c r="K185" s="4"/>
      <c r="L185" s="21">
        <f t="shared" ref="L185:L196" si="22">+D185-H185</f>
        <v>-83426.32330462907</v>
      </c>
      <c r="M185" s="4"/>
      <c r="N185" s="30">
        <f t="shared" ref="N185:N196" si="23">IF(H185=0,0,L185/H185)</f>
        <v>-0.18925373140786683</v>
      </c>
      <c r="O185" s="10"/>
      <c r="P185" s="21">
        <f>SUM(OSRRefP22x_0)</f>
        <v>2368520.3199999998</v>
      </c>
      <c r="Q185" s="21"/>
      <c r="R185" s="30">
        <f t="shared" ref="R185:R196" si="24">IF(P$12=0,0,P185/P$12)</f>
        <v>0.33366179826230746</v>
      </c>
      <c r="S185" s="21"/>
      <c r="T185" s="21">
        <f>SUM(OSRRefT22x_0)</f>
        <v>2537466.0813382077</v>
      </c>
      <c r="U185" s="21"/>
      <c r="V185" s="30">
        <f t="shared" ref="V185:V196" si="25">IF(T$12=0,0,T185/T$12)</f>
        <v>0.34947900998596459</v>
      </c>
      <c r="W185" s="4"/>
      <c r="X185" s="21">
        <f t="shared" ref="X185:X196" si="26">+P185-T185</f>
        <v>-168945.76133820787</v>
      </c>
      <c r="Y185" s="4"/>
      <c r="Z185" s="30">
        <f t="shared" ref="Z185:Z196" si="27">IF(T185=0,0,X185/T185)</f>
        <v>-6.6580500358495165E-2</v>
      </c>
    </row>
    <row r="186" spans="1:26" s="25" customFormat="1" outlineLevel="1" collapsed="1" x14ac:dyDescent="0.25">
      <c r="A186" s="27"/>
      <c r="B186" s="13" t="str">
        <f>CONCATENATE("     ","*Benefits                                         ")</f>
        <v xml:space="preserve">     *Benefits                                         </v>
      </c>
      <c r="C186" s="13"/>
      <c r="D186" s="1">
        <f>SUM(OSRRefD22_0x_0)</f>
        <v>44608.34</v>
      </c>
      <c r="E186" s="1"/>
      <c r="F186" s="5">
        <f t="shared" si="20"/>
        <v>8.4405241902485884E-2</v>
      </c>
      <c r="G186" s="1"/>
      <c r="H186" s="1">
        <f>SUM(OSRRefH22_0x_0)</f>
        <v>47487.019873847545</v>
      </c>
      <c r="I186" s="1"/>
      <c r="J186" s="5">
        <f t="shared" si="21"/>
        <v>6.7544489500191568E-2</v>
      </c>
      <c r="K186" s="1"/>
      <c r="L186" s="1">
        <f t="shared" si="22"/>
        <v>-2878.6798738475482</v>
      </c>
      <c r="M186" s="1"/>
      <c r="N186" s="5">
        <f t="shared" si="23"/>
        <v>-6.0620352287739987E-2</v>
      </c>
      <c r="O186" s="13"/>
      <c r="P186" s="1">
        <f>SUM(OSRRefP22_0x_0)</f>
        <v>319967.57999999996</v>
      </c>
      <c r="Q186" s="1"/>
      <c r="R186" s="5">
        <f t="shared" si="24"/>
        <v>4.5074959765782678E-2</v>
      </c>
      <c r="S186" s="1"/>
      <c r="T186" s="1">
        <f>SUM(OSRRefT22_0x_0)</f>
        <v>310087.05617678759</v>
      </c>
      <c r="U186" s="1"/>
      <c r="V186" s="5">
        <f t="shared" si="25"/>
        <v>4.2707533392909183E-2</v>
      </c>
      <c r="W186" s="1"/>
      <c r="X186" s="1">
        <f t="shared" si="26"/>
        <v>9880.5238232123666</v>
      </c>
      <c r="Y186" s="1"/>
      <c r="Z186" s="5">
        <f t="shared" si="27"/>
        <v>3.186370932419462E-2</v>
      </c>
    </row>
    <row r="187" spans="1:26" s="24" customFormat="1" hidden="1" outlineLevel="2" x14ac:dyDescent="0.25">
      <c r="A187" s="26"/>
      <c r="B187" s="11" t="str">
        <f>CONCATENATE("          ", "6111", " - ", "F.I.C.A.")</f>
        <v xml:space="preserve">          6111 - F.I.C.A.</v>
      </c>
      <c r="C187" s="11"/>
      <c r="D187" s="6">
        <v>6771.27</v>
      </c>
      <c r="E187" s="2"/>
      <c r="F187" s="7">
        <f t="shared" si="20"/>
        <v>1.2812193467343679E-2</v>
      </c>
      <c r="G187" s="2"/>
      <c r="H187" s="6">
        <v>7732.108233887313</v>
      </c>
      <c r="I187" s="2"/>
      <c r="J187" s="7">
        <f t="shared" si="21"/>
        <v>1.0997980180806641E-2</v>
      </c>
      <c r="K187" s="2"/>
      <c r="L187" s="6">
        <f t="shared" si="22"/>
        <v>-960.83823388731253</v>
      </c>
      <c r="M187" s="2"/>
      <c r="N187" s="7">
        <f t="shared" si="23"/>
        <v>-0.12426600932411569</v>
      </c>
      <c r="O187" s="11"/>
      <c r="P187" s="6">
        <v>64787.939999999995</v>
      </c>
      <c r="Q187" s="2"/>
      <c r="R187" s="7">
        <f t="shared" si="24"/>
        <v>9.1269052596139339E-3</v>
      </c>
      <c r="S187" s="2"/>
      <c r="T187" s="6">
        <v>60113.136331868212</v>
      </c>
      <c r="U187" s="2"/>
      <c r="V187" s="7">
        <f t="shared" si="25"/>
        <v>8.2792355440405672E-3</v>
      </c>
      <c r="W187" s="2"/>
      <c r="X187" s="6">
        <f t="shared" si="26"/>
        <v>4674.8036681317826</v>
      </c>
      <c r="Y187" s="2"/>
      <c r="Z187" s="7">
        <f t="shared" si="27"/>
        <v>7.7766757041646734E-2</v>
      </c>
    </row>
    <row r="188" spans="1:26" s="24" customFormat="1" hidden="1" outlineLevel="2" x14ac:dyDescent="0.25">
      <c r="A188" s="26"/>
      <c r="B188" s="11" t="str">
        <f>CONCATENATE("          ", "6112", " - ", "COMPENSATION INSURANCE")</f>
        <v xml:space="preserve">          6112 - COMPENSATION INSURANCE</v>
      </c>
      <c r="C188" s="11"/>
      <c r="D188" s="6">
        <v>3300.44</v>
      </c>
      <c r="E188" s="2"/>
      <c r="F188" s="7">
        <f t="shared" si="20"/>
        <v>6.244895833035718E-3</v>
      </c>
      <c r="G188" s="2"/>
      <c r="H188" s="6">
        <v>3221.8748246538457</v>
      </c>
      <c r="I188" s="2"/>
      <c r="J188" s="7">
        <f t="shared" si="21"/>
        <v>4.5827236757093846E-3</v>
      </c>
      <c r="K188" s="2"/>
      <c r="L188" s="6">
        <f t="shared" si="22"/>
        <v>78.565175346154319</v>
      </c>
      <c r="M188" s="2"/>
      <c r="N188" s="7">
        <f t="shared" si="23"/>
        <v>2.4384924809918791E-2</v>
      </c>
      <c r="O188" s="11"/>
      <c r="P188" s="6">
        <v>14410.41</v>
      </c>
      <c r="Q188" s="2"/>
      <c r="R188" s="7">
        <f t="shared" si="24"/>
        <v>2.0300452031997507E-3</v>
      </c>
      <c r="S188" s="2"/>
      <c r="T188" s="6">
        <v>21669.526832749991</v>
      </c>
      <c r="U188" s="2"/>
      <c r="V188" s="7">
        <f t="shared" si="25"/>
        <v>2.9844910401245215E-3</v>
      </c>
      <c r="W188" s="2"/>
      <c r="X188" s="6">
        <f t="shared" si="26"/>
        <v>-7259.1168327499909</v>
      </c>
      <c r="Y188" s="2"/>
      <c r="Z188" s="7">
        <f t="shared" si="27"/>
        <v>-0.33499194000761512</v>
      </c>
    </row>
    <row r="189" spans="1:26" s="24" customFormat="1" hidden="1" outlineLevel="2" x14ac:dyDescent="0.25">
      <c r="A189" s="26"/>
      <c r="B189" s="11" t="str">
        <f>CONCATENATE("          ", "6113", " - ", "GROUP INSURANCE")</f>
        <v xml:space="preserve">          6113 - GROUP INSURANCE</v>
      </c>
      <c r="C189" s="11"/>
      <c r="D189" s="6">
        <v>17955.25</v>
      </c>
      <c r="E189" s="2"/>
      <c r="F189" s="7">
        <f t="shared" si="20"/>
        <v>3.3973853760745409E-2</v>
      </c>
      <c r="G189" s="2"/>
      <c r="H189" s="6">
        <v>19697.01923076923</v>
      </c>
      <c r="I189" s="2"/>
      <c r="J189" s="7">
        <f t="shared" si="21"/>
        <v>2.8016605635647958E-2</v>
      </c>
      <c r="K189" s="2"/>
      <c r="L189" s="6">
        <f t="shared" si="22"/>
        <v>-1741.7692307692305</v>
      </c>
      <c r="M189" s="2"/>
      <c r="N189" s="7">
        <f t="shared" si="23"/>
        <v>-8.8428061645407091E-2</v>
      </c>
      <c r="O189" s="11"/>
      <c r="P189" s="6">
        <v>117354.75</v>
      </c>
      <c r="Q189" s="2"/>
      <c r="R189" s="7">
        <f t="shared" si="24"/>
        <v>1.6532176899214244E-2</v>
      </c>
      <c r="S189" s="2"/>
      <c r="T189" s="6">
        <v>119125.49999999999</v>
      </c>
      <c r="U189" s="2"/>
      <c r="V189" s="7">
        <f t="shared" si="25"/>
        <v>1.640686435584874E-2</v>
      </c>
      <c r="W189" s="2"/>
      <c r="X189" s="6">
        <f t="shared" si="26"/>
        <v>-1770.7499999999854</v>
      </c>
      <c r="Y189" s="2"/>
      <c r="Z189" s="7">
        <f t="shared" si="27"/>
        <v>-1.4864575594645862E-2</v>
      </c>
    </row>
    <row r="190" spans="1:26" s="24" customFormat="1" hidden="1" outlineLevel="2" x14ac:dyDescent="0.25">
      <c r="A190" s="26"/>
      <c r="B190" s="11" t="str">
        <f>CONCATENATE("          ", "6114", " - ", "STATE UNEMPLOYMENT INSURANCE")</f>
        <v xml:space="preserve">          6114 - STATE UNEMPLOYMENT INSURANCE</v>
      </c>
      <c r="C190" s="11"/>
      <c r="D190" s="6">
        <v>593.22</v>
      </c>
      <c r="E190" s="2"/>
      <c r="F190" s="7">
        <f t="shared" si="20"/>
        <v>1.1224555229222312E-3</v>
      </c>
      <c r="G190" s="2"/>
      <c r="H190" s="6">
        <v>456.725212847352</v>
      </c>
      <c r="I190" s="2"/>
      <c r="J190" s="7">
        <f t="shared" si="21"/>
        <v>6.4963586735057046E-4</v>
      </c>
      <c r="K190" s="2"/>
      <c r="L190" s="6">
        <f t="shared" si="22"/>
        <v>136.49478715264803</v>
      </c>
      <c r="M190" s="2"/>
      <c r="N190" s="7">
        <f t="shared" si="23"/>
        <v>0.29885538024428643</v>
      </c>
      <c r="O190" s="11"/>
      <c r="P190" s="6">
        <v>3117.07</v>
      </c>
      <c r="Q190" s="2"/>
      <c r="R190" s="7">
        <f t="shared" si="24"/>
        <v>4.3911262771412105E-4</v>
      </c>
      <c r="S190" s="2"/>
      <c r="T190" s="6">
        <v>3072.0092113222722</v>
      </c>
      <c r="U190" s="2"/>
      <c r="V190" s="7">
        <f t="shared" si="25"/>
        <v>4.2310033057642901E-4</v>
      </c>
      <c r="W190" s="2"/>
      <c r="X190" s="6">
        <f t="shared" si="26"/>
        <v>45.060788677727942</v>
      </c>
      <c r="Y190" s="2"/>
      <c r="Z190" s="7">
        <f t="shared" si="27"/>
        <v>1.4668181498821943E-2</v>
      </c>
    </row>
    <row r="191" spans="1:26" s="24" customFormat="1" hidden="1" outlineLevel="2" x14ac:dyDescent="0.25">
      <c r="A191" s="26"/>
      <c r="B191" s="11" t="str">
        <f>CONCATENATE("          ", "6115", " - ", "P.E.R.S.")</f>
        <v xml:space="preserve">          6115 - P.E.R.S.</v>
      </c>
      <c r="C191" s="11"/>
      <c r="D191" s="6">
        <v>6207.89</v>
      </c>
      <c r="E191" s="2"/>
      <c r="F191" s="7">
        <f t="shared" si="20"/>
        <v>1.1746199413697599E-2</v>
      </c>
      <c r="G191" s="2"/>
      <c r="H191" s="6">
        <v>6302.5344405384549</v>
      </c>
      <c r="I191" s="2"/>
      <c r="J191" s="7">
        <f t="shared" si="21"/>
        <v>8.9645859536869217E-3</v>
      </c>
      <c r="K191" s="2"/>
      <c r="L191" s="6">
        <f t="shared" si="22"/>
        <v>-94.644440538454546</v>
      </c>
      <c r="M191" s="2"/>
      <c r="N191" s="7">
        <f t="shared" si="23"/>
        <v>-1.5016885894298839E-2</v>
      </c>
      <c r="O191" s="11"/>
      <c r="P191" s="6">
        <v>43052.959999999999</v>
      </c>
      <c r="Q191" s="2"/>
      <c r="R191" s="7">
        <f t="shared" si="24"/>
        <v>6.0650220869184661E-3</v>
      </c>
      <c r="S191" s="2"/>
      <c r="T191" s="6">
        <v>40966.473863499959</v>
      </c>
      <c r="U191" s="2"/>
      <c r="V191" s="7">
        <f t="shared" si="25"/>
        <v>5.6422124550651754E-3</v>
      </c>
      <c r="W191" s="2"/>
      <c r="X191" s="6">
        <f t="shared" si="26"/>
        <v>2086.4861365000397</v>
      </c>
      <c r="Y191" s="2"/>
      <c r="Z191" s="7">
        <f t="shared" si="27"/>
        <v>5.0931553041450403E-2</v>
      </c>
    </row>
    <row r="192" spans="1:26" s="24" customFormat="1" hidden="1" outlineLevel="2" x14ac:dyDescent="0.25">
      <c r="A192" s="26"/>
      <c r="B192" s="11" t="str">
        <f>CONCATENATE("          ", "6116", " - ", "EDUCATIONAL BENEFITS")</f>
        <v xml:space="preserve">          6116 - EDUCATIONAL BENEFITS</v>
      </c>
      <c r="C192" s="11"/>
      <c r="D192" s="6"/>
      <c r="E192" s="2"/>
      <c r="F192" s="7">
        <f t="shared" si="20"/>
        <v>0</v>
      </c>
      <c r="G192" s="2"/>
      <c r="H192" s="6">
        <v>0</v>
      </c>
      <c r="I192" s="2"/>
      <c r="J192" s="7">
        <f t="shared" si="21"/>
        <v>0</v>
      </c>
      <c r="K192" s="2"/>
      <c r="L192" s="6">
        <f t="shared" si="22"/>
        <v>0</v>
      </c>
      <c r="M192" s="2"/>
      <c r="N192" s="7">
        <f t="shared" si="23"/>
        <v>0</v>
      </c>
      <c r="O192" s="11"/>
      <c r="P192" s="6"/>
      <c r="Q192" s="2"/>
      <c r="R192" s="7">
        <f t="shared" si="24"/>
        <v>0</v>
      </c>
      <c r="S192" s="2"/>
      <c r="T192" s="6">
        <v>0</v>
      </c>
      <c r="U192" s="2"/>
      <c r="V192" s="7">
        <f t="shared" si="25"/>
        <v>0</v>
      </c>
      <c r="W192" s="2"/>
      <c r="X192" s="6">
        <f t="shared" si="26"/>
        <v>0</v>
      </c>
      <c r="Y192" s="2"/>
      <c r="Z192" s="7">
        <f t="shared" si="27"/>
        <v>0</v>
      </c>
    </row>
    <row r="193" spans="1:26" s="24" customFormat="1" hidden="1" outlineLevel="2" x14ac:dyDescent="0.25">
      <c r="A193" s="26"/>
      <c r="B193" s="11" t="str">
        <f>CONCATENATE("          ", "6117", " - ", "RETIREMENT STAFF HOURLY")</f>
        <v xml:space="preserve">          6117 - RETIREMENT STAFF HOURLY</v>
      </c>
      <c r="C193" s="11"/>
      <c r="D193" s="6">
        <v>252.09</v>
      </c>
      <c r="E193" s="2"/>
      <c r="F193" s="7">
        <f t="shared" si="20"/>
        <v>4.7698967124079644E-4</v>
      </c>
      <c r="G193" s="2"/>
      <c r="H193" s="6"/>
      <c r="I193" s="2"/>
      <c r="J193" s="7">
        <f t="shared" si="21"/>
        <v>0</v>
      </c>
      <c r="K193" s="2"/>
      <c r="L193" s="6">
        <f t="shared" si="22"/>
        <v>252.09</v>
      </c>
      <c r="M193" s="2"/>
      <c r="N193" s="7">
        <f t="shared" si="23"/>
        <v>0</v>
      </c>
      <c r="O193" s="11"/>
      <c r="P193" s="6">
        <v>1770.97</v>
      </c>
      <c r="Q193" s="2"/>
      <c r="R193" s="7">
        <f t="shared" si="24"/>
        <v>2.4948278040046483E-4</v>
      </c>
      <c r="S193" s="2"/>
      <c r="T193" s="6"/>
      <c r="U193" s="2"/>
      <c r="V193" s="7">
        <f t="shared" si="25"/>
        <v>0</v>
      </c>
      <c r="W193" s="2"/>
      <c r="X193" s="6">
        <f t="shared" si="26"/>
        <v>1770.97</v>
      </c>
      <c r="Y193" s="2"/>
      <c r="Z193" s="7">
        <f t="shared" si="27"/>
        <v>0</v>
      </c>
    </row>
    <row r="194" spans="1:26" s="24" customFormat="1" hidden="1" outlineLevel="2" x14ac:dyDescent="0.25">
      <c r="A194" s="26"/>
      <c r="B194" s="11" t="str">
        <f>CONCATENATE("          ", "6118", " - ", "VACATION")</f>
        <v xml:space="preserve">          6118 - VACATION</v>
      </c>
      <c r="C194" s="11"/>
      <c r="D194" s="6">
        <v>4257.45</v>
      </c>
      <c r="E194" s="2"/>
      <c r="F194" s="7">
        <f t="shared" si="20"/>
        <v>8.0556931089060604E-3</v>
      </c>
      <c r="G194" s="2"/>
      <c r="H194" s="6">
        <v>4547.5461527846119</v>
      </c>
      <c r="I194" s="2"/>
      <c r="J194" s="7">
        <f t="shared" si="21"/>
        <v>6.4683293284015803E-3</v>
      </c>
      <c r="K194" s="2"/>
      <c r="L194" s="6">
        <f t="shared" si="22"/>
        <v>-290.09615278461206</v>
      </c>
      <c r="M194" s="2"/>
      <c r="N194" s="7">
        <f t="shared" si="23"/>
        <v>-6.3791799585580164E-2</v>
      </c>
      <c r="O194" s="11"/>
      <c r="P194" s="6">
        <v>35172.39</v>
      </c>
      <c r="Q194" s="2"/>
      <c r="R194" s="7">
        <f t="shared" si="24"/>
        <v>4.9548584394594518E-3</v>
      </c>
      <c r="S194" s="2"/>
      <c r="T194" s="6">
        <v>29559.049993099983</v>
      </c>
      <c r="U194" s="2"/>
      <c r="V194" s="7">
        <f t="shared" si="25"/>
        <v>4.0710958084083015E-3</v>
      </c>
      <c r="W194" s="2"/>
      <c r="X194" s="6">
        <f t="shared" si="26"/>
        <v>5613.3400069000163</v>
      </c>
      <c r="Y194" s="2"/>
      <c r="Z194" s="7">
        <f t="shared" si="27"/>
        <v>0.18990258510372787</v>
      </c>
    </row>
    <row r="195" spans="1:26" s="24" customFormat="1" hidden="1" outlineLevel="2" x14ac:dyDescent="0.25">
      <c r="A195" s="26"/>
      <c r="B195" s="11" t="str">
        <f>CONCATENATE("          ", "6119", " - ", "SICK LEAVE")</f>
        <v xml:space="preserve">          6119 - SICK LEAVE</v>
      </c>
      <c r="C195" s="11"/>
      <c r="D195" s="6">
        <v>3308.61</v>
      </c>
      <c r="E195" s="2"/>
      <c r="F195" s="7">
        <f t="shared" si="20"/>
        <v>6.260354620032574E-3</v>
      </c>
      <c r="G195" s="2"/>
      <c r="H195" s="6">
        <v>3979.2117783667377</v>
      </c>
      <c r="I195" s="2"/>
      <c r="J195" s="7">
        <f t="shared" si="21"/>
        <v>5.6599430517422751E-3</v>
      </c>
      <c r="K195" s="2"/>
      <c r="L195" s="6">
        <f t="shared" si="22"/>
        <v>-670.60177836673756</v>
      </c>
      <c r="M195" s="2"/>
      <c r="N195" s="7">
        <f t="shared" si="23"/>
        <v>-0.16852628503275721</v>
      </c>
      <c r="O195" s="11"/>
      <c r="P195" s="6">
        <v>27817.37</v>
      </c>
      <c r="Q195" s="2"/>
      <c r="R195" s="7">
        <f t="shared" si="24"/>
        <v>3.9187308712335485E-3</v>
      </c>
      <c r="S195" s="2"/>
      <c r="T195" s="6">
        <v>26281.359944247182</v>
      </c>
      <c r="U195" s="2"/>
      <c r="V195" s="7">
        <f t="shared" si="25"/>
        <v>3.6196675581004903E-3</v>
      </c>
      <c r="W195" s="2"/>
      <c r="X195" s="6">
        <f t="shared" si="26"/>
        <v>1536.0100557528167</v>
      </c>
      <c r="Y195" s="2"/>
      <c r="Z195" s="7">
        <f t="shared" si="27"/>
        <v>5.8444846804399833E-2</v>
      </c>
    </row>
    <row r="196" spans="1:26" s="24" customFormat="1" hidden="1" outlineLevel="2" x14ac:dyDescent="0.25">
      <c r="A196" s="26"/>
      <c r="B196" s="11" t="str">
        <f>CONCATENATE("          ", "6156", " - ", "EMPLOYEE MEALS")</f>
        <v xml:space="preserve">          6156 - EMPLOYEE MEALS</v>
      </c>
      <c r="C196" s="11"/>
      <c r="D196" s="6">
        <v>1962.12</v>
      </c>
      <c r="E196" s="2"/>
      <c r="F196" s="7">
        <f t="shared" si="20"/>
        <v>3.7126065045618288E-3</v>
      </c>
      <c r="G196" s="2"/>
      <c r="H196" s="6">
        <v>1550</v>
      </c>
      <c r="I196" s="2"/>
      <c r="J196" s="7">
        <f t="shared" si="21"/>
        <v>2.2046858068462383E-3</v>
      </c>
      <c r="K196" s="2"/>
      <c r="L196" s="6">
        <f t="shared" si="22"/>
        <v>412.11999999999989</v>
      </c>
      <c r="M196" s="2"/>
      <c r="N196" s="7">
        <f t="shared" si="23"/>
        <v>0.26588387096774185</v>
      </c>
      <c r="O196" s="11"/>
      <c r="P196" s="6">
        <v>12483.72</v>
      </c>
      <c r="Q196" s="2"/>
      <c r="R196" s="7">
        <f t="shared" si="24"/>
        <v>1.7586255980287021E-3</v>
      </c>
      <c r="S196" s="2"/>
      <c r="T196" s="6">
        <v>9300</v>
      </c>
      <c r="U196" s="2"/>
      <c r="V196" s="7">
        <f t="shared" si="25"/>
        <v>1.2808663007449564E-3</v>
      </c>
      <c r="W196" s="2"/>
      <c r="X196" s="6">
        <f t="shared" si="26"/>
        <v>3183.7199999999993</v>
      </c>
      <c r="Y196" s="2"/>
      <c r="Z196" s="7">
        <f t="shared" si="27"/>
        <v>0.34233548387096768</v>
      </c>
    </row>
    <row r="197" spans="1:26" s="25" customFormat="1" outlineLevel="1" collapsed="1" x14ac:dyDescent="0.25">
      <c r="A197" s="27"/>
      <c r="B197" s="13" t="str">
        <f>CONCATENATE("     ","*Payroll                                          ")</f>
        <v xml:space="preserve">     *Payroll                                          </v>
      </c>
      <c r="C197" s="13"/>
      <c r="D197" s="1">
        <f>SUM(OSRRefD22_1x_0)</f>
        <v>152402.65</v>
      </c>
      <c r="E197" s="1"/>
      <c r="F197" s="5">
        <f t="shared" ref="F197:F207" si="28">IF(D$12=0,0,D197/D$12)</f>
        <v>0.28836720980493541</v>
      </c>
      <c r="G197" s="1"/>
      <c r="H197" s="1">
        <f>SUM(OSRRefH22_1x_0)</f>
        <v>168158.80343078158</v>
      </c>
      <c r="I197" s="1"/>
      <c r="J197" s="5">
        <f t="shared" ref="J197:J207" si="29">IF(H$12=0,0,H197/H$12)</f>
        <v>0.23918537240005852</v>
      </c>
      <c r="K197" s="1"/>
      <c r="L197" s="1">
        <f t="shared" ref="L197:L207" si="30">+D197-H197</f>
        <v>-15756.153430781589</v>
      </c>
      <c r="M197" s="1"/>
      <c r="N197" s="5">
        <f t="shared" ref="N197:N207" si="31">IF(H197=0,0,L197/H197)</f>
        <v>-9.3698058676227561E-2</v>
      </c>
      <c r="O197" s="13"/>
      <c r="P197" s="1">
        <f>SUM(OSRRefP22_1x_0)</f>
        <v>1092059.6500000001</v>
      </c>
      <c r="Q197" s="1"/>
      <c r="R197" s="5">
        <f t="shared" ref="R197:R207" si="32">IF(P$12=0,0,P197/P$12)</f>
        <v>0.15384228860181623</v>
      </c>
      <c r="S197" s="1"/>
      <c r="T197" s="1">
        <f>SUM(OSRRefT22_1x_0)</f>
        <v>1132756.02516142</v>
      </c>
      <c r="U197" s="1"/>
      <c r="V197" s="5">
        <f t="shared" ref="V197:V207" si="33">IF(T$12=0,0,T197/T$12)</f>
        <v>0.15601172253710416</v>
      </c>
      <c r="W197" s="1"/>
      <c r="X197" s="1">
        <f t="shared" ref="X197:X207" si="34">+P197-T197</f>
        <v>-40696.375161419855</v>
      </c>
      <c r="Y197" s="1"/>
      <c r="Z197" s="5">
        <f t="shared" ref="Z197:Z207" si="35">IF(T197=0,0,X197/T197)</f>
        <v>-3.5926867090043099E-2</v>
      </c>
    </row>
    <row r="198" spans="1:26" s="24" customFormat="1" hidden="1" outlineLevel="2" x14ac:dyDescent="0.25">
      <c r="A198" s="26"/>
      <c r="B198" s="11" t="str">
        <f>CONCATENATE("          ", "6001", " - ", "ADMINISTRATIVE SALARIES")</f>
        <v xml:space="preserve">          6001 - ADMINISTRATIVE SALARIES</v>
      </c>
      <c r="C198" s="11"/>
      <c r="D198" s="6">
        <v>10181.280000000001</v>
      </c>
      <c r="E198" s="2"/>
      <c r="F198" s="7">
        <f t="shared" si="28"/>
        <v>1.9264411123053261E-2</v>
      </c>
      <c r="G198" s="2"/>
      <c r="H198" s="6">
        <v>27651.922292615382</v>
      </c>
      <c r="I198" s="2"/>
      <c r="J198" s="7">
        <f t="shared" si="29"/>
        <v>3.9331484264867246E-2</v>
      </c>
      <c r="K198" s="2"/>
      <c r="L198" s="6">
        <f t="shared" si="30"/>
        <v>-17470.642292615383</v>
      </c>
      <c r="M198" s="2"/>
      <c r="N198" s="7">
        <f t="shared" si="31"/>
        <v>-0.63180570622683352</v>
      </c>
      <c r="O198" s="11"/>
      <c r="P198" s="6">
        <v>66982.11</v>
      </c>
      <c r="Q198" s="2"/>
      <c r="R198" s="7">
        <f t="shared" si="32"/>
        <v>9.4360057143202756E-3</v>
      </c>
      <c r="S198" s="2"/>
      <c r="T198" s="6">
        <v>179737.49490199998</v>
      </c>
      <c r="U198" s="2"/>
      <c r="V198" s="7">
        <f t="shared" si="33"/>
        <v>2.4754806473149479E-2</v>
      </c>
      <c r="W198" s="2"/>
      <c r="X198" s="6">
        <f t="shared" si="34"/>
        <v>-112755.38490199998</v>
      </c>
      <c r="Y198" s="2"/>
      <c r="Z198" s="7">
        <f t="shared" si="35"/>
        <v>-0.62733368440168091</v>
      </c>
    </row>
    <row r="199" spans="1:26" s="24" customFormat="1" hidden="1" outlineLevel="2" x14ac:dyDescent="0.25">
      <c r="A199" s="26"/>
      <c r="B199" s="11" t="str">
        <f>CONCATENATE("          ", "6002", " - ", "STAFF SALARIES")</f>
        <v xml:space="preserve">          6002 - STAFF SALARIES</v>
      </c>
      <c r="C199" s="11"/>
      <c r="D199" s="6">
        <v>55590.5</v>
      </c>
      <c r="E199" s="2"/>
      <c r="F199" s="7">
        <f t="shared" si="28"/>
        <v>0.10518503042211708</v>
      </c>
      <c r="G199" s="2"/>
      <c r="H199" s="6">
        <v>39132.03454564618</v>
      </c>
      <c r="I199" s="2"/>
      <c r="J199" s="7">
        <f t="shared" si="29"/>
        <v>5.5660542681163112E-2</v>
      </c>
      <c r="K199" s="2"/>
      <c r="L199" s="6">
        <f t="shared" si="30"/>
        <v>16458.46545435382</v>
      </c>
      <c r="M199" s="2"/>
      <c r="N199" s="7">
        <f t="shared" si="31"/>
        <v>0.42058803344752194</v>
      </c>
      <c r="O199" s="11"/>
      <c r="P199" s="6">
        <v>368261.46</v>
      </c>
      <c r="Q199" s="2"/>
      <c r="R199" s="7">
        <f t="shared" si="32"/>
        <v>5.187828870908856E-2</v>
      </c>
      <c r="S199" s="2"/>
      <c r="T199" s="6">
        <v>254358.2245467001</v>
      </c>
      <c r="U199" s="2"/>
      <c r="V199" s="7">
        <f t="shared" si="33"/>
        <v>3.5032137434321153E-2</v>
      </c>
      <c r="W199" s="2"/>
      <c r="X199" s="6">
        <f t="shared" si="34"/>
        <v>113903.23545329992</v>
      </c>
      <c r="Y199" s="2"/>
      <c r="Z199" s="7">
        <f t="shared" si="35"/>
        <v>0.4478063788041079</v>
      </c>
    </row>
    <row r="200" spans="1:26" s="24" customFormat="1" hidden="1" outlineLevel="2" x14ac:dyDescent="0.25">
      <c r="A200" s="26"/>
      <c r="B200" s="11" t="str">
        <f>CONCATENATE("          ", "6003", " - ", "STAFF HOURLY-9 MONTH")</f>
        <v xml:space="preserve">          6003 - STAFF HOURLY-9 MONTH</v>
      </c>
      <c r="C200" s="11"/>
      <c r="D200" s="6"/>
      <c r="E200" s="2"/>
      <c r="F200" s="7">
        <f t="shared" si="28"/>
        <v>0</v>
      </c>
      <c r="G200" s="2"/>
      <c r="H200" s="6">
        <v>0</v>
      </c>
      <c r="I200" s="2"/>
      <c r="J200" s="7">
        <f t="shared" si="29"/>
        <v>0</v>
      </c>
      <c r="K200" s="2"/>
      <c r="L200" s="6">
        <f t="shared" si="30"/>
        <v>0</v>
      </c>
      <c r="M200" s="2"/>
      <c r="N200" s="7">
        <f t="shared" si="31"/>
        <v>0</v>
      </c>
      <c r="O200" s="11"/>
      <c r="P200" s="6"/>
      <c r="Q200" s="2"/>
      <c r="R200" s="7">
        <f t="shared" si="32"/>
        <v>0</v>
      </c>
      <c r="S200" s="2"/>
      <c r="T200" s="6">
        <v>0</v>
      </c>
      <c r="U200" s="2"/>
      <c r="V200" s="7">
        <f t="shared" si="33"/>
        <v>0</v>
      </c>
      <c r="W200" s="2"/>
      <c r="X200" s="6">
        <f t="shared" si="34"/>
        <v>0</v>
      </c>
      <c r="Y200" s="2"/>
      <c r="Z200" s="7">
        <f t="shared" si="35"/>
        <v>0</v>
      </c>
    </row>
    <row r="201" spans="1:26" s="24" customFormat="1" hidden="1" outlineLevel="2" x14ac:dyDescent="0.25">
      <c r="A201" s="26"/>
      <c r="B201" s="11" t="str">
        <f>CONCATENATE("          ", "6004", " - ", "STAFF HOURLY")</f>
        <v xml:space="preserve">          6004 - STAFF HOURLY</v>
      </c>
      <c r="C201" s="11"/>
      <c r="D201" s="6">
        <v>3238.83</v>
      </c>
      <c r="E201" s="2"/>
      <c r="F201" s="7">
        <f t="shared" si="28"/>
        <v>6.1283210635282191E-3</v>
      </c>
      <c r="G201" s="2"/>
      <c r="H201" s="6">
        <v>22822.312382</v>
      </c>
      <c r="I201" s="2"/>
      <c r="J201" s="7">
        <f t="shared" si="29"/>
        <v>3.2461953669681659E-2</v>
      </c>
      <c r="K201" s="2"/>
      <c r="L201" s="6">
        <f t="shared" si="30"/>
        <v>-19583.482382000002</v>
      </c>
      <c r="M201" s="2"/>
      <c r="N201" s="7">
        <f t="shared" si="31"/>
        <v>-0.85808493259629248</v>
      </c>
      <c r="O201" s="11"/>
      <c r="P201" s="6">
        <v>15944.24</v>
      </c>
      <c r="Q201" s="2"/>
      <c r="R201" s="7">
        <f t="shared" si="32"/>
        <v>2.2461212367077404E-3</v>
      </c>
      <c r="S201" s="2"/>
      <c r="T201" s="6">
        <v>147592.628608</v>
      </c>
      <c r="U201" s="2"/>
      <c r="V201" s="7">
        <f t="shared" si="33"/>
        <v>2.0327572497027224E-2</v>
      </c>
      <c r="W201" s="2"/>
      <c r="X201" s="6">
        <f t="shared" si="34"/>
        <v>-131648.38860800001</v>
      </c>
      <c r="Y201" s="2"/>
      <c r="Z201" s="7">
        <f t="shared" si="35"/>
        <v>-0.8919712986320798</v>
      </c>
    </row>
    <row r="202" spans="1:26" s="24" customFormat="1" hidden="1" outlineLevel="2" x14ac:dyDescent="0.25">
      <c r="A202" s="26"/>
      <c r="B202" s="11" t="str">
        <f>CONCATENATE("          ", "6005", " - ", "TEMPORARY WAGES-HOURLY")</f>
        <v xml:space="preserve">          6005 - TEMPORARY WAGES-HOURLY</v>
      </c>
      <c r="C202" s="11"/>
      <c r="D202" s="6">
        <v>19664.38</v>
      </c>
      <c r="E202" s="2"/>
      <c r="F202" s="7">
        <f t="shared" si="28"/>
        <v>3.7207767667714282E-2</v>
      </c>
      <c r="G202" s="2"/>
      <c r="H202" s="6">
        <v>3517.92</v>
      </c>
      <c r="I202" s="2"/>
      <c r="J202" s="7">
        <f t="shared" si="29"/>
        <v>5.0038118023358188E-3</v>
      </c>
      <c r="K202" s="2"/>
      <c r="L202" s="6">
        <f t="shared" si="30"/>
        <v>16146.460000000001</v>
      </c>
      <c r="M202" s="2"/>
      <c r="N202" s="7">
        <f t="shared" si="31"/>
        <v>4.5897746395597396</v>
      </c>
      <c r="O202" s="11"/>
      <c r="P202" s="6">
        <v>127864.01000000001</v>
      </c>
      <c r="Q202" s="2"/>
      <c r="R202" s="7">
        <f t="shared" si="32"/>
        <v>1.8012653363949045E-2</v>
      </c>
      <c r="S202" s="2"/>
      <c r="T202" s="6">
        <v>19823.2</v>
      </c>
      <c r="U202" s="2"/>
      <c r="V202" s="7">
        <f t="shared" si="33"/>
        <v>2.7302009519276794E-3</v>
      </c>
      <c r="W202" s="2"/>
      <c r="X202" s="6">
        <f t="shared" si="34"/>
        <v>108040.81000000001</v>
      </c>
      <c r="Y202" s="2"/>
      <c r="Z202" s="7">
        <f t="shared" si="35"/>
        <v>5.4502204487671015</v>
      </c>
    </row>
    <row r="203" spans="1:26" s="24" customFormat="1" hidden="1" outlineLevel="2" x14ac:dyDescent="0.25">
      <c r="A203" s="26"/>
      <c r="B203" s="11" t="str">
        <f>CONCATENATE("          ", "6006", " - ", "TEMPORARY PART TIME")</f>
        <v xml:space="preserve">          6006 - TEMPORARY PART TIME</v>
      </c>
      <c r="C203" s="11"/>
      <c r="D203" s="6">
        <v>1313</v>
      </c>
      <c r="E203" s="2"/>
      <c r="F203" s="7">
        <f t="shared" si="28"/>
        <v>2.4843803337663761E-3</v>
      </c>
      <c r="G203" s="2"/>
      <c r="H203" s="6">
        <v>0</v>
      </c>
      <c r="I203" s="2"/>
      <c r="J203" s="7">
        <f t="shared" si="29"/>
        <v>0</v>
      </c>
      <c r="K203" s="2"/>
      <c r="L203" s="6">
        <f t="shared" si="30"/>
        <v>1313</v>
      </c>
      <c r="M203" s="2"/>
      <c r="N203" s="7">
        <f t="shared" si="31"/>
        <v>0</v>
      </c>
      <c r="O203" s="11"/>
      <c r="P203" s="6">
        <v>28749.91</v>
      </c>
      <c r="Q203" s="2"/>
      <c r="R203" s="7">
        <f t="shared" si="32"/>
        <v>4.0501010649887509E-3</v>
      </c>
      <c r="S203" s="2"/>
      <c r="T203" s="6">
        <v>0</v>
      </c>
      <c r="U203" s="2"/>
      <c r="V203" s="7">
        <f t="shared" si="33"/>
        <v>0</v>
      </c>
      <c r="W203" s="2"/>
      <c r="X203" s="6">
        <f t="shared" si="34"/>
        <v>28749.91</v>
      </c>
      <c r="Y203" s="2"/>
      <c r="Z203" s="7">
        <f t="shared" si="35"/>
        <v>0</v>
      </c>
    </row>
    <row r="204" spans="1:26" s="24" customFormat="1" hidden="1" outlineLevel="2" x14ac:dyDescent="0.25">
      <c r="A204" s="26"/>
      <c r="B204" s="11" t="str">
        <f>CONCATENATE("          ", "6007", " - ", "STUDENT HOURLY")</f>
        <v xml:space="preserve">          6007 - STUDENT HOURLY</v>
      </c>
      <c r="C204" s="11"/>
      <c r="D204" s="6">
        <v>61254.409999999996</v>
      </c>
      <c r="E204" s="2"/>
      <c r="F204" s="7">
        <f t="shared" si="28"/>
        <v>0.11590194330575966</v>
      </c>
      <c r="G204" s="2"/>
      <c r="H204" s="6">
        <v>3922.68</v>
      </c>
      <c r="I204" s="2"/>
      <c r="J204" s="7">
        <f t="shared" si="29"/>
        <v>5.5795334972900661E-3</v>
      </c>
      <c r="K204" s="2"/>
      <c r="L204" s="6">
        <f t="shared" si="30"/>
        <v>57331.729999999996</v>
      </c>
      <c r="M204" s="2"/>
      <c r="N204" s="7">
        <f t="shared" si="31"/>
        <v>14.615449131716071</v>
      </c>
      <c r="O204" s="11"/>
      <c r="P204" s="6">
        <v>477814.67</v>
      </c>
      <c r="Q204" s="2"/>
      <c r="R204" s="7">
        <f t="shared" si="32"/>
        <v>6.731143519524925E-2</v>
      </c>
      <c r="S204" s="2"/>
      <c r="T204" s="6">
        <v>155061.43636320002</v>
      </c>
      <c r="U204" s="2"/>
      <c r="V204" s="7">
        <f t="shared" si="33"/>
        <v>2.1356233159433489E-2</v>
      </c>
      <c r="W204" s="2"/>
      <c r="X204" s="6">
        <f t="shared" si="34"/>
        <v>322753.23363679997</v>
      </c>
      <c r="Y204" s="2"/>
      <c r="Z204" s="7">
        <f t="shared" si="35"/>
        <v>2.0814539140525943</v>
      </c>
    </row>
    <row r="205" spans="1:26" s="24" customFormat="1" hidden="1" outlineLevel="2" x14ac:dyDescent="0.25">
      <c r="A205" s="26"/>
      <c r="B205" s="11" t="str">
        <f>CONCATENATE("          ", "6008", " - ", "STUDENT HOURLY-FICA EXEMPT")</f>
        <v xml:space="preserve">          6008 - STUDENT HOURLY-FICA EXEMPT</v>
      </c>
      <c r="C205" s="11"/>
      <c r="D205" s="6">
        <v>1160.25</v>
      </c>
      <c r="E205" s="2"/>
      <c r="F205" s="7">
        <f t="shared" si="28"/>
        <v>2.1953558889965252E-3</v>
      </c>
      <c r="G205" s="2"/>
      <c r="H205" s="6">
        <v>71111.934210520005</v>
      </c>
      <c r="I205" s="2"/>
      <c r="J205" s="7">
        <f t="shared" si="29"/>
        <v>0.10114804648472059</v>
      </c>
      <c r="K205" s="2"/>
      <c r="L205" s="6">
        <f t="shared" si="30"/>
        <v>-69951.684210520005</v>
      </c>
      <c r="M205" s="2"/>
      <c r="N205" s="7">
        <f t="shared" si="31"/>
        <v>-0.98368417322800994</v>
      </c>
      <c r="O205" s="11"/>
      <c r="P205" s="6">
        <v>6443.25</v>
      </c>
      <c r="Q205" s="2"/>
      <c r="R205" s="7">
        <f t="shared" si="32"/>
        <v>9.0768331751260329E-4</v>
      </c>
      <c r="S205" s="2"/>
      <c r="T205" s="6">
        <v>376183.04074152</v>
      </c>
      <c r="U205" s="2"/>
      <c r="V205" s="7">
        <f t="shared" si="33"/>
        <v>5.1810772021245156E-2</v>
      </c>
      <c r="W205" s="2"/>
      <c r="X205" s="6">
        <f t="shared" si="34"/>
        <v>-369739.79074152</v>
      </c>
      <c r="Y205" s="2"/>
      <c r="Z205" s="7">
        <f t="shared" si="35"/>
        <v>-0.98287203488147878</v>
      </c>
    </row>
    <row r="206" spans="1:26" s="24" customFormat="1" hidden="1" outlineLevel="2" x14ac:dyDescent="0.25">
      <c r="A206" s="26"/>
      <c r="B206" s="11" t="str">
        <f>CONCATENATE("          ", "6009", " - ", "TEMPORARY-SEASONAL")</f>
        <v xml:space="preserve">          6009 - TEMPORARY-SEASONAL</v>
      </c>
      <c r="C206" s="11"/>
      <c r="D206" s="6"/>
      <c r="E206" s="2"/>
      <c r="F206" s="7">
        <f t="shared" si="28"/>
        <v>0</v>
      </c>
      <c r="G206" s="2"/>
      <c r="H206" s="6">
        <v>0</v>
      </c>
      <c r="I206" s="2"/>
      <c r="J206" s="7">
        <f t="shared" si="29"/>
        <v>0</v>
      </c>
      <c r="K206" s="2"/>
      <c r="L206" s="6">
        <f t="shared" si="30"/>
        <v>0</v>
      </c>
      <c r="M206" s="2"/>
      <c r="N206" s="7">
        <f t="shared" si="31"/>
        <v>0</v>
      </c>
      <c r="O206" s="11"/>
      <c r="P206" s="6"/>
      <c r="Q206" s="2"/>
      <c r="R206" s="7">
        <f t="shared" si="32"/>
        <v>0</v>
      </c>
      <c r="S206" s="2"/>
      <c r="T206" s="6">
        <v>0</v>
      </c>
      <c r="U206" s="2"/>
      <c r="V206" s="7">
        <f t="shared" si="33"/>
        <v>0</v>
      </c>
      <c r="W206" s="2"/>
      <c r="X206" s="6">
        <f t="shared" si="34"/>
        <v>0</v>
      </c>
      <c r="Y206" s="2"/>
      <c r="Z206" s="7">
        <f t="shared" si="35"/>
        <v>0</v>
      </c>
    </row>
    <row r="207" spans="1:26" s="24" customFormat="1" hidden="1" outlineLevel="2" x14ac:dyDescent="0.25">
      <c r="A207" s="26"/>
      <c r="B207" s="11" t="str">
        <f>CONCATENATE("          ", "6010", " - ", "GRATUITY")</f>
        <v xml:space="preserve">          6010 - GRATUITY</v>
      </c>
      <c r="C207" s="11"/>
      <c r="D207" s="6"/>
      <c r="E207" s="2"/>
      <c r="F207" s="7">
        <f t="shared" si="28"/>
        <v>0</v>
      </c>
      <c r="G207" s="2"/>
      <c r="H207" s="6">
        <v>0</v>
      </c>
      <c r="I207" s="2"/>
      <c r="J207" s="7">
        <f t="shared" si="29"/>
        <v>0</v>
      </c>
      <c r="K207" s="2"/>
      <c r="L207" s="6">
        <f t="shared" si="30"/>
        <v>0</v>
      </c>
      <c r="M207" s="2"/>
      <c r="N207" s="7">
        <f t="shared" si="31"/>
        <v>0</v>
      </c>
      <c r="O207" s="11"/>
      <c r="P207" s="6"/>
      <c r="Q207" s="2"/>
      <c r="R207" s="7">
        <f t="shared" si="32"/>
        <v>0</v>
      </c>
      <c r="S207" s="2"/>
      <c r="T207" s="6">
        <v>0</v>
      </c>
      <c r="U207" s="2"/>
      <c r="V207" s="7">
        <f t="shared" si="33"/>
        <v>0</v>
      </c>
      <c r="W207" s="2"/>
      <c r="X207" s="6">
        <f t="shared" si="34"/>
        <v>0</v>
      </c>
      <c r="Y207" s="2"/>
      <c r="Z207" s="7">
        <f t="shared" si="35"/>
        <v>0</v>
      </c>
    </row>
    <row r="208" spans="1:26" s="25" customFormat="1" outlineLevel="1" collapsed="1" x14ac:dyDescent="0.25">
      <c r="A208" s="27"/>
      <c r="B208" s="13" t="str">
        <f>CONCATENATE("     ","Advertising/Promo                                 ")</f>
        <v xml:space="preserve">     Advertising/Promo                                 </v>
      </c>
      <c r="C208" s="13"/>
      <c r="D208" s="1">
        <f>SUM(OSRRefD22_2x_0)</f>
        <v>4759.8500000000004</v>
      </c>
      <c r="E208" s="1"/>
      <c r="F208" s="5">
        <f t="shared" ref="F208:F212" si="36">IF(D$12=0,0,D208/D$12)</f>
        <v>9.0063044414911541E-3</v>
      </c>
      <c r="G208" s="1"/>
      <c r="H208" s="1">
        <f>SUM(OSRRefH22_2x_0)</f>
        <v>6420</v>
      </c>
      <c r="I208" s="1"/>
      <c r="J208" s="5">
        <f t="shared" ref="J208:J212" si="37">IF(H$12=0,0,H208/H$12)</f>
        <v>9.1316663741631294E-3</v>
      </c>
      <c r="K208" s="1"/>
      <c r="L208" s="1">
        <f t="shared" ref="L208:L212" si="38">+D208-H208</f>
        <v>-1660.1499999999996</v>
      </c>
      <c r="M208" s="1"/>
      <c r="N208" s="5">
        <f t="shared" ref="N208:N212" si="39">IF(H208=0,0,L208/H208)</f>
        <v>-0.25859034267912767</v>
      </c>
      <c r="O208" s="13"/>
      <c r="P208" s="1">
        <f>SUM(OSRRefP22_2x_0)</f>
        <v>38809.910000000003</v>
      </c>
      <c r="Q208" s="1"/>
      <c r="R208" s="5">
        <f t="shared" ref="R208:R212" si="40">IF(P$12=0,0,P208/P$12)</f>
        <v>5.4672886914469499E-3</v>
      </c>
      <c r="S208" s="1"/>
      <c r="T208" s="1">
        <f>SUM(OSRRefT22_2x_0)</f>
        <v>40320</v>
      </c>
      <c r="U208" s="1"/>
      <c r="V208" s="5">
        <f t="shared" ref="V208:V212" si="41">IF(T$12=0,0,T208/T$12)</f>
        <v>5.5531751877458757E-3</v>
      </c>
      <c r="W208" s="1"/>
      <c r="X208" s="1">
        <f t="shared" ref="X208:X212" si="42">+P208-T208</f>
        <v>-1510.0899999999965</v>
      </c>
      <c r="Y208" s="1"/>
      <c r="Z208" s="5">
        <f t="shared" ref="Z208:Z212" si="43">IF(T208=0,0,X208/T208)</f>
        <v>-3.7452628968253882E-2</v>
      </c>
    </row>
    <row r="209" spans="1:26" s="24" customFormat="1" hidden="1" outlineLevel="2" x14ac:dyDescent="0.25">
      <c r="A209" s="26"/>
      <c r="B209" s="11" t="str">
        <f>CONCATENATE("          ", "6362", " - ", "ADVERTISING EXPENSE")</f>
        <v xml:space="preserve">          6362 - ADVERTISING EXPENSE</v>
      </c>
      <c r="C209" s="11"/>
      <c r="D209" s="6">
        <v>4759.8500000000004</v>
      </c>
      <c r="E209" s="2"/>
      <c r="F209" s="7">
        <f t="shared" si="36"/>
        <v>9.0063044414911541E-3</v>
      </c>
      <c r="G209" s="2"/>
      <c r="H209" s="6">
        <v>6420</v>
      </c>
      <c r="I209" s="2"/>
      <c r="J209" s="7">
        <f t="shared" si="37"/>
        <v>9.1316663741631294E-3</v>
      </c>
      <c r="K209" s="2"/>
      <c r="L209" s="6">
        <f t="shared" si="38"/>
        <v>-1660.1499999999996</v>
      </c>
      <c r="M209" s="2"/>
      <c r="N209" s="7">
        <f t="shared" si="39"/>
        <v>-0.25859034267912767</v>
      </c>
      <c r="O209" s="11"/>
      <c r="P209" s="6">
        <v>38809.910000000003</v>
      </c>
      <c r="Q209" s="2"/>
      <c r="R209" s="7">
        <f t="shared" si="40"/>
        <v>5.4672886914469499E-3</v>
      </c>
      <c r="S209" s="2"/>
      <c r="T209" s="6">
        <v>40320</v>
      </c>
      <c r="U209" s="2"/>
      <c r="V209" s="7">
        <f t="shared" si="41"/>
        <v>5.5531751877458757E-3</v>
      </c>
      <c r="W209" s="2"/>
      <c r="X209" s="6">
        <f t="shared" si="42"/>
        <v>-1510.0899999999965</v>
      </c>
      <c r="Y209" s="2"/>
      <c r="Z209" s="7">
        <f t="shared" si="43"/>
        <v>-3.7452628968253882E-2</v>
      </c>
    </row>
    <row r="210" spans="1:26" s="25" customFormat="1" outlineLevel="1" collapsed="1" x14ac:dyDescent="0.25">
      <c r="A210" s="27"/>
      <c r="B210" s="13" t="str">
        <f>CONCATENATE("     ","Bad Debts/Over/Short                              ")</f>
        <v xml:space="preserve">     Bad Debts/Over/Short                              </v>
      </c>
      <c r="C210" s="13"/>
      <c r="D210" s="1">
        <f>SUM(OSRRefD22_3x_0)</f>
        <v>77.56</v>
      </c>
      <c r="E210" s="1"/>
      <c r="F210" s="5">
        <f t="shared" si="36"/>
        <v>1.4675440874860633E-4</v>
      </c>
      <c r="G210" s="1"/>
      <c r="H210" s="1">
        <f>SUM(OSRRefH22_3x_0)</f>
        <v>135</v>
      </c>
      <c r="I210" s="1"/>
      <c r="J210" s="5">
        <f t="shared" si="37"/>
        <v>1.9202102188660785E-4</v>
      </c>
      <c r="K210" s="1"/>
      <c r="L210" s="1">
        <f t="shared" si="38"/>
        <v>-57.44</v>
      </c>
      <c r="M210" s="1"/>
      <c r="N210" s="5">
        <f t="shared" si="39"/>
        <v>-0.42548148148148146</v>
      </c>
      <c r="O210" s="13"/>
      <c r="P210" s="1">
        <f>SUM(OSRRefP22_3x_0)</f>
        <v>150.01999999999998</v>
      </c>
      <c r="Q210" s="1"/>
      <c r="R210" s="5">
        <f t="shared" si="40"/>
        <v>2.1133845697938266E-5</v>
      </c>
      <c r="S210" s="1"/>
      <c r="T210" s="1">
        <f>SUM(OSRRefT22_3x_0)</f>
        <v>810</v>
      </c>
      <c r="U210" s="1"/>
      <c r="V210" s="5">
        <f t="shared" si="41"/>
        <v>1.1155932296810911E-4</v>
      </c>
      <c r="W210" s="1"/>
      <c r="X210" s="1">
        <f t="shared" si="42"/>
        <v>-659.98</v>
      </c>
      <c r="Y210" s="1"/>
      <c r="Z210" s="5">
        <f t="shared" si="43"/>
        <v>-0.81479012345679014</v>
      </c>
    </row>
    <row r="211" spans="1:26" s="24" customFormat="1" hidden="1" outlineLevel="2" x14ac:dyDescent="0.25">
      <c r="A211" s="26"/>
      <c r="B211" s="11" t="str">
        <f>CONCATENATE("          ", "6272", " - ", "CASH (OVER/SHORT)")</f>
        <v xml:space="preserve">          6272 - CASH (OVER/SHORT)</v>
      </c>
      <c r="C211" s="11"/>
      <c r="D211" s="6">
        <v>77.56</v>
      </c>
      <c r="E211" s="2"/>
      <c r="F211" s="7">
        <f t="shared" si="36"/>
        <v>1.4675440874860633E-4</v>
      </c>
      <c r="G211" s="2"/>
      <c r="H211" s="6">
        <v>125</v>
      </c>
      <c r="I211" s="2"/>
      <c r="J211" s="7">
        <f t="shared" si="37"/>
        <v>1.7779724248759987E-4</v>
      </c>
      <c r="K211" s="2"/>
      <c r="L211" s="6">
        <f t="shared" si="38"/>
        <v>-47.44</v>
      </c>
      <c r="M211" s="2"/>
      <c r="N211" s="7">
        <f t="shared" si="39"/>
        <v>-0.37951999999999997</v>
      </c>
      <c r="O211" s="11"/>
      <c r="P211" s="6">
        <v>105.22</v>
      </c>
      <c r="Q211" s="2"/>
      <c r="R211" s="7">
        <f t="shared" si="40"/>
        <v>1.4822711933989231E-5</v>
      </c>
      <c r="S211" s="2"/>
      <c r="T211" s="6">
        <v>750</v>
      </c>
      <c r="U211" s="2"/>
      <c r="V211" s="7">
        <f t="shared" si="41"/>
        <v>1.0329566941491584E-4</v>
      </c>
      <c r="W211" s="2"/>
      <c r="X211" s="6">
        <f t="shared" si="42"/>
        <v>-644.78</v>
      </c>
      <c r="Y211" s="2"/>
      <c r="Z211" s="7">
        <f t="shared" si="43"/>
        <v>-0.85970666666666662</v>
      </c>
    </row>
    <row r="212" spans="1:26" s="24" customFormat="1" hidden="1" outlineLevel="2" x14ac:dyDescent="0.25">
      <c r="A212" s="26"/>
      <c r="B212" s="11" t="str">
        <f>CONCATENATE("          ", "6342", " - ", "BAD DEBT")</f>
        <v xml:space="preserve">          6342 - BAD DEBT</v>
      </c>
      <c r="C212" s="11"/>
      <c r="D212" s="6"/>
      <c r="E212" s="2"/>
      <c r="F212" s="7">
        <f t="shared" si="36"/>
        <v>0</v>
      </c>
      <c r="G212" s="2"/>
      <c r="H212" s="6">
        <v>10</v>
      </c>
      <c r="I212" s="2"/>
      <c r="J212" s="7">
        <f t="shared" si="37"/>
        <v>1.422377939900799E-5</v>
      </c>
      <c r="K212" s="2"/>
      <c r="L212" s="6">
        <f t="shared" si="38"/>
        <v>-10</v>
      </c>
      <c r="M212" s="2"/>
      <c r="N212" s="7">
        <f t="shared" si="39"/>
        <v>-1</v>
      </c>
      <c r="O212" s="11"/>
      <c r="P212" s="6">
        <v>44.8</v>
      </c>
      <c r="Q212" s="2"/>
      <c r="R212" s="7">
        <f t="shared" si="40"/>
        <v>6.3111337639490354E-6</v>
      </c>
      <c r="S212" s="2"/>
      <c r="T212" s="6">
        <v>60</v>
      </c>
      <c r="U212" s="2"/>
      <c r="V212" s="7">
        <f t="shared" si="41"/>
        <v>8.2636535531932672E-6</v>
      </c>
      <c r="W212" s="2"/>
      <c r="X212" s="6">
        <f t="shared" si="42"/>
        <v>-15.200000000000003</v>
      </c>
      <c r="Y212" s="2"/>
      <c r="Z212" s="7">
        <f t="shared" si="43"/>
        <v>-0.25333333333333335</v>
      </c>
    </row>
    <row r="213" spans="1:26" s="25" customFormat="1" outlineLevel="1" collapsed="1" x14ac:dyDescent="0.25">
      <c r="A213" s="27"/>
      <c r="B213" s="13" t="str">
        <f>CONCATENATE("     ","Bank/card Fees                                    ")</f>
        <v xml:space="preserve">     Bank/card Fees                                    </v>
      </c>
      <c r="C213" s="13"/>
      <c r="D213" s="1">
        <f>SUM(OSRRefD22_4x_0)</f>
        <v>9604.4500000000007</v>
      </c>
      <c r="E213" s="1"/>
      <c r="F213" s="5">
        <f t="shared" ref="F213:F219" si="44">IF(D$12=0,0,D213/D$12)</f>
        <v>1.8172967781144304E-2</v>
      </c>
      <c r="G213" s="1"/>
      <c r="H213" s="1">
        <f>SUM(OSRRefH22_4x_0)</f>
        <v>29650</v>
      </c>
      <c r="I213" s="1"/>
      <c r="J213" s="5">
        <f t="shared" ref="J213:J219" si="45">IF(H$12=0,0,H213/H$12)</f>
        <v>4.2173505918058692E-2</v>
      </c>
      <c r="K213" s="1"/>
      <c r="L213" s="1">
        <f t="shared" ref="L213:L219" si="46">+D213-H213</f>
        <v>-20045.55</v>
      </c>
      <c r="M213" s="1"/>
      <c r="N213" s="5">
        <f t="shared" ref="N213:N219" si="47">IF(H213=0,0,L213/H213)</f>
        <v>-0.67607251264755475</v>
      </c>
      <c r="O213" s="13"/>
      <c r="P213" s="1">
        <f>SUM(OSRRefP22_4x_0)</f>
        <v>91668.18</v>
      </c>
      <c r="Q213" s="1"/>
      <c r="R213" s="5">
        <f t="shared" ref="R213:R219" si="48">IF(P$12=0,0,P213/P$12)</f>
        <v>1.2913619327628519E-2</v>
      </c>
      <c r="S213" s="1"/>
      <c r="T213" s="1">
        <f>SUM(OSRRefT22_4x_0)</f>
        <v>112895</v>
      </c>
      <c r="U213" s="1"/>
      <c r="V213" s="5">
        <f t="shared" ref="V213:V219" si="49">IF(T$12=0,0,T213/T$12)</f>
        <v>1.5548752798129232E-2</v>
      </c>
      <c r="W213" s="1"/>
      <c r="X213" s="1">
        <f t="shared" ref="X213:X219" si="50">+P213-T213</f>
        <v>-21226.820000000007</v>
      </c>
      <c r="Y213" s="1"/>
      <c r="Z213" s="5">
        <f t="shared" ref="Z213:Z219" si="51">IF(T213=0,0,X213/T213)</f>
        <v>-0.18802267593781838</v>
      </c>
    </row>
    <row r="214" spans="1:26" s="24" customFormat="1" hidden="1" outlineLevel="2" x14ac:dyDescent="0.25">
      <c r="A214" s="26"/>
      <c r="B214" s="11" t="str">
        <f>CONCATENATE("          ", "6381", " - ", "BANK/CREDIT CARD FEES")</f>
        <v xml:space="preserve">          6381 - BANK/CREDIT CARD FEES</v>
      </c>
      <c r="C214" s="11"/>
      <c r="D214" s="6">
        <v>9604.4500000000007</v>
      </c>
      <c r="E214" s="2"/>
      <c r="F214" s="7">
        <f t="shared" si="44"/>
        <v>1.8172967781144304E-2</v>
      </c>
      <c r="G214" s="2"/>
      <c r="H214" s="6">
        <v>29650</v>
      </c>
      <c r="I214" s="2"/>
      <c r="J214" s="7">
        <f t="shared" si="45"/>
        <v>4.2173505918058692E-2</v>
      </c>
      <c r="K214" s="2"/>
      <c r="L214" s="6">
        <f t="shared" si="46"/>
        <v>-20045.55</v>
      </c>
      <c r="M214" s="2"/>
      <c r="N214" s="7">
        <f t="shared" si="47"/>
        <v>-0.67607251264755475</v>
      </c>
      <c r="O214" s="11"/>
      <c r="P214" s="6">
        <v>91668.18</v>
      </c>
      <c r="Q214" s="2"/>
      <c r="R214" s="7">
        <f t="shared" si="48"/>
        <v>1.2913619327628519E-2</v>
      </c>
      <c r="S214" s="2"/>
      <c r="T214" s="6">
        <v>112895</v>
      </c>
      <c r="U214" s="2"/>
      <c r="V214" s="7">
        <f t="shared" si="49"/>
        <v>1.5548752798129232E-2</v>
      </c>
      <c r="W214" s="2"/>
      <c r="X214" s="6">
        <f t="shared" si="50"/>
        <v>-21226.820000000007</v>
      </c>
      <c r="Y214" s="2"/>
      <c r="Z214" s="7">
        <f t="shared" si="51"/>
        <v>-0.18802267593781838</v>
      </c>
    </row>
    <row r="215" spans="1:26" s="25" customFormat="1" outlineLevel="1" collapsed="1" x14ac:dyDescent="0.25">
      <c r="A215" s="27"/>
      <c r="B215" s="13" t="str">
        <f>CONCATENATE("     ","Depreciation                                      ")</f>
        <v xml:space="preserve">     Depreciation                                      </v>
      </c>
      <c r="C215" s="13"/>
      <c r="D215" s="1">
        <f>SUM(OSRRefD22_5x_0)</f>
        <v>30057.75</v>
      </c>
      <c r="E215" s="1"/>
      <c r="F215" s="5">
        <f t="shared" si="44"/>
        <v>5.6873482846356654E-2</v>
      </c>
      <c r="G215" s="1"/>
      <c r="H215" s="1">
        <f>SUM(OSRRefH22_5x_0)</f>
        <v>30479</v>
      </c>
      <c r="I215" s="1"/>
      <c r="J215" s="5">
        <f t="shared" si="45"/>
        <v>4.3352657230236451E-2</v>
      </c>
      <c r="K215" s="1"/>
      <c r="L215" s="1">
        <f t="shared" si="46"/>
        <v>-421.25</v>
      </c>
      <c r="M215" s="1"/>
      <c r="N215" s="5">
        <f t="shared" si="47"/>
        <v>-1.3820991502345878E-2</v>
      </c>
      <c r="O215" s="13"/>
      <c r="P215" s="1">
        <f>SUM(OSRRefP22_5x_0)</f>
        <v>179497.1</v>
      </c>
      <c r="Q215" s="1"/>
      <c r="R215" s="5">
        <f t="shared" si="48"/>
        <v>2.5286388579038761E-2</v>
      </c>
      <c r="S215" s="1"/>
      <c r="T215" s="1">
        <f>SUM(OSRRefT22_5x_0)</f>
        <v>182043</v>
      </c>
      <c r="U215" s="1"/>
      <c r="V215" s="5">
        <f t="shared" si="49"/>
        <v>2.5072338063066031E-2</v>
      </c>
      <c r="W215" s="1"/>
      <c r="X215" s="1">
        <f t="shared" si="50"/>
        <v>-2545.8999999999942</v>
      </c>
      <c r="Y215" s="1"/>
      <c r="Z215" s="5">
        <f t="shared" si="51"/>
        <v>-1.3985157352933066E-2</v>
      </c>
    </row>
    <row r="216" spans="1:26" s="24" customFormat="1" hidden="1" outlineLevel="2" x14ac:dyDescent="0.25">
      <c r="A216" s="26"/>
      <c r="B216" s="11" t="str">
        <f>CONCATENATE("          ", "6321", " - ", "BUILDING DEPRECIATION")</f>
        <v xml:space="preserve">          6321 - BUILDING DEPRECIATION</v>
      </c>
      <c r="C216" s="11"/>
      <c r="D216" s="6">
        <v>16396.52</v>
      </c>
      <c r="E216" s="2"/>
      <c r="F216" s="7">
        <f t="shared" si="44"/>
        <v>3.1024517768626855E-2</v>
      </c>
      <c r="G216" s="2"/>
      <c r="H216" s="6">
        <v>16397</v>
      </c>
      <c r="I216" s="2"/>
      <c r="J216" s="7">
        <f t="shared" si="45"/>
        <v>2.33227310805534E-2</v>
      </c>
      <c r="K216" s="2"/>
      <c r="L216" s="6">
        <f t="shared" si="46"/>
        <v>-0.47999999999956344</v>
      </c>
      <c r="M216" s="2"/>
      <c r="N216" s="7">
        <f t="shared" si="47"/>
        <v>-2.927364761844017E-5</v>
      </c>
      <c r="O216" s="11"/>
      <c r="P216" s="6">
        <v>98379.12</v>
      </c>
      <c r="Q216" s="2"/>
      <c r="R216" s="7">
        <f t="shared" si="48"/>
        <v>1.3859013078115934E-2</v>
      </c>
      <c r="S216" s="2"/>
      <c r="T216" s="6">
        <v>98550</v>
      </c>
      <c r="U216" s="2"/>
      <c r="V216" s="7">
        <f t="shared" si="49"/>
        <v>1.357305096111994E-2</v>
      </c>
      <c r="W216" s="2"/>
      <c r="X216" s="6">
        <f t="shared" si="50"/>
        <v>-170.88000000000466</v>
      </c>
      <c r="Y216" s="2"/>
      <c r="Z216" s="7">
        <f t="shared" si="51"/>
        <v>-1.7339421613394689E-3</v>
      </c>
    </row>
    <row r="217" spans="1:26" s="24" customFormat="1" hidden="1" outlineLevel="2" x14ac:dyDescent="0.25">
      <c r="A217" s="26"/>
      <c r="B217" s="11" t="str">
        <f>CONCATENATE("          ", "6322", " - ", "EQUIPMENT DEPRECIATION EXPENSE")</f>
        <v xml:space="preserve">          6322 - EQUIPMENT DEPRECIATION EXPENSE</v>
      </c>
      <c r="C217" s="11"/>
      <c r="D217" s="6">
        <v>13661.23</v>
      </c>
      <c r="E217" s="2"/>
      <c r="F217" s="7">
        <f t="shared" si="44"/>
        <v>2.58489650777298E-2</v>
      </c>
      <c r="G217" s="2"/>
      <c r="H217" s="6">
        <v>13049</v>
      </c>
      <c r="I217" s="2"/>
      <c r="J217" s="7">
        <f t="shared" si="45"/>
        <v>1.8560609737765525E-2</v>
      </c>
      <c r="K217" s="2"/>
      <c r="L217" s="6">
        <f t="shared" si="46"/>
        <v>612.22999999999956</v>
      </c>
      <c r="M217" s="2"/>
      <c r="N217" s="7">
        <f t="shared" si="47"/>
        <v>4.6917771476741477E-2</v>
      </c>
      <c r="O217" s="11"/>
      <c r="P217" s="6">
        <v>81117.98000000001</v>
      </c>
      <c r="Q217" s="2"/>
      <c r="R217" s="7">
        <f t="shared" si="48"/>
        <v>1.1427375500922828E-2</v>
      </c>
      <c r="S217" s="2"/>
      <c r="T217" s="6">
        <v>78294</v>
      </c>
      <c r="U217" s="2"/>
      <c r="V217" s="7">
        <f t="shared" si="49"/>
        <v>1.0783241521561893E-2</v>
      </c>
      <c r="W217" s="2"/>
      <c r="X217" s="6">
        <f t="shared" si="50"/>
        <v>2823.9800000000105</v>
      </c>
      <c r="Y217" s="2"/>
      <c r="Z217" s="7">
        <f t="shared" si="51"/>
        <v>3.6068919712877241E-2</v>
      </c>
    </row>
    <row r="218" spans="1:26" s="24" customFormat="1" hidden="1" outlineLevel="2" x14ac:dyDescent="0.25">
      <c r="A218" s="26"/>
      <c r="B218" s="11" t="str">
        <f>CONCATENATE("          ", "6324", " - ", "FURNITURE + FIXT DEPRECIATION")</f>
        <v xml:space="preserve">          6324 - FURNITURE + FIXT DEPRECIATION</v>
      </c>
      <c r="C218" s="11"/>
      <c r="D218" s="6"/>
      <c r="E218" s="2"/>
      <c r="F218" s="7">
        <f t="shared" si="44"/>
        <v>0</v>
      </c>
      <c r="G218" s="2"/>
      <c r="H218" s="6">
        <v>700</v>
      </c>
      <c r="I218" s="2"/>
      <c r="J218" s="7">
        <f t="shared" si="45"/>
        <v>9.9566455793055923E-4</v>
      </c>
      <c r="K218" s="2"/>
      <c r="L218" s="6">
        <f t="shared" si="46"/>
        <v>-700</v>
      </c>
      <c r="M218" s="2"/>
      <c r="N218" s="7">
        <f t="shared" si="47"/>
        <v>-1</v>
      </c>
      <c r="O218" s="11"/>
      <c r="P218" s="6"/>
      <c r="Q218" s="2"/>
      <c r="R218" s="7">
        <f t="shared" si="48"/>
        <v>0</v>
      </c>
      <c r="S218" s="2"/>
      <c r="T218" s="6">
        <v>4200</v>
      </c>
      <c r="U218" s="2"/>
      <c r="V218" s="7">
        <f t="shared" si="49"/>
        <v>5.7845574872352867E-4</v>
      </c>
      <c r="W218" s="2"/>
      <c r="X218" s="6">
        <f t="shared" si="50"/>
        <v>-4200</v>
      </c>
      <c r="Y218" s="2"/>
      <c r="Z218" s="7">
        <f t="shared" si="51"/>
        <v>-1</v>
      </c>
    </row>
    <row r="219" spans="1:26" s="24" customFormat="1" hidden="1" outlineLevel="2" x14ac:dyDescent="0.25">
      <c r="A219" s="26"/>
      <c r="B219" s="11" t="str">
        <f>CONCATENATE("          ", "6326", " - ", "VEHICLES DEPRECIATION EXPENSE")</f>
        <v xml:space="preserve">          6326 - VEHICLES DEPRECIATION EXPENSE</v>
      </c>
      <c r="C219" s="11"/>
      <c r="D219" s="6"/>
      <c r="E219" s="2"/>
      <c r="F219" s="7">
        <f t="shared" si="44"/>
        <v>0</v>
      </c>
      <c r="G219" s="2"/>
      <c r="H219" s="6">
        <v>333</v>
      </c>
      <c r="I219" s="2"/>
      <c r="J219" s="7">
        <f t="shared" si="45"/>
        <v>4.7365185398696606E-4</v>
      </c>
      <c r="K219" s="2"/>
      <c r="L219" s="6">
        <f t="shared" si="46"/>
        <v>-333</v>
      </c>
      <c r="M219" s="2"/>
      <c r="N219" s="7">
        <f t="shared" si="47"/>
        <v>-1</v>
      </c>
      <c r="O219" s="11"/>
      <c r="P219" s="6"/>
      <c r="Q219" s="2"/>
      <c r="R219" s="7">
        <f t="shared" si="48"/>
        <v>0</v>
      </c>
      <c r="S219" s="2"/>
      <c r="T219" s="6">
        <v>999</v>
      </c>
      <c r="U219" s="2"/>
      <c r="V219" s="7">
        <f t="shared" si="49"/>
        <v>1.375898316606679E-4</v>
      </c>
      <c r="W219" s="2"/>
      <c r="X219" s="6">
        <f t="shared" si="50"/>
        <v>-999</v>
      </c>
      <c r="Y219" s="2"/>
      <c r="Z219" s="7">
        <f t="shared" si="51"/>
        <v>-1</v>
      </c>
    </row>
    <row r="220" spans="1:26" s="25" customFormat="1" outlineLevel="1" collapsed="1" x14ac:dyDescent="0.25">
      <c r="A220" s="27"/>
      <c r="B220" s="13" t="str">
        <f>CONCATENATE("     ","Discounts and Markdowns                           ")</f>
        <v xml:space="preserve">     Discounts and Markdowns                           </v>
      </c>
      <c r="C220" s="13"/>
      <c r="D220" s="1">
        <f>SUM(OSRRefD22_6x_0)</f>
        <v>41752.9</v>
      </c>
      <c r="E220" s="1"/>
      <c r="F220" s="5">
        <f t="shared" ref="F220:F222" si="52">IF(D$12=0,0,D220/D$12)</f>
        <v>7.9002348543575115E-2</v>
      </c>
      <c r="G220" s="1"/>
      <c r="H220" s="1">
        <f>SUM(OSRRefH22_6x_0)</f>
        <v>58925</v>
      </c>
      <c r="I220" s="1"/>
      <c r="J220" s="5">
        <f t="shared" ref="J220:J222" si="53">IF(H$12=0,0,H220/H$12)</f>
        <v>8.3813620108654577E-2</v>
      </c>
      <c r="K220" s="1"/>
      <c r="L220" s="1">
        <f t="shared" ref="L220:L222" si="54">+D220-H220</f>
        <v>-17172.099999999999</v>
      </c>
      <c r="M220" s="1"/>
      <c r="N220" s="5">
        <f t="shared" ref="N220:N222" si="55">IF(H220=0,0,L220/H220)</f>
        <v>-0.29142299533305044</v>
      </c>
      <c r="O220" s="13"/>
      <c r="P220" s="1">
        <f>SUM(OSRRefP22_6x_0)</f>
        <v>236975.00000000003</v>
      </c>
      <c r="Q220" s="1"/>
      <c r="R220" s="5">
        <f t="shared" ref="R220:R222" si="56">IF(P$12=0,0,P220/P$12)</f>
        <v>3.338350276142462E-2</v>
      </c>
      <c r="S220" s="1"/>
      <c r="T220" s="1">
        <f>SUM(OSRRefT22_6x_0)</f>
        <v>207050</v>
      </c>
      <c r="U220" s="1"/>
      <c r="V220" s="5">
        <f t="shared" ref="V220:V222" si="57">IF(T$12=0,0,T220/T$12)</f>
        <v>2.8516491136477765E-2</v>
      </c>
      <c r="W220" s="1"/>
      <c r="X220" s="1">
        <f t="shared" ref="X220:X222" si="58">+P220-T220</f>
        <v>29925.000000000029</v>
      </c>
      <c r="Y220" s="1"/>
      <c r="Z220" s="5">
        <f t="shared" ref="Z220:Z222" si="59">IF(T220=0,0,X220/T220)</f>
        <v>0.14453030668920563</v>
      </c>
    </row>
    <row r="221" spans="1:26" s="24" customFormat="1" hidden="1" outlineLevel="2" x14ac:dyDescent="0.25">
      <c r="A221" s="26"/>
      <c r="B221" s="11" t="str">
        <f>CONCATENATE("          ", "6382", " - ", "DISCOUNTS/MARK DOWNS")</f>
        <v xml:space="preserve">          6382 - DISCOUNTS/MARK DOWNS</v>
      </c>
      <c r="C221" s="11"/>
      <c r="D221" s="6">
        <v>41874.15</v>
      </c>
      <c r="E221" s="2"/>
      <c r="F221" s="7">
        <f t="shared" si="52"/>
        <v>7.9231770566019266E-2</v>
      </c>
      <c r="G221" s="2"/>
      <c r="H221" s="6">
        <v>58925</v>
      </c>
      <c r="I221" s="2"/>
      <c r="J221" s="7">
        <f t="shared" si="53"/>
        <v>8.3813620108654577E-2</v>
      </c>
      <c r="K221" s="2"/>
      <c r="L221" s="6">
        <f t="shared" si="54"/>
        <v>-17050.849999999999</v>
      </c>
      <c r="M221" s="2"/>
      <c r="N221" s="7">
        <f t="shared" si="55"/>
        <v>-0.28936529486635554</v>
      </c>
      <c r="O221" s="11"/>
      <c r="P221" s="6">
        <v>239461.50000000003</v>
      </c>
      <c r="Q221" s="2"/>
      <c r="R221" s="7">
        <f t="shared" si="56"/>
        <v>3.373378477267594E-2</v>
      </c>
      <c r="S221" s="2"/>
      <c r="T221" s="6">
        <v>207050</v>
      </c>
      <c r="U221" s="2"/>
      <c r="V221" s="7">
        <f t="shared" si="57"/>
        <v>2.8516491136477765E-2</v>
      </c>
      <c r="W221" s="2"/>
      <c r="X221" s="6">
        <f t="shared" si="58"/>
        <v>32411.500000000029</v>
      </c>
      <c r="Y221" s="2"/>
      <c r="Z221" s="7">
        <f t="shared" si="59"/>
        <v>0.15653948321661448</v>
      </c>
    </row>
    <row r="222" spans="1:26" s="24" customFormat="1" hidden="1" outlineLevel="2" x14ac:dyDescent="0.25">
      <c r="A222" s="26"/>
      <c r="B222" s="11" t="str">
        <f>CONCATENATE("          ", "9175", " - ", "EARNED DISCOUNTS")</f>
        <v xml:space="preserve">          9175 - EARNED DISCOUNTS</v>
      </c>
      <c r="C222" s="11"/>
      <c r="D222" s="6">
        <v>-121.25</v>
      </c>
      <c r="E222" s="2"/>
      <c r="F222" s="7">
        <f t="shared" si="52"/>
        <v>-2.2942202244415316E-4</v>
      </c>
      <c r="G222" s="2"/>
      <c r="H222" s="6"/>
      <c r="I222" s="2"/>
      <c r="J222" s="7">
        <f t="shared" si="53"/>
        <v>0</v>
      </c>
      <c r="K222" s="2"/>
      <c r="L222" s="6">
        <f t="shared" si="54"/>
        <v>-121.25</v>
      </c>
      <c r="M222" s="2"/>
      <c r="N222" s="7">
        <f t="shared" si="55"/>
        <v>0</v>
      </c>
      <c r="O222" s="11"/>
      <c r="P222" s="6">
        <v>-2486.5</v>
      </c>
      <c r="Q222" s="2"/>
      <c r="R222" s="7">
        <f t="shared" si="56"/>
        <v>-3.5028201125132316E-4</v>
      </c>
      <c r="S222" s="2"/>
      <c r="T222" s="6"/>
      <c r="U222" s="2"/>
      <c r="V222" s="7">
        <f t="shared" si="57"/>
        <v>0</v>
      </c>
      <c r="W222" s="2"/>
      <c r="X222" s="6">
        <f t="shared" si="58"/>
        <v>-2486.5</v>
      </c>
      <c r="Y222" s="2"/>
      <c r="Z222" s="7">
        <f t="shared" si="59"/>
        <v>0</v>
      </c>
    </row>
    <row r="223" spans="1:26" s="25" customFormat="1" outlineLevel="1" collapsed="1" x14ac:dyDescent="0.25">
      <c r="A223" s="27"/>
      <c r="B223" s="13" t="str">
        <f>CONCATENATE("     ","Donations                                         ")</f>
        <v xml:space="preserve">     Donations                                         </v>
      </c>
      <c r="C223" s="13"/>
      <c r="D223" s="1">
        <f>SUM(OSRRefD22_7x_0)</f>
        <v>150.84</v>
      </c>
      <c r="E223" s="1"/>
      <c r="F223" s="5">
        <f t="shared" ref="F223:F225" si="60">IF(D$12=0,0,D223/D$12)</f>
        <v>2.8541045662248298E-4</v>
      </c>
      <c r="G223" s="1"/>
      <c r="H223" s="1">
        <f>SUM(OSRRefH22_7x_0)</f>
        <v>1025</v>
      </c>
      <c r="I223" s="1"/>
      <c r="J223" s="5">
        <f t="shared" ref="J223:J225" si="61">IF(H$12=0,0,H223/H$12)</f>
        <v>1.457937388398319E-3</v>
      </c>
      <c r="K223" s="1"/>
      <c r="L223" s="1">
        <f t="shared" ref="L223:L225" si="62">+D223-H223</f>
        <v>-874.16</v>
      </c>
      <c r="M223" s="1"/>
      <c r="N223" s="5">
        <f t="shared" ref="N223:N225" si="63">IF(H223=0,0,L223/H223)</f>
        <v>-0.85283902439024384</v>
      </c>
      <c r="O223" s="13"/>
      <c r="P223" s="1">
        <f>SUM(OSRRefP22_7x_0)</f>
        <v>9798.2199999999993</v>
      </c>
      <c r="Q223" s="1"/>
      <c r="R223" s="5">
        <f t="shared" ref="R223:R225" si="64">IF(P$12=0,0,P223/P$12)</f>
        <v>1.3803097559955517E-3</v>
      </c>
      <c r="S223" s="1"/>
      <c r="T223" s="1">
        <f>SUM(OSRRefT22_7x_0)</f>
        <v>6225</v>
      </c>
      <c r="U223" s="1"/>
      <c r="V223" s="5">
        <f t="shared" ref="V223:V225" si="65">IF(T$12=0,0,T223/T$12)</f>
        <v>8.5735405614380147E-4</v>
      </c>
      <c r="W223" s="1"/>
      <c r="X223" s="1">
        <f t="shared" ref="X223:X225" si="66">+P223-T223</f>
        <v>3573.2199999999993</v>
      </c>
      <c r="Y223" s="1"/>
      <c r="Z223" s="5">
        <f t="shared" ref="Z223:Z225" si="67">IF(T223=0,0,X223/T223)</f>
        <v>0.57401124497991962</v>
      </c>
    </row>
    <row r="224" spans="1:26" s="24" customFormat="1" hidden="1" outlineLevel="2" x14ac:dyDescent="0.25">
      <c r="A224" s="26"/>
      <c r="B224" s="11" t="str">
        <f>CONCATENATE("          ", "6395", " - ", "DONATION-OFF CAMPUS")</f>
        <v xml:space="preserve">          6395 - DONATION-OFF CAMPUS</v>
      </c>
      <c r="C224" s="11"/>
      <c r="D224" s="6"/>
      <c r="E224" s="2"/>
      <c r="F224" s="7">
        <f t="shared" si="60"/>
        <v>0</v>
      </c>
      <c r="G224" s="2"/>
      <c r="H224" s="6">
        <v>1025</v>
      </c>
      <c r="I224" s="2"/>
      <c r="J224" s="7">
        <f t="shared" si="61"/>
        <v>1.457937388398319E-3</v>
      </c>
      <c r="K224" s="2"/>
      <c r="L224" s="6">
        <f t="shared" si="62"/>
        <v>-1025</v>
      </c>
      <c r="M224" s="2"/>
      <c r="N224" s="7">
        <f t="shared" si="63"/>
        <v>-1</v>
      </c>
      <c r="O224" s="11"/>
      <c r="P224" s="6"/>
      <c r="Q224" s="2"/>
      <c r="R224" s="7">
        <f t="shared" si="64"/>
        <v>0</v>
      </c>
      <c r="S224" s="2"/>
      <c r="T224" s="6">
        <v>6225</v>
      </c>
      <c r="U224" s="2"/>
      <c r="V224" s="7">
        <f t="shared" si="65"/>
        <v>8.5735405614380147E-4</v>
      </c>
      <c r="W224" s="2"/>
      <c r="X224" s="6">
        <f t="shared" si="66"/>
        <v>-6225</v>
      </c>
      <c r="Y224" s="2"/>
      <c r="Z224" s="7">
        <f t="shared" si="67"/>
        <v>-1</v>
      </c>
    </row>
    <row r="225" spans="1:26" s="24" customFormat="1" hidden="1" outlineLevel="2" x14ac:dyDescent="0.25">
      <c r="A225" s="26"/>
      <c r="B225" s="11" t="str">
        <f>CONCATENATE("          ", "6399", " - ", "DONATION-ON CAMPUS")</f>
        <v xml:space="preserve">          6399 - DONATION-ON CAMPUS</v>
      </c>
      <c r="C225" s="11"/>
      <c r="D225" s="6">
        <v>150.84</v>
      </c>
      <c r="E225" s="2"/>
      <c r="F225" s="7">
        <f t="shared" si="60"/>
        <v>2.8541045662248298E-4</v>
      </c>
      <c r="G225" s="2"/>
      <c r="H225" s="6"/>
      <c r="I225" s="2"/>
      <c r="J225" s="7">
        <f t="shared" si="61"/>
        <v>0</v>
      </c>
      <c r="K225" s="2"/>
      <c r="L225" s="6">
        <f t="shared" si="62"/>
        <v>150.84</v>
      </c>
      <c r="M225" s="2"/>
      <c r="N225" s="7">
        <f t="shared" si="63"/>
        <v>0</v>
      </c>
      <c r="O225" s="11"/>
      <c r="P225" s="6">
        <v>9798.2199999999993</v>
      </c>
      <c r="Q225" s="2"/>
      <c r="R225" s="7">
        <f t="shared" si="64"/>
        <v>1.3803097559955517E-3</v>
      </c>
      <c r="S225" s="2"/>
      <c r="T225" s="6"/>
      <c r="U225" s="2"/>
      <c r="V225" s="7">
        <f t="shared" si="65"/>
        <v>0</v>
      </c>
      <c r="W225" s="2"/>
      <c r="X225" s="6">
        <f t="shared" si="66"/>
        <v>9798.2199999999993</v>
      </c>
      <c r="Y225" s="2"/>
      <c r="Z225" s="7">
        <f t="shared" si="67"/>
        <v>0</v>
      </c>
    </row>
    <row r="226" spans="1:26" s="25" customFormat="1" outlineLevel="1" collapsed="1" x14ac:dyDescent="0.25">
      <c r="A226" s="27"/>
      <c r="B226" s="13" t="str">
        <f>CONCATENATE("     ","Employees' Appreciation                           ")</f>
        <v xml:space="preserve">     Employees' Appreciation                           </v>
      </c>
      <c r="C226" s="13"/>
      <c r="D226" s="1">
        <f>SUM(OSRRefD22_8x_0)</f>
        <v>152.4</v>
      </c>
      <c r="E226" s="1"/>
      <c r="F226" s="5">
        <f t="shared" ref="F226:F232" si="68">IF(D$12=0,0,D226/D$12)</f>
        <v>2.8836219563289846E-4</v>
      </c>
      <c r="G226" s="1"/>
      <c r="H226" s="1">
        <f>SUM(OSRRefH22_8x_0)</f>
        <v>815</v>
      </c>
      <c r="I226" s="1"/>
      <c r="J226" s="5">
        <f t="shared" ref="J226:J232" si="69">IF(H$12=0,0,H226/H$12)</f>
        <v>1.1592380210191512E-3</v>
      </c>
      <c r="K226" s="1"/>
      <c r="L226" s="1">
        <f t="shared" ref="L226:L232" si="70">+D226-H226</f>
        <v>-662.6</v>
      </c>
      <c r="M226" s="1"/>
      <c r="N226" s="5">
        <f t="shared" ref="N226:N232" si="71">IF(H226=0,0,L226/H226)</f>
        <v>-0.81300613496932517</v>
      </c>
      <c r="O226" s="13"/>
      <c r="P226" s="1">
        <f>SUM(OSRRefP22_8x_0)</f>
        <v>1194.04</v>
      </c>
      <c r="Q226" s="1"/>
      <c r="R226" s="5">
        <f t="shared" ref="R226:R232" si="72">IF(P$12=0,0,P226/P$12)</f>
        <v>1.6820861963182381E-4</v>
      </c>
      <c r="S226" s="1"/>
      <c r="T226" s="1">
        <f>SUM(OSRRefT22_8x_0)</f>
        <v>4515</v>
      </c>
      <c r="U226" s="1"/>
      <c r="V226" s="5">
        <f t="shared" ref="V226:V232" si="73">IF(T$12=0,0,T226/T$12)</f>
        <v>6.2183992987779337E-4</v>
      </c>
      <c r="W226" s="1"/>
      <c r="X226" s="1">
        <f t="shared" ref="X226:X232" si="74">+P226-T226</f>
        <v>-3320.96</v>
      </c>
      <c r="Y226" s="1"/>
      <c r="Z226" s="5">
        <f t="shared" ref="Z226:Z232" si="75">IF(T226=0,0,X226/T226)</f>
        <v>-0.73553931339977852</v>
      </c>
    </row>
    <row r="227" spans="1:26" s="24" customFormat="1" hidden="1" outlineLevel="2" x14ac:dyDescent="0.25">
      <c r="A227" s="26"/>
      <c r="B227" s="11" t="str">
        <f>CONCATENATE("          ", "6277", " - ", "EMPLOYEE APPRECIATION")</f>
        <v xml:space="preserve">          6277 - EMPLOYEE APPRECIATION</v>
      </c>
      <c r="C227" s="11"/>
      <c r="D227" s="6">
        <v>152.4</v>
      </c>
      <c r="E227" s="2"/>
      <c r="F227" s="7">
        <f t="shared" si="68"/>
        <v>2.8836219563289846E-4</v>
      </c>
      <c r="G227" s="2"/>
      <c r="H227" s="6">
        <v>815</v>
      </c>
      <c r="I227" s="2"/>
      <c r="J227" s="7">
        <f t="shared" si="69"/>
        <v>1.1592380210191512E-3</v>
      </c>
      <c r="K227" s="2"/>
      <c r="L227" s="6">
        <f t="shared" si="70"/>
        <v>-662.6</v>
      </c>
      <c r="M227" s="2"/>
      <c r="N227" s="7">
        <f t="shared" si="71"/>
        <v>-0.81300613496932517</v>
      </c>
      <c r="O227" s="11"/>
      <c r="P227" s="6">
        <v>1194.04</v>
      </c>
      <c r="Q227" s="2"/>
      <c r="R227" s="7">
        <f t="shared" si="72"/>
        <v>1.6820861963182381E-4</v>
      </c>
      <c r="S227" s="2"/>
      <c r="T227" s="6">
        <v>4515</v>
      </c>
      <c r="U227" s="2"/>
      <c r="V227" s="7">
        <f t="shared" si="73"/>
        <v>6.2183992987779337E-4</v>
      </c>
      <c r="W227" s="2"/>
      <c r="X227" s="6">
        <f t="shared" si="74"/>
        <v>-3320.96</v>
      </c>
      <c r="Y227" s="2"/>
      <c r="Z227" s="7">
        <f t="shared" si="75"/>
        <v>-0.73553931339977852</v>
      </c>
    </row>
    <row r="228" spans="1:26" s="25" customFormat="1" outlineLevel="1" collapsed="1" x14ac:dyDescent="0.25">
      <c r="A228" s="27"/>
      <c r="B228" s="13" t="str">
        <f>CONCATENATE("     ","Equipment Rental                                  ")</f>
        <v xml:space="preserve">     Equipment Rental                                  </v>
      </c>
      <c r="C228" s="13"/>
      <c r="D228" s="1">
        <f>SUM(OSRRefD22_9x_0)</f>
        <v>0</v>
      </c>
      <c r="E228" s="1"/>
      <c r="F228" s="5">
        <f t="shared" si="68"/>
        <v>0</v>
      </c>
      <c r="G228" s="1"/>
      <c r="H228" s="1">
        <f>SUM(OSRRefH22_9x_0)</f>
        <v>3225</v>
      </c>
      <c r="I228" s="1"/>
      <c r="J228" s="5">
        <f t="shared" si="69"/>
        <v>4.5871688561800765E-3</v>
      </c>
      <c r="K228" s="1"/>
      <c r="L228" s="1">
        <f t="shared" si="70"/>
        <v>-3225</v>
      </c>
      <c r="M228" s="1"/>
      <c r="N228" s="5">
        <f t="shared" si="71"/>
        <v>-1</v>
      </c>
      <c r="O228" s="13"/>
      <c r="P228" s="1">
        <f>SUM(OSRRefP22_9x_0)</f>
        <v>11090.14</v>
      </c>
      <c r="Q228" s="1"/>
      <c r="R228" s="5">
        <f t="shared" si="72"/>
        <v>1.5623070759134322E-3</v>
      </c>
      <c r="S228" s="1"/>
      <c r="T228" s="1">
        <f>SUM(OSRRefT22_9x_0)</f>
        <v>19350</v>
      </c>
      <c r="U228" s="1"/>
      <c r="V228" s="5">
        <f t="shared" si="73"/>
        <v>2.6650282709048288E-3</v>
      </c>
      <c r="W228" s="1"/>
      <c r="X228" s="1">
        <f t="shared" si="74"/>
        <v>-8259.86</v>
      </c>
      <c r="Y228" s="1"/>
      <c r="Z228" s="5">
        <f t="shared" si="75"/>
        <v>-0.42686614987080107</v>
      </c>
    </row>
    <row r="229" spans="1:26" s="24" customFormat="1" hidden="1" outlineLevel="2" x14ac:dyDescent="0.25">
      <c r="A229" s="26"/>
      <c r="B229" s="11" t="str">
        <f>CONCATENATE("          ", "6351", " - ", "EQUIPMENT RENTAL")</f>
        <v xml:space="preserve">          6351 - EQUIPMENT RENTAL</v>
      </c>
      <c r="C229" s="11"/>
      <c r="D229" s="6"/>
      <c r="E229" s="2"/>
      <c r="F229" s="7">
        <f t="shared" si="68"/>
        <v>0</v>
      </c>
      <c r="G229" s="2"/>
      <c r="H229" s="6">
        <v>3225</v>
      </c>
      <c r="I229" s="2"/>
      <c r="J229" s="7">
        <f t="shared" si="69"/>
        <v>4.5871688561800765E-3</v>
      </c>
      <c r="K229" s="2"/>
      <c r="L229" s="6">
        <f t="shared" si="70"/>
        <v>-3225</v>
      </c>
      <c r="M229" s="2"/>
      <c r="N229" s="7">
        <f t="shared" si="71"/>
        <v>-1</v>
      </c>
      <c r="O229" s="11"/>
      <c r="P229" s="6">
        <v>11090.14</v>
      </c>
      <c r="Q229" s="2"/>
      <c r="R229" s="7">
        <f t="shared" si="72"/>
        <v>1.5623070759134322E-3</v>
      </c>
      <c r="S229" s="2"/>
      <c r="T229" s="6">
        <v>19350</v>
      </c>
      <c r="U229" s="2"/>
      <c r="V229" s="7">
        <f t="shared" si="73"/>
        <v>2.6650282709048288E-3</v>
      </c>
      <c r="W229" s="2"/>
      <c r="X229" s="6">
        <f t="shared" si="74"/>
        <v>-8259.86</v>
      </c>
      <c r="Y229" s="2"/>
      <c r="Z229" s="7">
        <f t="shared" si="75"/>
        <v>-0.42686614987080107</v>
      </c>
    </row>
    <row r="230" spans="1:26" s="25" customFormat="1" outlineLevel="1" collapsed="1" x14ac:dyDescent="0.25">
      <c r="A230" s="27"/>
      <c r="B230" s="13" t="str">
        <f>CONCATENATE("     ","Freight out/Postage                               ")</f>
        <v xml:space="preserve">     Freight out/Postage                               </v>
      </c>
      <c r="C230" s="13"/>
      <c r="D230" s="1">
        <f>SUM(OSRRefD22_10x_0)</f>
        <v>1883.96</v>
      </c>
      <c r="E230" s="1"/>
      <c r="F230" s="5">
        <f t="shared" si="68"/>
        <v>3.5647168115784476E-3</v>
      </c>
      <c r="G230" s="1"/>
      <c r="H230" s="1">
        <f>SUM(OSRRefH22_10x_0)</f>
        <v>-1185</v>
      </c>
      <c r="I230" s="1"/>
      <c r="J230" s="5">
        <f t="shared" si="69"/>
        <v>-1.6855178587824467E-3</v>
      </c>
      <c r="K230" s="1"/>
      <c r="L230" s="1">
        <f t="shared" si="70"/>
        <v>3068.96</v>
      </c>
      <c r="M230" s="1"/>
      <c r="N230" s="5">
        <f t="shared" si="71"/>
        <v>-2.5898396624472575</v>
      </c>
      <c r="O230" s="13"/>
      <c r="P230" s="1">
        <f>SUM(OSRRefP22_10x_0)</f>
        <v>6599.8899999999958</v>
      </c>
      <c r="Q230" s="1"/>
      <c r="R230" s="5">
        <f t="shared" si="72"/>
        <v>9.2974974592298159E-4</v>
      </c>
      <c r="S230" s="1"/>
      <c r="T230" s="1">
        <f>SUM(OSRRefT22_10x_0)</f>
        <v>-29810</v>
      </c>
      <c r="U230" s="1"/>
      <c r="V230" s="5">
        <f t="shared" si="73"/>
        <v>-4.1056585403448547E-3</v>
      </c>
      <c r="W230" s="1"/>
      <c r="X230" s="1">
        <f t="shared" si="74"/>
        <v>36409.89</v>
      </c>
      <c r="Y230" s="1"/>
      <c r="Z230" s="5">
        <f t="shared" si="75"/>
        <v>-1.2213985239852398</v>
      </c>
    </row>
    <row r="231" spans="1:26" s="24" customFormat="1" hidden="1" outlineLevel="2" x14ac:dyDescent="0.25">
      <c r="A231" s="26"/>
      <c r="B231" s="11" t="str">
        <f>CONCATENATE("          ", "6305", " - ", "FREIGHT OUT")</f>
        <v xml:space="preserve">          6305 - FREIGHT OUT</v>
      </c>
      <c r="C231" s="11"/>
      <c r="D231" s="6">
        <v>5990.2</v>
      </c>
      <c r="E231" s="2"/>
      <c r="F231" s="7">
        <f t="shared" si="68"/>
        <v>1.1334299371917246E-2</v>
      </c>
      <c r="G231" s="2"/>
      <c r="H231" s="6">
        <v>-1225</v>
      </c>
      <c r="I231" s="2"/>
      <c r="J231" s="7">
        <f t="shared" si="69"/>
        <v>-1.7424129763784788E-3</v>
      </c>
      <c r="K231" s="2"/>
      <c r="L231" s="6">
        <f t="shared" si="70"/>
        <v>7215.2</v>
      </c>
      <c r="M231" s="2"/>
      <c r="N231" s="7">
        <f t="shared" si="71"/>
        <v>-5.8899591836734695</v>
      </c>
      <c r="O231" s="11"/>
      <c r="P231" s="6">
        <v>34753.729999999996</v>
      </c>
      <c r="Q231" s="2"/>
      <c r="R231" s="7">
        <f t="shared" si="72"/>
        <v>4.8958803309412614E-3</v>
      </c>
      <c r="S231" s="2"/>
      <c r="T231" s="6">
        <v>-30050</v>
      </c>
      <c r="U231" s="2"/>
      <c r="V231" s="7">
        <f t="shared" si="73"/>
        <v>-4.1387131545576276E-3</v>
      </c>
      <c r="W231" s="2"/>
      <c r="X231" s="6">
        <f t="shared" si="74"/>
        <v>64803.729999999996</v>
      </c>
      <c r="Y231" s="2"/>
      <c r="Z231" s="7">
        <f t="shared" si="75"/>
        <v>-2.1565301164725454</v>
      </c>
    </row>
    <row r="232" spans="1:26" s="24" customFormat="1" hidden="1" outlineLevel="2" x14ac:dyDescent="0.25">
      <c r="A232" s="26"/>
      <c r="B232" s="11" t="str">
        <f>CONCATENATE("          ", "6307", " - ", "POSTAGE")</f>
        <v xml:space="preserve">          6307 - POSTAGE</v>
      </c>
      <c r="C232" s="11"/>
      <c r="D232" s="6">
        <v>-4106.24</v>
      </c>
      <c r="E232" s="2"/>
      <c r="F232" s="7">
        <f t="shared" si="68"/>
        <v>-7.7695825603387985E-3</v>
      </c>
      <c r="G232" s="2"/>
      <c r="H232" s="6">
        <v>40</v>
      </c>
      <c r="I232" s="2"/>
      <c r="J232" s="7">
        <f t="shared" si="69"/>
        <v>5.6895117596031962E-5</v>
      </c>
      <c r="K232" s="2"/>
      <c r="L232" s="6">
        <f t="shared" si="70"/>
        <v>-4146.24</v>
      </c>
      <c r="M232" s="2"/>
      <c r="N232" s="7">
        <f t="shared" si="71"/>
        <v>-103.65599999999999</v>
      </c>
      <c r="O232" s="11"/>
      <c r="P232" s="6">
        <v>-28153.84</v>
      </c>
      <c r="Q232" s="2"/>
      <c r="R232" s="7">
        <f t="shared" si="72"/>
        <v>-3.9661305850182795E-3</v>
      </c>
      <c r="S232" s="2"/>
      <c r="T232" s="6">
        <v>240</v>
      </c>
      <c r="U232" s="2"/>
      <c r="V232" s="7">
        <f t="shared" si="73"/>
        <v>3.3054614212773069E-5</v>
      </c>
      <c r="W232" s="2"/>
      <c r="X232" s="6">
        <f t="shared" si="74"/>
        <v>-28393.84</v>
      </c>
      <c r="Y232" s="2"/>
      <c r="Z232" s="7">
        <f t="shared" si="75"/>
        <v>-118.30766666666666</v>
      </c>
    </row>
    <row r="233" spans="1:26" s="25" customFormat="1" outlineLevel="1" collapsed="1" x14ac:dyDescent="0.25">
      <c r="A233" s="27"/>
      <c r="B233" s="13" t="str">
        <f>CONCATENATE("     ","General                                           ")</f>
        <v xml:space="preserve">     General                                           </v>
      </c>
      <c r="C233" s="13"/>
      <c r="D233" s="1">
        <f>SUM(OSRRefD22_11x_0)</f>
        <v>2105.2199999999998</v>
      </c>
      <c r="E233" s="1"/>
      <c r="F233" s="5">
        <f t="shared" ref="F233:F247" si="76">IF(D$12=0,0,D233/D$12)</f>
        <v>3.9833717945557115E-3</v>
      </c>
      <c r="G233" s="1"/>
      <c r="H233" s="1">
        <f>SUM(OSRRefH22_11x_0)</f>
        <v>655</v>
      </c>
      <c r="I233" s="1"/>
      <c r="J233" s="5">
        <f t="shared" ref="J233:J247" si="77">IF(H$12=0,0,H233/H$12)</f>
        <v>9.3165755063502338E-4</v>
      </c>
      <c r="K233" s="1"/>
      <c r="L233" s="1">
        <f t="shared" ref="L233:L247" si="78">+D233-H233</f>
        <v>1450.2199999999998</v>
      </c>
      <c r="M233" s="1"/>
      <c r="N233" s="5">
        <f t="shared" ref="N233:N247" si="79">IF(H233=0,0,L233/H233)</f>
        <v>2.2140763358778623</v>
      </c>
      <c r="O233" s="13"/>
      <c r="P233" s="1">
        <f>SUM(OSRRefP22_11x_0)</f>
        <v>-1347.75</v>
      </c>
      <c r="Q233" s="1"/>
      <c r="R233" s="5">
        <f t="shared" ref="R233:R247" si="80">IF(P$12=0,0,P233/P$12)</f>
        <v>-1.8986228862415879E-4</v>
      </c>
      <c r="S233" s="1"/>
      <c r="T233" s="1">
        <f>SUM(OSRRefT22_11x_0)</f>
        <v>16795</v>
      </c>
      <c r="U233" s="1"/>
      <c r="V233" s="5">
        <f t="shared" ref="V233:V247" si="81">IF(T$12=0,0,T233/T$12)</f>
        <v>2.3131343570980153E-3</v>
      </c>
      <c r="W233" s="1"/>
      <c r="X233" s="1">
        <f t="shared" ref="X233:X247" si="82">+P233-T233</f>
        <v>-18142.75</v>
      </c>
      <c r="Y233" s="1"/>
      <c r="Z233" s="5">
        <f t="shared" ref="Z233:Z247" si="83">IF(T233=0,0,X233/T233)</f>
        <v>-1.0802470973504019</v>
      </c>
    </row>
    <row r="234" spans="1:26" s="24" customFormat="1" hidden="1" outlineLevel="2" x14ac:dyDescent="0.25">
      <c r="A234" s="26"/>
      <c r="B234" s="11" t="str">
        <f>CONCATENATE("          ", "6279", " - ", "GENERAL EXPENSE")</f>
        <v xml:space="preserve">          6279 - GENERAL EXPENSE</v>
      </c>
      <c r="C234" s="11"/>
      <c r="D234" s="6">
        <v>2105.2199999999998</v>
      </c>
      <c r="E234" s="2"/>
      <c r="F234" s="7">
        <f t="shared" si="76"/>
        <v>3.9833717945557115E-3</v>
      </c>
      <c r="G234" s="2"/>
      <c r="H234" s="6">
        <v>655</v>
      </c>
      <c r="I234" s="2"/>
      <c r="J234" s="7">
        <f t="shared" si="77"/>
        <v>9.3165755063502338E-4</v>
      </c>
      <c r="K234" s="2"/>
      <c r="L234" s="6">
        <f t="shared" si="78"/>
        <v>1450.2199999999998</v>
      </c>
      <c r="M234" s="2"/>
      <c r="N234" s="7">
        <f t="shared" si="79"/>
        <v>2.2140763358778623</v>
      </c>
      <c r="O234" s="11"/>
      <c r="P234" s="6">
        <v>-1347.75</v>
      </c>
      <c r="Q234" s="2"/>
      <c r="R234" s="7">
        <f t="shared" si="80"/>
        <v>-1.8986228862415879E-4</v>
      </c>
      <c r="S234" s="2"/>
      <c r="T234" s="6">
        <v>16795</v>
      </c>
      <c r="U234" s="2"/>
      <c r="V234" s="7">
        <f t="shared" si="81"/>
        <v>2.3131343570980153E-3</v>
      </c>
      <c r="W234" s="2"/>
      <c r="X234" s="6">
        <f t="shared" si="82"/>
        <v>-18142.75</v>
      </c>
      <c r="Y234" s="2"/>
      <c r="Z234" s="7">
        <f t="shared" si="83"/>
        <v>-1.0802470973504019</v>
      </c>
    </row>
    <row r="235" spans="1:26" s="25" customFormat="1" outlineLevel="1" collapsed="1" x14ac:dyDescent="0.25">
      <c r="A235" s="27"/>
      <c r="B235" s="13" t="str">
        <f>CONCATENATE("     ","Insurance                                         ")</f>
        <v xml:space="preserve">     Insurance                                         </v>
      </c>
      <c r="C235" s="13"/>
      <c r="D235" s="1">
        <f>SUM(OSRRefD22_12x_0)</f>
        <v>4044.74</v>
      </c>
      <c r="E235" s="1"/>
      <c r="F235" s="5">
        <f t="shared" si="76"/>
        <v>7.6532159262743416E-3</v>
      </c>
      <c r="G235" s="1"/>
      <c r="H235" s="1">
        <f>SUM(OSRRefH22_12x_0)</f>
        <v>3815</v>
      </c>
      <c r="I235" s="1"/>
      <c r="J235" s="5">
        <f t="shared" si="77"/>
        <v>5.4263718407215481E-3</v>
      </c>
      <c r="K235" s="1"/>
      <c r="L235" s="1">
        <f t="shared" si="78"/>
        <v>229.73999999999978</v>
      </c>
      <c r="M235" s="1"/>
      <c r="N235" s="5">
        <f t="shared" si="79"/>
        <v>6.0220183486238477E-2</v>
      </c>
      <c r="O235" s="13"/>
      <c r="P235" s="1">
        <f>SUM(OSRRefP22_12x_0)</f>
        <v>24268.44</v>
      </c>
      <c r="Q235" s="1"/>
      <c r="R235" s="5">
        <f t="shared" si="80"/>
        <v>3.4187806045172173E-3</v>
      </c>
      <c r="S235" s="1"/>
      <c r="T235" s="1">
        <f>SUM(OSRRefT22_12x_0)</f>
        <v>22890</v>
      </c>
      <c r="U235" s="1"/>
      <c r="V235" s="5">
        <f t="shared" si="81"/>
        <v>3.1525838305432314E-3</v>
      </c>
      <c r="W235" s="1"/>
      <c r="X235" s="1">
        <f t="shared" si="82"/>
        <v>1378.4399999999987</v>
      </c>
      <c r="Y235" s="1"/>
      <c r="Z235" s="5">
        <f t="shared" si="83"/>
        <v>6.0220183486238477E-2</v>
      </c>
    </row>
    <row r="236" spans="1:26" s="24" customFormat="1" hidden="1" outlineLevel="2" x14ac:dyDescent="0.25">
      <c r="A236" s="26"/>
      <c r="B236" s="11" t="str">
        <f>CONCATENATE("          ", "6314", " - ", "LIABILITY INSURANCE")</f>
        <v xml:space="preserve">          6314 - LIABILITY INSURANCE</v>
      </c>
      <c r="C236" s="11"/>
      <c r="D236" s="6">
        <v>4044.74</v>
      </c>
      <c r="E236" s="2"/>
      <c r="F236" s="7">
        <f t="shared" si="76"/>
        <v>7.6532159262743416E-3</v>
      </c>
      <c r="G236" s="2"/>
      <c r="H236" s="6">
        <v>3815</v>
      </c>
      <c r="I236" s="2"/>
      <c r="J236" s="7">
        <f t="shared" si="77"/>
        <v>5.4263718407215481E-3</v>
      </c>
      <c r="K236" s="2"/>
      <c r="L236" s="6">
        <f t="shared" si="78"/>
        <v>229.73999999999978</v>
      </c>
      <c r="M236" s="2"/>
      <c r="N236" s="7">
        <f t="shared" si="79"/>
        <v>6.0220183486238477E-2</v>
      </c>
      <c r="O236" s="11"/>
      <c r="P236" s="6">
        <v>24268.44</v>
      </c>
      <c r="Q236" s="2"/>
      <c r="R236" s="7">
        <f t="shared" si="80"/>
        <v>3.4187806045172173E-3</v>
      </c>
      <c r="S236" s="2"/>
      <c r="T236" s="6">
        <v>22890</v>
      </c>
      <c r="U236" s="2"/>
      <c r="V236" s="7">
        <f t="shared" si="81"/>
        <v>3.1525838305432314E-3</v>
      </c>
      <c r="W236" s="2"/>
      <c r="X236" s="6">
        <f t="shared" si="82"/>
        <v>1378.4399999999987</v>
      </c>
      <c r="Y236" s="2"/>
      <c r="Z236" s="7">
        <f t="shared" si="83"/>
        <v>6.0220183486238477E-2</v>
      </c>
    </row>
    <row r="237" spans="1:26" s="25" customFormat="1" outlineLevel="1" collapsed="1" x14ac:dyDescent="0.25">
      <c r="A237" s="27"/>
      <c r="B237" s="13" t="str">
        <f>CONCATENATE("     ","Inventory Adjustment                              ")</f>
        <v xml:space="preserve">     Inventory Adjustment                              </v>
      </c>
      <c r="C237" s="13"/>
      <c r="D237" s="1">
        <f>SUM(OSRRefD22_13x_0)</f>
        <v>10050</v>
      </c>
      <c r="E237" s="1"/>
      <c r="F237" s="5">
        <f t="shared" si="76"/>
        <v>1.9016010932484447E-2</v>
      </c>
      <c r="G237" s="1"/>
      <c r="H237" s="1">
        <f>SUM(OSRRefH22_13x_0)</f>
        <v>10050</v>
      </c>
      <c r="I237" s="1"/>
      <c r="J237" s="5">
        <f t="shared" si="77"/>
        <v>1.429489829600303E-2</v>
      </c>
      <c r="K237" s="1"/>
      <c r="L237" s="1">
        <f t="shared" si="78"/>
        <v>0</v>
      </c>
      <c r="M237" s="1"/>
      <c r="N237" s="5">
        <f t="shared" si="79"/>
        <v>0</v>
      </c>
      <c r="O237" s="13"/>
      <c r="P237" s="1">
        <f>SUM(OSRRefP22_13x_0)</f>
        <v>31200</v>
      </c>
      <c r="Q237" s="1"/>
      <c r="R237" s="5">
        <f t="shared" si="80"/>
        <v>4.3952538713216503E-3</v>
      </c>
      <c r="S237" s="1"/>
      <c r="T237" s="1">
        <f>SUM(OSRRefT22_13x_0)</f>
        <v>31200</v>
      </c>
      <c r="U237" s="1"/>
      <c r="V237" s="5">
        <f t="shared" si="81"/>
        <v>4.2970998476604986E-3</v>
      </c>
      <c r="W237" s="1"/>
      <c r="X237" s="1">
        <f t="shared" si="82"/>
        <v>0</v>
      </c>
      <c r="Y237" s="1"/>
      <c r="Z237" s="5">
        <f t="shared" si="83"/>
        <v>0</v>
      </c>
    </row>
    <row r="238" spans="1:26" s="24" customFormat="1" hidden="1" outlineLevel="2" x14ac:dyDescent="0.25">
      <c r="A238" s="26"/>
      <c r="B238" s="11" t="str">
        <f>CONCATENATE("          ", "6408", " - ", "INVENTORY ADJUSTMENT")</f>
        <v xml:space="preserve">          6408 - INVENTORY ADJUSTMENT</v>
      </c>
      <c r="C238" s="11"/>
      <c r="D238" s="6">
        <v>10050</v>
      </c>
      <c r="E238" s="2"/>
      <c r="F238" s="7">
        <f t="shared" si="76"/>
        <v>1.9016010932484447E-2</v>
      </c>
      <c r="G238" s="2"/>
      <c r="H238" s="6">
        <v>10050</v>
      </c>
      <c r="I238" s="2"/>
      <c r="J238" s="7">
        <f t="shared" si="77"/>
        <v>1.429489829600303E-2</v>
      </c>
      <c r="K238" s="2"/>
      <c r="L238" s="6">
        <f t="shared" si="78"/>
        <v>0</v>
      </c>
      <c r="M238" s="2"/>
      <c r="N238" s="7">
        <f t="shared" si="79"/>
        <v>0</v>
      </c>
      <c r="O238" s="11"/>
      <c r="P238" s="6">
        <v>31200</v>
      </c>
      <c r="Q238" s="2"/>
      <c r="R238" s="7">
        <f t="shared" si="80"/>
        <v>4.3952538713216503E-3</v>
      </c>
      <c r="S238" s="2"/>
      <c r="T238" s="6">
        <v>31200</v>
      </c>
      <c r="U238" s="2"/>
      <c r="V238" s="7">
        <f t="shared" si="81"/>
        <v>4.2970998476604986E-3</v>
      </c>
      <c r="W238" s="2"/>
      <c r="X238" s="6">
        <f t="shared" si="82"/>
        <v>0</v>
      </c>
      <c r="Y238" s="2"/>
      <c r="Z238" s="7">
        <f t="shared" si="83"/>
        <v>0</v>
      </c>
    </row>
    <row r="239" spans="1:26" s="25" customFormat="1" outlineLevel="1" collapsed="1" x14ac:dyDescent="0.25">
      <c r="A239" s="27"/>
      <c r="B239" s="13" t="str">
        <f>CONCATENATE("     ","Professional Services                             ")</f>
        <v xml:space="preserve">     Professional Services                             </v>
      </c>
      <c r="C239" s="13"/>
      <c r="D239" s="1">
        <f>SUM(OSRRefD22_14x_0)</f>
        <v>41.15</v>
      </c>
      <c r="E239" s="1"/>
      <c r="F239" s="5">
        <f t="shared" si="76"/>
        <v>7.7861577101665167E-5</v>
      </c>
      <c r="G239" s="1"/>
      <c r="H239" s="1">
        <f>SUM(OSRRefH22_14x_0)</f>
        <v>1015</v>
      </c>
      <c r="I239" s="1"/>
      <c r="J239" s="5">
        <f t="shared" si="77"/>
        <v>1.4437136089993109E-3</v>
      </c>
      <c r="K239" s="1"/>
      <c r="L239" s="1">
        <f t="shared" si="78"/>
        <v>-973.85</v>
      </c>
      <c r="M239" s="1"/>
      <c r="N239" s="5">
        <f t="shared" si="79"/>
        <v>-0.95945812807881781</v>
      </c>
      <c r="O239" s="13"/>
      <c r="P239" s="1">
        <f>SUM(OSRRefP22_14x_0)</f>
        <v>6199.56</v>
      </c>
      <c r="Q239" s="1"/>
      <c r="R239" s="5">
        <f t="shared" si="80"/>
        <v>8.7335384905419392E-4</v>
      </c>
      <c r="S239" s="1"/>
      <c r="T239" s="1">
        <f>SUM(OSRRefT22_14x_0)</f>
        <v>8740</v>
      </c>
      <c r="U239" s="1"/>
      <c r="V239" s="5">
        <f t="shared" si="81"/>
        <v>1.2037388675818193E-3</v>
      </c>
      <c r="W239" s="1"/>
      <c r="X239" s="1">
        <f t="shared" si="82"/>
        <v>-2540.4399999999996</v>
      </c>
      <c r="Y239" s="1"/>
      <c r="Z239" s="5">
        <f t="shared" si="83"/>
        <v>-0.2906681922196796</v>
      </c>
    </row>
    <row r="240" spans="1:26" s="24" customFormat="1" hidden="1" outlineLevel="2" x14ac:dyDescent="0.25">
      <c r="A240" s="26"/>
      <c r="B240" s="11" t="str">
        <f>CONCATENATE("          ", "6336", " - ", "PROFESSIONAL SERVICES")</f>
        <v xml:space="preserve">          6336 - PROFESSIONAL SERVICES</v>
      </c>
      <c r="C240" s="11"/>
      <c r="D240" s="6">
        <v>41.15</v>
      </c>
      <c r="E240" s="2"/>
      <c r="F240" s="7">
        <f t="shared" si="76"/>
        <v>7.7861577101665167E-5</v>
      </c>
      <c r="G240" s="2"/>
      <c r="H240" s="6">
        <v>1015</v>
      </c>
      <c r="I240" s="2"/>
      <c r="J240" s="7">
        <f t="shared" si="77"/>
        <v>1.4437136089993109E-3</v>
      </c>
      <c r="K240" s="2"/>
      <c r="L240" s="6">
        <f t="shared" si="78"/>
        <v>-973.85</v>
      </c>
      <c r="M240" s="2"/>
      <c r="N240" s="7">
        <f t="shared" si="79"/>
        <v>-0.95945812807881781</v>
      </c>
      <c r="O240" s="11"/>
      <c r="P240" s="6">
        <v>6199.56</v>
      </c>
      <c r="Q240" s="2"/>
      <c r="R240" s="7">
        <f t="shared" si="80"/>
        <v>8.7335384905419392E-4</v>
      </c>
      <c r="S240" s="2"/>
      <c r="T240" s="6">
        <v>8740</v>
      </c>
      <c r="U240" s="2"/>
      <c r="V240" s="7">
        <f t="shared" si="81"/>
        <v>1.2037388675818193E-3</v>
      </c>
      <c r="W240" s="2"/>
      <c r="X240" s="6">
        <f t="shared" si="82"/>
        <v>-2540.4399999999996</v>
      </c>
      <c r="Y240" s="2"/>
      <c r="Z240" s="7">
        <f t="shared" si="83"/>
        <v>-0.2906681922196796</v>
      </c>
    </row>
    <row r="241" spans="1:26" s="25" customFormat="1" outlineLevel="1" collapsed="1" x14ac:dyDescent="0.25">
      <c r="A241" s="27"/>
      <c r="B241" s="13" t="str">
        <f>CONCATENATE("     ","Rent                                              ")</f>
        <v xml:space="preserve">     Rent                                              </v>
      </c>
      <c r="C241" s="13"/>
      <c r="D241" s="1">
        <f>SUM(OSRRefD22_15x_0)</f>
        <v>6100</v>
      </c>
      <c r="E241" s="1"/>
      <c r="F241" s="5">
        <f t="shared" si="76"/>
        <v>1.1542056386881107E-2</v>
      </c>
      <c r="G241" s="1"/>
      <c r="H241" s="1">
        <f>SUM(OSRRefH22_15x_0)</f>
        <v>6400</v>
      </c>
      <c r="I241" s="1"/>
      <c r="J241" s="5">
        <f t="shared" si="77"/>
        <v>9.1032188153651137E-3</v>
      </c>
      <c r="K241" s="1"/>
      <c r="L241" s="1">
        <f t="shared" si="78"/>
        <v>-300</v>
      </c>
      <c r="M241" s="1"/>
      <c r="N241" s="5">
        <f t="shared" si="79"/>
        <v>-4.6875E-2</v>
      </c>
      <c r="O241" s="13"/>
      <c r="P241" s="1">
        <f>SUM(OSRRefP22_15x_0)</f>
        <v>36600</v>
      </c>
      <c r="Q241" s="1"/>
      <c r="R241" s="5">
        <f t="shared" si="80"/>
        <v>5.1559708875119356E-3</v>
      </c>
      <c r="S241" s="1"/>
      <c r="T241" s="1">
        <f>SUM(OSRRefT22_15x_0)</f>
        <v>38400</v>
      </c>
      <c r="U241" s="1"/>
      <c r="V241" s="5">
        <f t="shared" si="81"/>
        <v>5.2887382740436908E-3</v>
      </c>
      <c r="W241" s="1"/>
      <c r="X241" s="1">
        <f t="shared" si="82"/>
        <v>-1800</v>
      </c>
      <c r="Y241" s="1"/>
      <c r="Z241" s="5">
        <f t="shared" si="83"/>
        <v>-4.6875E-2</v>
      </c>
    </row>
    <row r="242" spans="1:26" s="24" customFormat="1" hidden="1" outlineLevel="2" x14ac:dyDescent="0.25">
      <c r="A242" s="26"/>
      <c r="B242" s="11" t="str">
        <f>CONCATENATE("          ", "6273", " - ", "RENT")</f>
        <v xml:space="preserve">          6273 - RENT</v>
      </c>
      <c r="C242" s="11"/>
      <c r="D242" s="6">
        <v>6100</v>
      </c>
      <c r="E242" s="2"/>
      <c r="F242" s="7">
        <f t="shared" si="76"/>
        <v>1.1542056386881107E-2</v>
      </c>
      <c r="G242" s="2"/>
      <c r="H242" s="6">
        <v>6400</v>
      </c>
      <c r="I242" s="2"/>
      <c r="J242" s="7">
        <f t="shared" si="77"/>
        <v>9.1032188153651137E-3</v>
      </c>
      <c r="K242" s="2"/>
      <c r="L242" s="6">
        <f t="shared" si="78"/>
        <v>-300</v>
      </c>
      <c r="M242" s="2"/>
      <c r="N242" s="7">
        <f t="shared" si="79"/>
        <v>-4.6875E-2</v>
      </c>
      <c r="O242" s="11"/>
      <c r="P242" s="6">
        <v>36600</v>
      </c>
      <c r="Q242" s="2"/>
      <c r="R242" s="7">
        <f t="shared" si="80"/>
        <v>5.1559708875119356E-3</v>
      </c>
      <c r="S242" s="2"/>
      <c r="T242" s="6">
        <v>38400</v>
      </c>
      <c r="U242" s="2"/>
      <c r="V242" s="7">
        <f t="shared" si="81"/>
        <v>5.2887382740436908E-3</v>
      </c>
      <c r="W242" s="2"/>
      <c r="X242" s="6">
        <f t="shared" si="82"/>
        <v>-1800</v>
      </c>
      <c r="Y242" s="2"/>
      <c r="Z242" s="7">
        <f t="shared" si="83"/>
        <v>-4.6875E-2</v>
      </c>
    </row>
    <row r="243" spans="1:26" s="25" customFormat="1" outlineLevel="1" collapsed="1" x14ac:dyDescent="0.25">
      <c r="A243" s="27"/>
      <c r="B243" s="13" t="str">
        <f>CONCATENATE("     ","Repair and Maintenance                            ")</f>
        <v xml:space="preserve">     Repair and Maintenance                            </v>
      </c>
      <c r="C243" s="13"/>
      <c r="D243" s="1">
        <f>SUM(OSRRefD22_16x_0)</f>
        <v>12150.27</v>
      </c>
      <c r="E243" s="1"/>
      <c r="F243" s="5">
        <f t="shared" si="76"/>
        <v>2.2990016632103264E-2</v>
      </c>
      <c r="G243" s="1"/>
      <c r="H243" s="1">
        <f>SUM(OSRRefH22_16x_0)</f>
        <v>16540</v>
      </c>
      <c r="I243" s="1"/>
      <c r="J243" s="5">
        <f t="shared" si="77"/>
        <v>2.3526131125959214E-2</v>
      </c>
      <c r="K243" s="1"/>
      <c r="L243" s="1">
        <f t="shared" si="78"/>
        <v>-4389.7299999999996</v>
      </c>
      <c r="M243" s="1"/>
      <c r="N243" s="5">
        <f t="shared" si="79"/>
        <v>-0.26540084643288991</v>
      </c>
      <c r="O243" s="13"/>
      <c r="P243" s="1">
        <f>SUM(OSRRefP22_16x_0)</f>
        <v>82352.02</v>
      </c>
      <c r="Q243" s="1"/>
      <c r="R243" s="5">
        <f t="shared" si="80"/>
        <v>1.160121906141532E-2</v>
      </c>
      <c r="S243" s="1"/>
      <c r="T243" s="1">
        <f>SUM(OSRRefT22_16x_0)</f>
        <v>131875</v>
      </c>
      <c r="U243" s="1"/>
      <c r="V243" s="5">
        <f t="shared" si="81"/>
        <v>1.81628218721227E-2</v>
      </c>
      <c r="W243" s="1"/>
      <c r="X243" s="1">
        <f t="shared" si="82"/>
        <v>-49522.979999999996</v>
      </c>
      <c r="Y243" s="1"/>
      <c r="Z243" s="5">
        <f t="shared" si="83"/>
        <v>-0.3755297061611374</v>
      </c>
    </row>
    <row r="244" spans="1:26" s="24" customFormat="1" hidden="1" outlineLevel="2" x14ac:dyDescent="0.25">
      <c r="A244" s="26"/>
      <c r="B244" s="11" t="str">
        <f>CONCATENATE("          ", "6371", " - ", "COMPUTER SOFTWARE MAINTENANCE")</f>
        <v xml:space="preserve">          6371 - COMPUTER SOFTWARE MAINTENANCE</v>
      </c>
      <c r="C244" s="11"/>
      <c r="D244" s="6">
        <v>601</v>
      </c>
      <c r="E244" s="2"/>
      <c r="F244" s="7">
        <f t="shared" si="76"/>
        <v>1.1371763751664829E-3</v>
      </c>
      <c r="G244" s="2"/>
      <c r="H244" s="6"/>
      <c r="I244" s="2"/>
      <c r="J244" s="7">
        <f t="shared" si="77"/>
        <v>0</v>
      </c>
      <c r="K244" s="2"/>
      <c r="L244" s="6">
        <f t="shared" si="78"/>
        <v>601</v>
      </c>
      <c r="M244" s="2"/>
      <c r="N244" s="7">
        <f t="shared" si="79"/>
        <v>0</v>
      </c>
      <c r="O244" s="11"/>
      <c r="P244" s="6">
        <v>13953.4</v>
      </c>
      <c r="Q244" s="2"/>
      <c r="R244" s="7">
        <f t="shared" si="80"/>
        <v>1.9656645951313945E-3</v>
      </c>
      <c r="S244" s="2"/>
      <c r="T244" s="6">
        <v>48535</v>
      </c>
      <c r="U244" s="2"/>
      <c r="V244" s="7">
        <f t="shared" si="81"/>
        <v>6.6846070867372532E-3</v>
      </c>
      <c r="W244" s="2"/>
      <c r="X244" s="6">
        <f t="shared" si="82"/>
        <v>-34581.599999999999</v>
      </c>
      <c r="Y244" s="2"/>
      <c r="Z244" s="7">
        <f t="shared" si="83"/>
        <v>-0.71250849902132474</v>
      </c>
    </row>
    <row r="245" spans="1:26" s="24" customFormat="1" hidden="1" outlineLevel="2" x14ac:dyDescent="0.25">
      <c r="A245" s="26"/>
      <c r="B245" s="11" t="str">
        <f>CONCATENATE("          ", "6372", " - ", "COMPUTER HARDWARE MAINTENANCE")</f>
        <v xml:space="preserve">          6372 - COMPUTER HARDWARE MAINTENANCE</v>
      </c>
      <c r="C245" s="11"/>
      <c r="D245" s="6"/>
      <c r="E245" s="2"/>
      <c r="F245" s="7">
        <f t="shared" si="76"/>
        <v>0</v>
      </c>
      <c r="G245" s="2"/>
      <c r="H245" s="6">
        <v>2000</v>
      </c>
      <c r="I245" s="2"/>
      <c r="J245" s="7">
        <f t="shared" si="77"/>
        <v>2.8447558798015979E-3</v>
      </c>
      <c r="K245" s="2"/>
      <c r="L245" s="6">
        <f t="shared" si="78"/>
        <v>-2000</v>
      </c>
      <c r="M245" s="2"/>
      <c r="N245" s="7">
        <f t="shared" si="79"/>
        <v>-1</v>
      </c>
      <c r="O245" s="11"/>
      <c r="P245" s="6"/>
      <c r="Q245" s="2"/>
      <c r="R245" s="7">
        <f t="shared" si="80"/>
        <v>0</v>
      </c>
      <c r="S245" s="2"/>
      <c r="T245" s="6">
        <v>2000</v>
      </c>
      <c r="U245" s="2"/>
      <c r="V245" s="7">
        <f t="shared" si="81"/>
        <v>2.7545511843977559E-4</v>
      </c>
      <c r="W245" s="2"/>
      <c r="X245" s="6">
        <f t="shared" si="82"/>
        <v>-2000</v>
      </c>
      <c r="Y245" s="2"/>
      <c r="Z245" s="7">
        <f t="shared" si="83"/>
        <v>-1</v>
      </c>
    </row>
    <row r="246" spans="1:26" s="24" customFormat="1" hidden="1" outlineLevel="2" x14ac:dyDescent="0.25">
      <c r="A246" s="26"/>
      <c r="B246" s="11" t="str">
        <f>CONCATENATE("          ", "6373", " - ", "MAINTENANCE CONTRACTS")</f>
        <v xml:space="preserve">          6373 - MAINTENANCE CONTRACTS</v>
      </c>
      <c r="C246" s="11"/>
      <c r="D246" s="6">
        <v>7860.47</v>
      </c>
      <c r="E246" s="2"/>
      <c r="F246" s="7">
        <f t="shared" si="76"/>
        <v>1.4873112781538907E-2</v>
      </c>
      <c r="G246" s="2"/>
      <c r="H246" s="6">
        <v>7040</v>
      </c>
      <c r="I246" s="2"/>
      <c r="J246" s="7">
        <f t="shared" si="77"/>
        <v>1.0013540696901625E-2</v>
      </c>
      <c r="K246" s="2"/>
      <c r="L246" s="6">
        <f t="shared" si="78"/>
        <v>820.47000000000025</v>
      </c>
      <c r="M246" s="2"/>
      <c r="N246" s="7">
        <f t="shared" si="79"/>
        <v>0.11654403409090913</v>
      </c>
      <c r="O246" s="11"/>
      <c r="P246" s="6">
        <v>39698.39</v>
      </c>
      <c r="Q246" s="2"/>
      <c r="R246" s="7">
        <f t="shared" si="80"/>
        <v>5.5924519978441242E-3</v>
      </c>
      <c r="S246" s="2"/>
      <c r="T246" s="6">
        <v>42315</v>
      </c>
      <c r="U246" s="2"/>
      <c r="V246" s="7">
        <f t="shared" si="81"/>
        <v>5.8279416683895517E-3</v>
      </c>
      <c r="W246" s="2"/>
      <c r="X246" s="6">
        <f t="shared" si="82"/>
        <v>-2616.6100000000006</v>
      </c>
      <c r="Y246" s="2"/>
      <c r="Z246" s="7">
        <f t="shared" si="83"/>
        <v>-6.1836464610658171E-2</v>
      </c>
    </row>
    <row r="247" spans="1:26" s="24" customFormat="1" hidden="1" outlineLevel="2" x14ac:dyDescent="0.25">
      <c r="A247" s="26"/>
      <c r="B247" s="11" t="str">
        <f>CONCATENATE("          ", "6375", " - ", "OUTSIDE REPAIRS &amp; MAINTENANCE")</f>
        <v xml:space="preserve">          6375 - OUTSIDE REPAIRS &amp; MAINTENANCE</v>
      </c>
      <c r="C247" s="11"/>
      <c r="D247" s="6">
        <v>3688.8</v>
      </c>
      <c r="E247" s="2"/>
      <c r="F247" s="7">
        <f t="shared" si="76"/>
        <v>6.9797274753978737E-3</v>
      </c>
      <c r="G247" s="2"/>
      <c r="H247" s="6">
        <v>7500</v>
      </c>
      <c r="I247" s="2"/>
      <c r="J247" s="7">
        <f t="shared" si="77"/>
        <v>1.0667834549255992E-2</v>
      </c>
      <c r="K247" s="2"/>
      <c r="L247" s="6">
        <f t="shared" si="78"/>
        <v>-3811.2</v>
      </c>
      <c r="M247" s="2"/>
      <c r="N247" s="7">
        <f t="shared" si="79"/>
        <v>-0.50815999999999995</v>
      </c>
      <c r="O247" s="11"/>
      <c r="P247" s="6">
        <v>28700.230000000003</v>
      </c>
      <c r="Q247" s="2"/>
      <c r="R247" s="7">
        <f t="shared" si="80"/>
        <v>4.0431024684398006E-3</v>
      </c>
      <c r="S247" s="2"/>
      <c r="T247" s="6">
        <v>39025</v>
      </c>
      <c r="U247" s="2"/>
      <c r="V247" s="7">
        <f t="shared" si="81"/>
        <v>5.3748179985561211E-3</v>
      </c>
      <c r="W247" s="2"/>
      <c r="X247" s="6">
        <f t="shared" si="82"/>
        <v>-10324.769999999997</v>
      </c>
      <c r="Y247" s="2"/>
      <c r="Z247" s="7">
        <f t="shared" si="83"/>
        <v>-0.26456809737347847</v>
      </c>
    </row>
    <row r="248" spans="1:26" s="25" customFormat="1" outlineLevel="1" collapsed="1" x14ac:dyDescent="0.25">
      <c r="A248" s="27"/>
      <c r="B248" s="13" t="str">
        <f>CONCATENATE("     ","Royalty &amp; Commissions                             ")</f>
        <v xml:space="preserve">     Royalty &amp; Commissions                             </v>
      </c>
      <c r="C248" s="13"/>
      <c r="D248" s="1">
        <f>SUM(OSRRefD22_17x_0)</f>
        <v>12955.019999999999</v>
      </c>
      <c r="E248" s="1"/>
      <c r="F248" s="5">
        <f t="shared" ref="F248:F252" si="84">IF(D$12=0,0,D248/D$12)</f>
        <v>2.4512716611995486E-2</v>
      </c>
      <c r="G248" s="1"/>
      <c r="H248" s="1">
        <f>SUM(OSRRefH22_17x_0)</f>
        <v>16485</v>
      </c>
      <c r="I248" s="1"/>
      <c r="J248" s="5">
        <f t="shared" ref="J248:J252" si="85">IF(H$12=0,0,H248/H$12)</f>
        <v>2.3447900339264673E-2</v>
      </c>
      <c r="K248" s="1"/>
      <c r="L248" s="1">
        <f t="shared" ref="L248:L252" si="86">+D248-H248</f>
        <v>-3529.9800000000014</v>
      </c>
      <c r="M248" s="1"/>
      <c r="N248" s="5">
        <f t="shared" ref="N248:N252" si="87">IF(H248=0,0,L248/H248)</f>
        <v>-0.21413284804367616</v>
      </c>
      <c r="O248" s="13"/>
      <c r="P248" s="1">
        <f>SUM(OSRRefP22_17x_0)</f>
        <v>63490.770000000004</v>
      </c>
      <c r="Q248" s="1"/>
      <c r="R248" s="5">
        <f t="shared" ref="R248:R252" si="88">IF(P$12=0,0,P248/P$12)</f>
        <v>8.9441683537080929E-3</v>
      </c>
      <c r="S248" s="1"/>
      <c r="T248" s="1">
        <f>SUM(OSRRefT22_17x_0)</f>
        <v>98910</v>
      </c>
      <c r="U248" s="1"/>
      <c r="V248" s="5">
        <f t="shared" ref="V248:V252" si="89">IF(T$12=0,0,T248/T$12)</f>
        <v>1.36226328824391E-2</v>
      </c>
      <c r="W248" s="1"/>
      <c r="X248" s="1">
        <f t="shared" ref="X248:X252" si="90">+P248-T248</f>
        <v>-35419.229999999996</v>
      </c>
      <c r="Y248" s="1"/>
      <c r="Z248" s="5">
        <f t="shared" ref="Z248:Z252" si="91">IF(T248=0,0,X248/T248)</f>
        <v>-0.35809554140127386</v>
      </c>
    </row>
    <row r="249" spans="1:26" s="24" customFormat="1" hidden="1" outlineLevel="2" x14ac:dyDescent="0.25">
      <c r="A249" s="26"/>
      <c r="B249" s="11" t="str">
        <f>CONCATENATE("          ", "6252", " - ", "ROYALTY DUE CSTV")</f>
        <v xml:space="preserve">          6252 - ROYALTY DUE CSTV</v>
      </c>
      <c r="C249" s="11"/>
      <c r="D249" s="6"/>
      <c r="E249" s="2"/>
      <c r="F249" s="7">
        <f t="shared" si="84"/>
        <v>0</v>
      </c>
      <c r="G249" s="2"/>
      <c r="H249" s="6">
        <v>1085</v>
      </c>
      <c r="I249" s="2"/>
      <c r="J249" s="7">
        <f t="shared" si="85"/>
        <v>1.543280064792367E-3</v>
      </c>
      <c r="K249" s="2"/>
      <c r="L249" s="6">
        <f t="shared" si="86"/>
        <v>-1085</v>
      </c>
      <c r="M249" s="2"/>
      <c r="N249" s="7">
        <f t="shared" si="87"/>
        <v>-1</v>
      </c>
      <c r="O249" s="11"/>
      <c r="P249" s="6"/>
      <c r="Q249" s="2"/>
      <c r="R249" s="7">
        <f t="shared" si="88"/>
        <v>0</v>
      </c>
      <c r="S249" s="2"/>
      <c r="T249" s="6">
        <v>6510</v>
      </c>
      <c r="U249" s="2"/>
      <c r="V249" s="7">
        <f t="shared" si="89"/>
        <v>8.9660641052146945E-4</v>
      </c>
      <c r="W249" s="2"/>
      <c r="X249" s="6">
        <f t="shared" si="90"/>
        <v>-6510</v>
      </c>
      <c r="Y249" s="2"/>
      <c r="Z249" s="7">
        <f t="shared" si="91"/>
        <v>-1</v>
      </c>
    </row>
    <row r="250" spans="1:26" s="24" customFormat="1" hidden="1" outlineLevel="2" x14ac:dyDescent="0.25">
      <c r="A250" s="26"/>
      <c r="B250" s="11" t="str">
        <f>CONCATENATE("          ", "6253", " - ", "ROYALTY DUE ATHLETICS-LRG")</f>
        <v xml:space="preserve">          6253 - ROYALTY DUE ATHLETICS-LRG</v>
      </c>
      <c r="C250" s="11"/>
      <c r="D250" s="6"/>
      <c r="E250" s="2"/>
      <c r="F250" s="7">
        <f t="shared" si="84"/>
        <v>0</v>
      </c>
      <c r="G250" s="2"/>
      <c r="H250" s="6">
        <v>3700</v>
      </c>
      <c r="I250" s="2"/>
      <c r="J250" s="7">
        <f t="shared" si="85"/>
        <v>5.2627983776329561E-3</v>
      </c>
      <c r="K250" s="2"/>
      <c r="L250" s="6">
        <f t="shared" si="86"/>
        <v>-3700</v>
      </c>
      <c r="M250" s="2"/>
      <c r="N250" s="7">
        <f t="shared" si="87"/>
        <v>-1</v>
      </c>
      <c r="O250" s="11"/>
      <c r="P250" s="6">
        <v>4366.95</v>
      </c>
      <c r="Q250" s="2"/>
      <c r="R250" s="7">
        <f t="shared" si="88"/>
        <v>6.1518762478743837E-4</v>
      </c>
      <c r="S250" s="2"/>
      <c r="T250" s="6">
        <v>22200</v>
      </c>
      <c r="U250" s="2"/>
      <c r="V250" s="7">
        <f t="shared" si="89"/>
        <v>3.0575518146815088E-3</v>
      </c>
      <c r="W250" s="2"/>
      <c r="X250" s="6">
        <f t="shared" si="90"/>
        <v>-17833.05</v>
      </c>
      <c r="Y250" s="2"/>
      <c r="Z250" s="7">
        <f t="shared" si="91"/>
        <v>-0.8032905405405405</v>
      </c>
    </row>
    <row r="251" spans="1:26" s="24" customFormat="1" hidden="1" outlineLevel="2" x14ac:dyDescent="0.25">
      <c r="A251" s="26"/>
      <c r="B251" s="11" t="str">
        <f>CONCATENATE("          ", "6254", " - ", "ROYALTY &amp; COMMISSIONS")</f>
        <v xml:space="preserve">          6254 - ROYALTY &amp; COMMISSIONS</v>
      </c>
      <c r="C251" s="11"/>
      <c r="D251" s="6">
        <v>262.72000000000003</v>
      </c>
      <c r="E251" s="2"/>
      <c r="F251" s="7">
        <f t="shared" si="84"/>
        <v>4.9710312360023024E-4</v>
      </c>
      <c r="G251" s="2"/>
      <c r="H251" s="6">
        <v>11700</v>
      </c>
      <c r="I251" s="2"/>
      <c r="J251" s="7">
        <f t="shared" si="85"/>
        <v>1.6641821896839347E-2</v>
      </c>
      <c r="K251" s="2"/>
      <c r="L251" s="6">
        <f t="shared" si="86"/>
        <v>-11437.28</v>
      </c>
      <c r="M251" s="2"/>
      <c r="N251" s="7">
        <f t="shared" si="87"/>
        <v>-0.9775452991452992</v>
      </c>
      <c r="O251" s="11"/>
      <c r="P251" s="6">
        <v>2563.84</v>
      </c>
      <c r="Q251" s="2"/>
      <c r="R251" s="7">
        <f t="shared" si="88"/>
        <v>3.6117716940542628E-4</v>
      </c>
      <c r="S251" s="2"/>
      <c r="T251" s="6">
        <v>70200</v>
      </c>
      <c r="U251" s="2"/>
      <c r="V251" s="7">
        <f t="shared" si="89"/>
        <v>9.668474657236123E-3</v>
      </c>
      <c r="W251" s="2"/>
      <c r="X251" s="6">
        <f t="shared" si="90"/>
        <v>-67636.160000000003</v>
      </c>
      <c r="Y251" s="2"/>
      <c r="Z251" s="7">
        <f t="shared" si="91"/>
        <v>-0.96347806267806269</v>
      </c>
    </row>
    <row r="252" spans="1:26" s="24" customFormat="1" hidden="1" outlineLevel="2" x14ac:dyDescent="0.25">
      <c r="A252" s="26"/>
      <c r="B252" s="11" t="str">
        <f>CONCATENATE("          ", "6259", " - ", "ROYALTY &amp; COMMISSIONS")</f>
        <v xml:space="preserve">          6259 - ROYALTY &amp; COMMISSIONS</v>
      </c>
      <c r="C252" s="11"/>
      <c r="D252" s="6">
        <v>12692.3</v>
      </c>
      <c r="E252" s="2"/>
      <c r="F252" s="7">
        <f t="shared" si="84"/>
        <v>2.4015613488395256E-2</v>
      </c>
      <c r="G252" s="2"/>
      <c r="H252" s="6"/>
      <c r="I252" s="2"/>
      <c r="J252" s="7">
        <f t="shared" si="85"/>
        <v>0</v>
      </c>
      <c r="K252" s="2"/>
      <c r="L252" s="6">
        <f t="shared" si="86"/>
        <v>12692.3</v>
      </c>
      <c r="M252" s="2"/>
      <c r="N252" s="7">
        <f t="shared" si="87"/>
        <v>0</v>
      </c>
      <c r="O252" s="11"/>
      <c r="P252" s="6">
        <v>56559.98</v>
      </c>
      <c r="Q252" s="2"/>
      <c r="R252" s="7">
        <f t="shared" si="88"/>
        <v>7.9678035595152283E-3</v>
      </c>
      <c r="S252" s="2"/>
      <c r="T252" s="6"/>
      <c r="U252" s="2"/>
      <c r="V252" s="7">
        <f t="shared" si="89"/>
        <v>0</v>
      </c>
      <c r="W252" s="2"/>
      <c r="X252" s="6">
        <f t="shared" si="90"/>
        <v>56559.98</v>
      </c>
      <c r="Y252" s="2"/>
      <c r="Z252" s="7">
        <f t="shared" si="91"/>
        <v>0</v>
      </c>
    </row>
    <row r="253" spans="1:26" s="25" customFormat="1" outlineLevel="1" collapsed="1" x14ac:dyDescent="0.25">
      <c r="A253" s="27"/>
      <c r="B253" s="13" t="str">
        <f>CONCATENATE("     ","Services                                          ")</f>
        <v xml:space="preserve">     Services                                          </v>
      </c>
      <c r="C253" s="13"/>
      <c r="D253" s="1">
        <f>SUM(OSRRefD22_18x_0)</f>
        <v>4525.41</v>
      </c>
      <c r="E253" s="1"/>
      <c r="F253" s="5">
        <f t="shared" ref="F253:F257" si="92">IF(D$12=0,0,D253/D$12)</f>
        <v>8.5627110481566598E-3</v>
      </c>
      <c r="G253" s="1"/>
      <c r="H253" s="1">
        <f>SUM(OSRRefH22_18x_0)</f>
        <v>4432.5</v>
      </c>
      <c r="I253" s="1"/>
      <c r="J253" s="5">
        <f t="shared" ref="J253:J257" si="93">IF(H$12=0,0,H253/H$12)</f>
        <v>6.3046902186102913E-3</v>
      </c>
      <c r="K253" s="1"/>
      <c r="L253" s="1">
        <f t="shared" ref="L253:L257" si="94">+D253-H253</f>
        <v>92.909999999999854</v>
      </c>
      <c r="M253" s="1"/>
      <c r="N253" s="5">
        <f t="shared" ref="N253:N257" si="95">IF(H253=0,0,L253/H253)</f>
        <v>2.0961082910321456E-2</v>
      </c>
      <c r="O253" s="13"/>
      <c r="P253" s="1">
        <f>SUM(OSRRefP22_18x_0)</f>
        <v>27391.88</v>
      </c>
      <c r="Q253" s="1"/>
      <c r="R253" s="5">
        <f t="shared" ref="R253:R257" si="96">IF(P$12=0,0,P253/P$12)</f>
        <v>3.8587905965634002E-3</v>
      </c>
      <c r="S253" s="1"/>
      <c r="T253" s="1">
        <f>SUM(OSRRefT22_18x_0)</f>
        <v>26595</v>
      </c>
      <c r="U253" s="1"/>
      <c r="V253" s="5">
        <f t="shared" ref="V253:V257" si="97">IF(T$12=0,0,T253/T$12)</f>
        <v>3.6628644374529155E-3</v>
      </c>
      <c r="W253" s="1"/>
      <c r="X253" s="1">
        <f t="shared" ref="X253:X257" si="98">+P253-T253</f>
        <v>796.88000000000102</v>
      </c>
      <c r="Y253" s="1"/>
      <c r="Z253" s="5">
        <f t="shared" ref="Z253:Z257" si="99">IF(T253=0,0,X253/T253)</f>
        <v>2.9963526978755442E-2</v>
      </c>
    </row>
    <row r="254" spans="1:26" s="24" customFormat="1" hidden="1" outlineLevel="2" x14ac:dyDescent="0.25">
      <c r="A254" s="26"/>
      <c r="B254" s="11" t="str">
        <f>CONCATENATE("          ", "6282", " - ", "JANITORIAL/EXTERMINATOR EXPENS")</f>
        <v xml:space="preserve">          6282 - JANITORIAL/EXTERMINATOR EXPENS</v>
      </c>
      <c r="C254" s="11"/>
      <c r="D254" s="6">
        <v>266.5</v>
      </c>
      <c r="E254" s="2"/>
      <c r="F254" s="7">
        <f t="shared" si="92"/>
        <v>5.0425541427931398E-4</v>
      </c>
      <c r="G254" s="2"/>
      <c r="H254" s="6">
        <v>50</v>
      </c>
      <c r="I254" s="2"/>
      <c r="J254" s="7">
        <f t="shared" si="93"/>
        <v>7.1118896995039951E-5</v>
      </c>
      <c r="K254" s="2"/>
      <c r="L254" s="6">
        <f t="shared" si="94"/>
        <v>216.5</v>
      </c>
      <c r="M254" s="2"/>
      <c r="N254" s="7">
        <f t="shared" si="95"/>
        <v>4.33</v>
      </c>
      <c r="O254" s="11"/>
      <c r="P254" s="6">
        <v>1599</v>
      </c>
      <c r="Q254" s="2"/>
      <c r="R254" s="7">
        <f t="shared" si="96"/>
        <v>2.2525676090523456E-4</v>
      </c>
      <c r="S254" s="2"/>
      <c r="T254" s="6">
        <v>300</v>
      </c>
      <c r="U254" s="2"/>
      <c r="V254" s="7">
        <f t="shared" si="97"/>
        <v>4.1318267765966334E-5</v>
      </c>
      <c r="W254" s="2"/>
      <c r="X254" s="6">
        <f t="shared" si="98"/>
        <v>1299</v>
      </c>
      <c r="Y254" s="2"/>
      <c r="Z254" s="7">
        <f t="shared" si="99"/>
        <v>4.33</v>
      </c>
    </row>
    <row r="255" spans="1:26" s="24" customFormat="1" hidden="1" outlineLevel="2" x14ac:dyDescent="0.25">
      <c r="A255" s="26"/>
      <c r="B255" s="11" t="str">
        <f>CONCATENATE("          ", "6283", " - ", "PLANT SERVICE")</f>
        <v xml:space="preserve">          6283 - PLANT SERVICE</v>
      </c>
      <c r="C255" s="11"/>
      <c r="D255" s="6"/>
      <c r="E255" s="2"/>
      <c r="F255" s="7">
        <f t="shared" si="92"/>
        <v>0</v>
      </c>
      <c r="G255" s="2"/>
      <c r="H255" s="6">
        <v>60</v>
      </c>
      <c r="I255" s="2"/>
      <c r="J255" s="7">
        <f t="shared" si="93"/>
        <v>8.5342676394047933E-5</v>
      </c>
      <c r="K255" s="2"/>
      <c r="L255" s="6">
        <f t="shared" si="94"/>
        <v>-60</v>
      </c>
      <c r="M255" s="2"/>
      <c r="N255" s="7">
        <f t="shared" si="95"/>
        <v>-1</v>
      </c>
      <c r="O255" s="11"/>
      <c r="P255" s="6">
        <v>541.98</v>
      </c>
      <c r="Q255" s="2"/>
      <c r="R255" s="7">
        <f t="shared" si="96"/>
        <v>7.6350631191631662E-5</v>
      </c>
      <c r="S255" s="2"/>
      <c r="T255" s="6">
        <v>360</v>
      </c>
      <c r="U255" s="2"/>
      <c r="V255" s="7">
        <f t="shared" si="97"/>
        <v>4.95819213191596E-5</v>
      </c>
      <c r="W255" s="2"/>
      <c r="X255" s="6">
        <f t="shared" si="98"/>
        <v>181.98000000000002</v>
      </c>
      <c r="Y255" s="2"/>
      <c r="Z255" s="7">
        <f t="shared" si="99"/>
        <v>0.50550000000000006</v>
      </c>
    </row>
    <row r="256" spans="1:26" s="24" customFormat="1" hidden="1" outlineLevel="2" x14ac:dyDescent="0.25">
      <c r="A256" s="26"/>
      <c r="B256" s="11" t="str">
        <f>CONCATENATE("          ", "6284", " - ", "TRASH REMOVAL EXPENSE")</f>
        <v xml:space="preserve">          6284 - TRASH REMOVAL EXPENSE</v>
      </c>
      <c r="C256" s="11"/>
      <c r="D256" s="6">
        <v>134.82</v>
      </c>
      <c r="E256" s="2"/>
      <c r="F256" s="7">
        <f t="shared" si="92"/>
        <v>2.5509836755398539E-4</v>
      </c>
      <c r="G256" s="2"/>
      <c r="H256" s="6">
        <v>62.5</v>
      </c>
      <c r="I256" s="2"/>
      <c r="J256" s="7">
        <f t="shared" si="93"/>
        <v>8.8898621243799935E-5</v>
      </c>
      <c r="K256" s="2"/>
      <c r="L256" s="6">
        <f t="shared" si="94"/>
        <v>72.319999999999993</v>
      </c>
      <c r="M256" s="2"/>
      <c r="N256" s="7">
        <f t="shared" si="95"/>
        <v>1.1571199999999999</v>
      </c>
      <c r="O256" s="11"/>
      <c r="P256" s="6">
        <v>808.92</v>
      </c>
      <c r="Q256" s="2"/>
      <c r="R256" s="7">
        <f t="shared" si="96"/>
        <v>1.1395540902530477E-4</v>
      </c>
      <c r="S256" s="2"/>
      <c r="T256" s="6">
        <v>375</v>
      </c>
      <c r="U256" s="2"/>
      <c r="V256" s="7">
        <f t="shared" si="97"/>
        <v>5.164783470745792E-5</v>
      </c>
      <c r="W256" s="2"/>
      <c r="X256" s="6">
        <f t="shared" si="98"/>
        <v>433.91999999999996</v>
      </c>
      <c r="Y256" s="2"/>
      <c r="Z256" s="7">
        <f t="shared" si="99"/>
        <v>1.1571199999999999</v>
      </c>
    </row>
    <row r="257" spans="1:26" s="24" customFormat="1" hidden="1" outlineLevel="2" x14ac:dyDescent="0.25">
      <c r="A257" s="26"/>
      <c r="B257" s="11" t="str">
        <f>CONCATENATE("          ", "6285", " - ", "JANITORIAL SERVICES")</f>
        <v xml:space="preserve">          6285 - JANITORIAL SERVICES</v>
      </c>
      <c r="C257" s="11"/>
      <c r="D257" s="6">
        <v>4124.09</v>
      </c>
      <c r="E257" s="2"/>
      <c r="F257" s="7">
        <f t="shared" si="92"/>
        <v>7.8033572663233613E-3</v>
      </c>
      <c r="G257" s="2"/>
      <c r="H257" s="6">
        <v>4260</v>
      </c>
      <c r="I257" s="2"/>
      <c r="J257" s="7">
        <f t="shared" si="93"/>
        <v>6.0593300239774033E-3</v>
      </c>
      <c r="K257" s="2"/>
      <c r="L257" s="6">
        <f t="shared" si="94"/>
        <v>-135.90999999999985</v>
      </c>
      <c r="M257" s="2"/>
      <c r="N257" s="7">
        <f t="shared" si="95"/>
        <v>-3.1903755868544569E-2</v>
      </c>
      <c r="O257" s="11"/>
      <c r="P257" s="6">
        <v>24441.98</v>
      </c>
      <c r="Q257" s="2"/>
      <c r="R257" s="7">
        <f t="shared" si="96"/>
        <v>3.443227795441229E-3</v>
      </c>
      <c r="S257" s="2"/>
      <c r="T257" s="6">
        <v>25560</v>
      </c>
      <c r="U257" s="2"/>
      <c r="V257" s="7">
        <f t="shared" si="97"/>
        <v>3.5203164136603316E-3</v>
      </c>
      <c r="W257" s="2"/>
      <c r="X257" s="6">
        <f t="shared" si="98"/>
        <v>-1118.0200000000004</v>
      </c>
      <c r="Y257" s="2"/>
      <c r="Z257" s="7">
        <f t="shared" si="99"/>
        <v>-4.3741001564945245E-2</v>
      </c>
    </row>
    <row r="258" spans="1:26" s="25" customFormat="1" outlineLevel="1" collapsed="1" x14ac:dyDescent="0.25">
      <c r="A258" s="27"/>
      <c r="B258" s="13" t="str">
        <f>CONCATENATE("     ","Subscriptions &amp; Dues                              ")</f>
        <v xml:space="preserve">     Subscriptions &amp; Dues                              </v>
      </c>
      <c r="C258" s="13"/>
      <c r="D258" s="1">
        <f>SUM(OSRRefD22_19x_0)</f>
        <v>250</v>
      </c>
      <c r="E258" s="1"/>
      <c r="F258" s="5">
        <f t="shared" ref="F258:F260" si="100">IF(D$12=0,0,D258/D$12)</f>
        <v>4.7303509782299619E-4</v>
      </c>
      <c r="G258" s="1"/>
      <c r="H258" s="1">
        <f>SUM(OSRRefH22_19x_0)</f>
        <v>4210</v>
      </c>
      <c r="I258" s="1"/>
      <c r="J258" s="5">
        <f t="shared" ref="J258:J260" si="101">IF(H$12=0,0,H258/H$12)</f>
        <v>5.9882111269823641E-3</v>
      </c>
      <c r="K258" s="1"/>
      <c r="L258" s="1">
        <f t="shared" ref="L258:L260" si="102">+D258-H258</f>
        <v>-3960</v>
      </c>
      <c r="M258" s="1"/>
      <c r="N258" s="5">
        <f t="shared" ref="N258:N260" si="103">IF(H258=0,0,L258/H258)</f>
        <v>-0.94061757719714967</v>
      </c>
      <c r="O258" s="13"/>
      <c r="P258" s="1">
        <f>SUM(OSRRefP22_19x_0)</f>
        <v>-2532.2399999999998</v>
      </c>
      <c r="Q258" s="1"/>
      <c r="R258" s="5">
        <f t="shared" ref="R258:R260" si="104">IF(P$12=0,0,P258/P$12)</f>
        <v>-3.5672556612549789E-4</v>
      </c>
      <c r="S258" s="1"/>
      <c r="T258" s="1">
        <f>SUM(OSRRefT22_19x_0)</f>
        <v>13730</v>
      </c>
      <c r="U258" s="1"/>
      <c r="V258" s="5">
        <f t="shared" ref="V258:V260" si="105">IF(T$12=0,0,T258/T$12)</f>
        <v>1.8909993880890593E-3</v>
      </c>
      <c r="W258" s="1"/>
      <c r="X258" s="1">
        <f t="shared" ref="X258:X260" si="106">+P258-T258</f>
        <v>-16262.24</v>
      </c>
      <c r="Y258" s="1"/>
      <c r="Z258" s="5">
        <f t="shared" ref="Z258:Z260" si="107">IF(T258=0,0,X258/T258)</f>
        <v>-1.1844311726147123</v>
      </c>
    </row>
    <row r="259" spans="1:26" s="24" customFormat="1" hidden="1" outlineLevel="2" x14ac:dyDescent="0.25">
      <c r="A259" s="26"/>
      <c r="B259" s="11" t="str">
        <f>CONCATENATE("          ", "6258", " - ", "MEMBERSHIP DUES")</f>
        <v xml:space="preserve">          6258 - MEMBERSHIP DUES</v>
      </c>
      <c r="C259" s="11"/>
      <c r="D259" s="6">
        <v>250</v>
      </c>
      <c r="E259" s="2"/>
      <c r="F259" s="7">
        <f t="shared" si="100"/>
        <v>4.7303509782299619E-4</v>
      </c>
      <c r="G259" s="2"/>
      <c r="H259" s="6">
        <v>3945</v>
      </c>
      <c r="I259" s="2"/>
      <c r="J259" s="7">
        <f t="shared" si="101"/>
        <v>5.6112809729086518E-3</v>
      </c>
      <c r="K259" s="2"/>
      <c r="L259" s="6">
        <f t="shared" si="102"/>
        <v>-3695</v>
      </c>
      <c r="M259" s="2"/>
      <c r="N259" s="7">
        <f t="shared" si="103"/>
        <v>-0.9366286438529785</v>
      </c>
      <c r="O259" s="11"/>
      <c r="P259" s="6">
        <v>-3322.6</v>
      </c>
      <c r="Q259" s="2"/>
      <c r="R259" s="7">
        <f t="shared" si="104"/>
        <v>-4.6806636259145236E-4</v>
      </c>
      <c r="S259" s="2"/>
      <c r="T259" s="6">
        <v>11140</v>
      </c>
      <c r="U259" s="2"/>
      <c r="V259" s="7">
        <f t="shared" si="105"/>
        <v>1.5342850097095498E-3</v>
      </c>
      <c r="W259" s="2"/>
      <c r="X259" s="6">
        <f t="shared" si="106"/>
        <v>-14462.6</v>
      </c>
      <c r="Y259" s="2"/>
      <c r="Z259" s="7">
        <f t="shared" si="107"/>
        <v>-1.2982585278276482</v>
      </c>
    </row>
    <row r="260" spans="1:26" s="24" customFormat="1" hidden="1" outlineLevel="2" x14ac:dyDescent="0.25">
      <c r="A260" s="26"/>
      <c r="B260" s="11" t="str">
        <f>CONCATENATE("          ", "6275", " - ", "SUBSCRIPTIONS")</f>
        <v xml:space="preserve">          6275 - SUBSCRIPTIONS</v>
      </c>
      <c r="C260" s="11"/>
      <c r="D260" s="6"/>
      <c r="E260" s="2"/>
      <c r="F260" s="7">
        <f t="shared" si="100"/>
        <v>0</v>
      </c>
      <c r="G260" s="2"/>
      <c r="H260" s="6">
        <v>265</v>
      </c>
      <c r="I260" s="2"/>
      <c r="J260" s="7">
        <f t="shared" si="101"/>
        <v>3.7693015407371173E-4</v>
      </c>
      <c r="K260" s="2"/>
      <c r="L260" s="6">
        <f t="shared" si="102"/>
        <v>-265</v>
      </c>
      <c r="M260" s="2"/>
      <c r="N260" s="7">
        <f t="shared" si="103"/>
        <v>-1</v>
      </c>
      <c r="O260" s="11"/>
      <c r="P260" s="6">
        <v>790.36</v>
      </c>
      <c r="Q260" s="2"/>
      <c r="R260" s="7">
        <f t="shared" si="104"/>
        <v>1.1134079646595447E-4</v>
      </c>
      <c r="S260" s="2"/>
      <c r="T260" s="6">
        <v>2590</v>
      </c>
      <c r="U260" s="2"/>
      <c r="V260" s="7">
        <f t="shared" si="105"/>
        <v>3.5671437837950937E-4</v>
      </c>
      <c r="W260" s="2"/>
      <c r="X260" s="6">
        <f t="shared" si="106"/>
        <v>-1799.6399999999999</v>
      </c>
      <c r="Y260" s="2"/>
      <c r="Z260" s="7">
        <f t="shared" si="107"/>
        <v>-0.69484169884169877</v>
      </c>
    </row>
    <row r="261" spans="1:26" s="25" customFormat="1" outlineLevel="1" collapsed="1" x14ac:dyDescent="0.25">
      <c r="A261" s="27"/>
      <c r="B261" s="13" t="str">
        <f>CONCATENATE("     ","Supplies                                          ")</f>
        <v xml:space="preserve">     Supplies                                          </v>
      </c>
      <c r="C261" s="13"/>
      <c r="D261" s="1">
        <f>SUM(OSRRefD22_20x_0)</f>
        <v>7584.7900000000009</v>
      </c>
      <c r="E261" s="1"/>
      <c r="F261" s="5">
        <f t="shared" ref="F261:F268" si="108">IF(D$12=0,0,D261/D$12)</f>
        <v>1.4351487518467534E-2</v>
      </c>
      <c r="G261" s="1"/>
      <c r="H261" s="1">
        <f>SUM(OSRRefH22_20x_0)</f>
        <v>20810</v>
      </c>
      <c r="I261" s="1"/>
      <c r="J261" s="5">
        <f t="shared" ref="J261:J268" si="109">IF(H$12=0,0,H261/H$12)</f>
        <v>2.9599684929335627E-2</v>
      </c>
      <c r="K261" s="1"/>
      <c r="L261" s="1">
        <f t="shared" ref="L261:L268" si="110">+D261-H261</f>
        <v>-13225.21</v>
      </c>
      <c r="M261" s="1"/>
      <c r="N261" s="5">
        <f t="shared" ref="N261:N268" si="111">IF(H261=0,0,L261/H261)</f>
        <v>-0.63552186448822678</v>
      </c>
      <c r="O261" s="13"/>
      <c r="P261" s="1">
        <f>SUM(OSRRefP22_20x_0)</f>
        <v>53470.34</v>
      </c>
      <c r="Q261" s="1"/>
      <c r="R261" s="5">
        <f t="shared" ref="R261:R268" si="112">IF(P$12=0,0,P261/P$12)</f>
        <v>7.5325550924963099E-3</v>
      </c>
      <c r="S261" s="1"/>
      <c r="T261" s="1">
        <f>SUM(OSRRefT22_20x_0)</f>
        <v>95610</v>
      </c>
      <c r="U261" s="1"/>
      <c r="V261" s="5">
        <f t="shared" ref="V261:V268" si="113">IF(T$12=0,0,T261/T$12)</f>
        <v>1.3168131937013472E-2</v>
      </c>
      <c r="W261" s="1"/>
      <c r="X261" s="1">
        <f t="shared" ref="X261:X268" si="114">+P261-T261</f>
        <v>-42139.66</v>
      </c>
      <c r="Y261" s="1"/>
      <c r="Z261" s="5">
        <f t="shared" ref="Z261:Z268" si="115">IF(T261=0,0,X261/T261)</f>
        <v>-0.44074531952724616</v>
      </c>
    </row>
    <row r="262" spans="1:26" s="24" customFormat="1" hidden="1" outlineLevel="2" x14ac:dyDescent="0.25">
      <c r="A262" s="26"/>
      <c r="B262" s="11" t="str">
        <f>CONCATENATE("          ", "6234", " - ", "EXPENDABLE SUPPLIES &amp; EQUIPMEN")</f>
        <v xml:space="preserve">          6234 - EXPENDABLE SUPPLIES &amp; EQUIPMEN</v>
      </c>
      <c r="C262" s="11"/>
      <c r="D262" s="6"/>
      <c r="E262" s="2"/>
      <c r="F262" s="7">
        <f t="shared" si="108"/>
        <v>0</v>
      </c>
      <c r="G262" s="2"/>
      <c r="H262" s="6">
        <v>400</v>
      </c>
      <c r="I262" s="2"/>
      <c r="J262" s="7">
        <f t="shared" si="109"/>
        <v>5.6895117596031961E-4</v>
      </c>
      <c r="K262" s="2"/>
      <c r="L262" s="6">
        <f t="shared" si="110"/>
        <v>-400</v>
      </c>
      <c r="M262" s="2"/>
      <c r="N262" s="7">
        <f t="shared" si="111"/>
        <v>-1</v>
      </c>
      <c r="O262" s="11"/>
      <c r="P262" s="6">
        <v>1822.75</v>
      </c>
      <c r="Q262" s="2"/>
      <c r="R262" s="7">
        <f t="shared" si="112"/>
        <v>2.5677721134460054E-4</v>
      </c>
      <c r="S262" s="2"/>
      <c r="T262" s="6">
        <v>3250</v>
      </c>
      <c r="U262" s="2"/>
      <c r="V262" s="7">
        <f t="shared" si="113"/>
        <v>4.4761456746463527E-4</v>
      </c>
      <c r="W262" s="2"/>
      <c r="X262" s="6">
        <f t="shared" si="114"/>
        <v>-1427.25</v>
      </c>
      <c r="Y262" s="2"/>
      <c r="Z262" s="7">
        <f t="shared" si="115"/>
        <v>-0.43915384615384617</v>
      </c>
    </row>
    <row r="263" spans="1:26" s="24" customFormat="1" hidden="1" outlineLevel="2" x14ac:dyDescent="0.25">
      <c r="A263" s="26"/>
      <c r="B263" s="11" t="str">
        <f>CONCATENATE("          ", "6237", " - ", "JANITORIAL SUPPLIES")</f>
        <v xml:space="preserve">          6237 - JANITORIAL SUPPLIES</v>
      </c>
      <c r="C263" s="11"/>
      <c r="D263" s="6">
        <v>131.72999999999999</v>
      </c>
      <c r="E263" s="2"/>
      <c r="F263" s="7">
        <f t="shared" si="108"/>
        <v>2.492516537448931E-4</v>
      </c>
      <c r="G263" s="2"/>
      <c r="H263" s="6">
        <v>35</v>
      </c>
      <c r="I263" s="2"/>
      <c r="J263" s="7">
        <f t="shared" si="109"/>
        <v>4.9783227896527964E-5</v>
      </c>
      <c r="K263" s="2"/>
      <c r="L263" s="6">
        <f t="shared" si="110"/>
        <v>96.72999999999999</v>
      </c>
      <c r="M263" s="2"/>
      <c r="N263" s="7">
        <f t="shared" si="111"/>
        <v>2.7637142857142853</v>
      </c>
      <c r="O263" s="11"/>
      <c r="P263" s="6">
        <v>2989.48</v>
      </c>
      <c r="Q263" s="2"/>
      <c r="R263" s="7">
        <f t="shared" si="112"/>
        <v>4.2113857510380279E-4</v>
      </c>
      <c r="S263" s="2"/>
      <c r="T263" s="6">
        <v>260</v>
      </c>
      <c r="U263" s="2"/>
      <c r="V263" s="7">
        <f t="shared" si="113"/>
        <v>3.5809165397170822E-5</v>
      </c>
      <c r="W263" s="2"/>
      <c r="X263" s="6">
        <f t="shared" si="114"/>
        <v>2729.48</v>
      </c>
      <c r="Y263" s="2"/>
      <c r="Z263" s="7">
        <f t="shared" si="115"/>
        <v>10.497999999999999</v>
      </c>
    </row>
    <row r="264" spans="1:26" s="24" customFormat="1" hidden="1" outlineLevel="2" x14ac:dyDescent="0.25">
      <c r="A264" s="26"/>
      <c r="B264" s="11" t="str">
        <f>CONCATENATE("          ", "6241", " - ", "OFFICE EXPENSE")</f>
        <v xml:space="preserve">          6241 - OFFICE EXPENSE</v>
      </c>
      <c r="C264" s="11"/>
      <c r="D264" s="6">
        <v>2931.36</v>
      </c>
      <c r="E264" s="2"/>
      <c r="F264" s="7">
        <f t="shared" si="108"/>
        <v>5.5465446574176729E-3</v>
      </c>
      <c r="G264" s="2"/>
      <c r="H264" s="6">
        <v>3700</v>
      </c>
      <c r="I264" s="2"/>
      <c r="J264" s="7">
        <f t="shared" si="109"/>
        <v>5.2627983776329561E-3</v>
      </c>
      <c r="K264" s="2"/>
      <c r="L264" s="6">
        <f t="shared" si="110"/>
        <v>-768.63999999999987</v>
      </c>
      <c r="M264" s="2"/>
      <c r="N264" s="7">
        <f t="shared" si="111"/>
        <v>-0.2077405405405405</v>
      </c>
      <c r="O264" s="11"/>
      <c r="P264" s="6">
        <v>18187.48</v>
      </c>
      <c r="Q264" s="2"/>
      <c r="R264" s="7">
        <f t="shared" si="112"/>
        <v>2.5621343551149064E-3</v>
      </c>
      <c r="S264" s="2"/>
      <c r="T264" s="6">
        <v>11050</v>
      </c>
      <c r="U264" s="2"/>
      <c r="V264" s="7">
        <f t="shared" si="113"/>
        <v>1.5218895293797601E-3</v>
      </c>
      <c r="W264" s="2"/>
      <c r="X264" s="6">
        <f t="shared" si="114"/>
        <v>7137.48</v>
      </c>
      <c r="Y264" s="2"/>
      <c r="Z264" s="7">
        <f t="shared" si="115"/>
        <v>0.6459257918552036</v>
      </c>
    </row>
    <row r="265" spans="1:26" s="24" customFormat="1" hidden="1" outlineLevel="2" x14ac:dyDescent="0.25">
      <c r="A265" s="26"/>
      <c r="B265" s="11" t="str">
        <f>CONCATENATE("          ", "6243", " - ", "PAPER SUPPLIES")</f>
        <v xml:space="preserve">          6243 - PAPER SUPPLIES</v>
      </c>
      <c r="C265" s="11"/>
      <c r="D265" s="6">
        <v>3229.02</v>
      </c>
      <c r="E265" s="2"/>
      <c r="F265" s="7">
        <f t="shared" si="108"/>
        <v>6.1097591662896446E-3</v>
      </c>
      <c r="G265" s="2"/>
      <c r="H265" s="6">
        <v>250</v>
      </c>
      <c r="I265" s="2"/>
      <c r="J265" s="7">
        <f t="shared" si="109"/>
        <v>3.5559448497519974E-4</v>
      </c>
      <c r="K265" s="2"/>
      <c r="L265" s="6">
        <f t="shared" si="110"/>
        <v>2979.02</v>
      </c>
      <c r="M265" s="2"/>
      <c r="N265" s="7">
        <f t="shared" si="111"/>
        <v>11.916079999999999</v>
      </c>
      <c r="O265" s="11"/>
      <c r="P265" s="6">
        <v>9558.5</v>
      </c>
      <c r="Q265" s="2"/>
      <c r="R265" s="7">
        <f t="shared" si="112"/>
        <v>1.3465395554175638E-3</v>
      </c>
      <c r="S265" s="2"/>
      <c r="T265" s="6">
        <v>2000</v>
      </c>
      <c r="U265" s="2"/>
      <c r="V265" s="7">
        <f t="shared" si="113"/>
        <v>2.7545511843977559E-4</v>
      </c>
      <c r="W265" s="2"/>
      <c r="X265" s="6">
        <f t="shared" si="114"/>
        <v>7558.5</v>
      </c>
      <c r="Y265" s="2"/>
      <c r="Z265" s="7">
        <f t="shared" si="115"/>
        <v>3.7792500000000002</v>
      </c>
    </row>
    <row r="266" spans="1:26" s="24" customFormat="1" hidden="1" outlineLevel="2" x14ac:dyDescent="0.25">
      <c r="A266" s="26"/>
      <c r="B266" s="11" t="str">
        <f>CONCATENATE("          ", "6245", " - ", "PRINTING")</f>
        <v xml:space="preserve">          6245 - PRINTING</v>
      </c>
      <c r="C266" s="11"/>
      <c r="D266" s="6">
        <v>748.76</v>
      </c>
      <c r="E266" s="2"/>
      <c r="F266" s="7">
        <f t="shared" si="108"/>
        <v>1.4167590393837865E-3</v>
      </c>
      <c r="G266" s="2"/>
      <c r="H266" s="6">
        <v>500</v>
      </c>
      <c r="I266" s="2"/>
      <c r="J266" s="7">
        <f t="shared" si="109"/>
        <v>7.1118896995039948E-4</v>
      </c>
      <c r="K266" s="2"/>
      <c r="L266" s="6">
        <f t="shared" si="110"/>
        <v>248.76</v>
      </c>
      <c r="M266" s="2"/>
      <c r="N266" s="7">
        <f t="shared" si="111"/>
        <v>0.49751999999999996</v>
      </c>
      <c r="O266" s="11"/>
      <c r="P266" s="6">
        <v>5593.81</v>
      </c>
      <c r="Q266" s="2"/>
      <c r="R266" s="7">
        <f t="shared" si="112"/>
        <v>7.8801971339544107E-4</v>
      </c>
      <c r="S266" s="2"/>
      <c r="T266" s="6">
        <v>1400</v>
      </c>
      <c r="U266" s="2"/>
      <c r="V266" s="7">
        <f t="shared" si="113"/>
        <v>1.9281858290784291E-4</v>
      </c>
      <c r="W266" s="2"/>
      <c r="X266" s="6">
        <f t="shared" si="114"/>
        <v>4193.8100000000004</v>
      </c>
      <c r="Y266" s="2"/>
      <c r="Z266" s="7">
        <f t="shared" si="115"/>
        <v>2.9955785714285716</v>
      </c>
    </row>
    <row r="267" spans="1:26" s="24" customFormat="1" hidden="1" outlineLevel="2" x14ac:dyDescent="0.25">
      <c r="A267" s="26"/>
      <c r="B267" s="11" t="str">
        <f>CONCATENATE("          ", "6247", " - ", "STORE SUPPLIES")</f>
        <v xml:space="preserve">          6247 - STORE SUPPLIES</v>
      </c>
      <c r="C267" s="11"/>
      <c r="D267" s="6">
        <v>543.91999999999996</v>
      </c>
      <c r="E267" s="2"/>
      <c r="F267" s="7">
        <f t="shared" si="108"/>
        <v>1.0291730016315362E-3</v>
      </c>
      <c r="G267" s="2"/>
      <c r="H267" s="6">
        <v>14425</v>
      </c>
      <c r="I267" s="2"/>
      <c r="J267" s="7">
        <f t="shared" si="109"/>
        <v>2.0517801783069025E-2</v>
      </c>
      <c r="K267" s="2"/>
      <c r="L267" s="6">
        <f t="shared" si="110"/>
        <v>-13881.08</v>
      </c>
      <c r="M267" s="2"/>
      <c r="N267" s="7">
        <f t="shared" si="111"/>
        <v>-0.96229324090121315</v>
      </c>
      <c r="O267" s="11"/>
      <c r="P267" s="6">
        <v>15318.32</v>
      </c>
      <c r="Q267" s="2"/>
      <c r="R267" s="7">
        <f t="shared" si="112"/>
        <v>2.1579456821199956E-3</v>
      </c>
      <c r="S267" s="2"/>
      <c r="T267" s="6">
        <v>71150</v>
      </c>
      <c r="U267" s="2"/>
      <c r="V267" s="7">
        <f t="shared" si="113"/>
        <v>9.7993158384950159E-3</v>
      </c>
      <c r="W267" s="2"/>
      <c r="X267" s="6">
        <f t="shared" si="114"/>
        <v>-55831.68</v>
      </c>
      <c r="Y267" s="2"/>
      <c r="Z267" s="7">
        <f t="shared" si="115"/>
        <v>-0.78470386507378775</v>
      </c>
    </row>
    <row r="268" spans="1:26" s="24" customFormat="1" hidden="1" outlineLevel="2" x14ac:dyDescent="0.25">
      <c r="A268" s="26"/>
      <c r="B268" s="11" t="str">
        <f>CONCATENATE("          ", "6248", " - ", "UNIFORMS")</f>
        <v xml:space="preserve">          6248 - UNIFORMS</v>
      </c>
      <c r="C268" s="11"/>
      <c r="D268" s="6"/>
      <c r="E268" s="2"/>
      <c r="F268" s="7">
        <f t="shared" si="108"/>
        <v>0</v>
      </c>
      <c r="G268" s="2"/>
      <c r="H268" s="6">
        <v>1500</v>
      </c>
      <c r="I268" s="2"/>
      <c r="J268" s="7">
        <f t="shared" si="109"/>
        <v>2.1335669098511987E-3</v>
      </c>
      <c r="K268" s="2"/>
      <c r="L268" s="6">
        <f t="shared" si="110"/>
        <v>-1500</v>
      </c>
      <c r="M268" s="2"/>
      <c r="N268" s="7">
        <f t="shared" si="111"/>
        <v>-1</v>
      </c>
      <c r="O268" s="11"/>
      <c r="P268" s="6"/>
      <c r="Q268" s="2"/>
      <c r="R268" s="7">
        <f t="shared" si="112"/>
        <v>0</v>
      </c>
      <c r="S268" s="2"/>
      <c r="T268" s="6">
        <v>6500</v>
      </c>
      <c r="U268" s="2"/>
      <c r="V268" s="7">
        <f t="shared" si="113"/>
        <v>8.9522913492927055E-4</v>
      </c>
      <c r="W268" s="2"/>
      <c r="X268" s="6">
        <f t="shared" si="114"/>
        <v>-6500</v>
      </c>
      <c r="Y268" s="2"/>
      <c r="Z268" s="7">
        <f t="shared" si="115"/>
        <v>-1</v>
      </c>
    </row>
    <row r="269" spans="1:26" s="25" customFormat="1" outlineLevel="1" collapsed="1" x14ac:dyDescent="0.25">
      <c r="A269" s="27"/>
      <c r="B269" s="13" t="str">
        <f>CONCATENATE("     ","Telephone/Data Lines                              ")</f>
        <v xml:space="preserve">     Telephone/Data Lines                              </v>
      </c>
      <c r="C269" s="13"/>
      <c r="D269" s="1">
        <f>SUM(OSRRefD22_21x_0)</f>
        <v>2857.59</v>
      </c>
      <c r="E269" s="1"/>
      <c r="F269" s="5">
        <f t="shared" ref="F269:F271" si="116">IF(D$12=0,0,D269/D$12)</f>
        <v>5.4069614607520633E-3</v>
      </c>
      <c r="G269" s="1"/>
      <c r="H269" s="1">
        <f>SUM(OSRRefH22_21x_0)</f>
        <v>3020</v>
      </c>
      <c r="I269" s="1"/>
      <c r="J269" s="5">
        <f t="shared" ref="J269:J271" si="117">IF(H$12=0,0,H269/H$12)</f>
        <v>4.295581378500413E-3</v>
      </c>
      <c r="K269" s="1"/>
      <c r="L269" s="1">
        <f t="shared" ref="L269:L271" si="118">+D269-H269</f>
        <v>-162.40999999999985</v>
      </c>
      <c r="M269" s="1"/>
      <c r="N269" s="5">
        <f t="shared" ref="N269:N271" si="119">IF(H269=0,0,L269/H269)</f>
        <v>-5.3778145695364189E-2</v>
      </c>
      <c r="O269" s="13"/>
      <c r="P269" s="1">
        <f>SUM(OSRRefP22_21x_0)</f>
        <v>17591.409999999996</v>
      </c>
      <c r="Q269" s="1"/>
      <c r="R269" s="5">
        <f t="shared" ref="R269:R271" si="120">IF(P$12=0,0,P269/P$12)</f>
        <v>2.478163875144435E-3</v>
      </c>
      <c r="S269" s="1"/>
      <c r="T269" s="1">
        <f>SUM(OSRRefT22_21x_0)</f>
        <v>19695</v>
      </c>
      <c r="U269" s="1"/>
      <c r="V269" s="5">
        <f t="shared" ref="V269:V271" si="121">IF(T$12=0,0,T269/T$12)</f>
        <v>2.7125442788356897E-3</v>
      </c>
      <c r="W269" s="1"/>
      <c r="X269" s="1">
        <f t="shared" ref="X269:X271" si="122">+P269-T269</f>
        <v>-2103.5900000000038</v>
      </c>
      <c r="Y269" s="1"/>
      <c r="Z269" s="5">
        <f t="shared" ref="Z269:Z271" si="123">IF(T269=0,0,X269/T269)</f>
        <v>-0.10680832698654499</v>
      </c>
    </row>
    <row r="270" spans="1:26" s="24" customFormat="1" hidden="1" outlineLevel="2" x14ac:dyDescent="0.25">
      <c r="A270" s="26"/>
      <c r="B270" s="11" t="str">
        <f>CONCATENATE("          ", "6303", " - ", "DATA PHONE LINES")</f>
        <v xml:space="preserve">          6303 - DATA PHONE LINES</v>
      </c>
      <c r="C270" s="11"/>
      <c r="D270" s="6">
        <v>295</v>
      </c>
      <c r="E270" s="2"/>
      <c r="F270" s="7">
        <f t="shared" si="116"/>
        <v>5.581814154311355E-4</v>
      </c>
      <c r="G270" s="2"/>
      <c r="H270" s="6">
        <v>1180</v>
      </c>
      <c r="I270" s="2"/>
      <c r="J270" s="7">
        <f t="shared" si="117"/>
        <v>1.6784059690829428E-3</v>
      </c>
      <c r="K270" s="2"/>
      <c r="L270" s="6">
        <f t="shared" si="118"/>
        <v>-885</v>
      </c>
      <c r="M270" s="2"/>
      <c r="N270" s="7">
        <f t="shared" si="119"/>
        <v>-0.75</v>
      </c>
      <c r="O270" s="11"/>
      <c r="P270" s="6">
        <v>1770</v>
      </c>
      <c r="Q270" s="2"/>
      <c r="R270" s="7">
        <f t="shared" si="120"/>
        <v>2.4934613308459359E-4</v>
      </c>
      <c r="S270" s="2"/>
      <c r="T270" s="6">
        <v>8155</v>
      </c>
      <c r="U270" s="2"/>
      <c r="V270" s="7">
        <f t="shared" si="121"/>
        <v>1.1231682454381849E-3</v>
      </c>
      <c r="W270" s="2"/>
      <c r="X270" s="6">
        <f t="shared" si="122"/>
        <v>-6385</v>
      </c>
      <c r="Y270" s="2"/>
      <c r="Z270" s="7">
        <f t="shared" si="123"/>
        <v>-0.78295524218270995</v>
      </c>
    </row>
    <row r="271" spans="1:26" s="24" customFormat="1" hidden="1" outlineLevel="2" x14ac:dyDescent="0.25">
      <c r="A271" s="26"/>
      <c r="B271" s="11" t="str">
        <f>CONCATENATE("          ", "6309", " - ", "TELEPHONE")</f>
        <v xml:space="preserve">          6309 - TELEPHONE</v>
      </c>
      <c r="C271" s="11"/>
      <c r="D271" s="6">
        <v>2562.59</v>
      </c>
      <c r="E271" s="2"/>
      <c r="F271" s="7">
        <f t="shared" si="116"/>
        <v>4.8487800453209271E-3</v>
      </c>
      <c r="G271" s="2"/>
      <c r="H271" s="6">
        <v>1840</v>
      </c>
      <c r="I271" s="2"/>
      <c r="J271" s="7">
        <f t="shared" si="117"/>
        <v>2.6171754094174702E-3</v>
      </c>
      <c r="K271" s="2"/>
      <c r="L271" s="6">
        <f t="shared" si="118"/>
        <v>722.59000000000015</v>
      </c>
      <c r="M271" s="2"/>
      <c r="N271" s="7">
        <f t="shared" si="119"/>
        <v>0.39271195652173924</v>
      </c>
      <c r="O271" s="11"/>
      <c r="P271" s="6">
        <v>15821.409999999998</v>
      </c>
      <c r="Q271" s="2"/>
      <c r="R271" s="7">
        <f t="shared" si="120"/>
        <v>2.2288177420598417E-3</v>
      </c>
      <c r="S271" s="2"/>
      <c r="T271" s="6">
        <v>11540</v>
      </c>
      <c r="U271" s="2"/>
      <c r="V271" s="7">
        <f t="shared" si="121"/>
        <v>1.589376033397505E-3</v>
      </c>
      <c r="W271" s="2"/>
      <c r="X271" s="6">
        <f t="shared" si="122"/>
        <v>4281.409999999998</v>
      </c>
      <c r="Y271" s="2"/>
      <c r="Z271" s="7">
        <f t="shared" si="123"/>
        <v>0.37100606585788543</v>
      </c>
    </row>
    <row r="272" spans="1:26" s="25" customFormat="1" outlineLevel="1" collapsed="1" x14ac:dyDescent="0.25">
      <c r="A272" s="27"/>
      <c r="B272" s="13" t="str">
        <f>CONCATENATE("     ","Training                                          ")</f>
        <v xml:space="preserve">     Training                                          </v>
      </c>
      <c r="C272" s="13"/>
      <c r="D272" s="1">
        <f>SUM(OSRRefD22_22x_0)</f>
        <v>0</v>
      </c>
      <c r="E272" s="1"/>
      <c r="F272" s="5">
        <f t="shared" ref="F272:F277" si="124">IF(D$12=0,0,D272/D$12)</f>
        <v>0</v>
      </c>
      <c r="G272" s="1"/>
      <c r="H272" s="1">
        <f>SUM(OSRRefH22_22x_0)</f>
        <v>3075</v>
      </c>
      <c r="I272" s="1"/>
      <c r="J272" s="5">
        <f t="shared" ref="J272:J277" si="125">IF(H$12=0,0,H272/H$12)</f>
        <v>4.373812165194957E-3</v>
      </c>
      <c r="K272" s="1"/>
      <c r="L272" s="1">
        <f t="shared" ref="L272:L277" si="126">+D272-H272</f>
        <v>-3075</v>
      </c>
      <c r="M272" s="1"/>
      <c r="N272" s="5">
        <f t="shared" ref="N272:N277" si="127">IF(H272=0,0,L272/H272)</f>
        <v>-1</v>
      </c>
      <c r="O272" s="13"/>
      <c r="P272" s="1">
        <f>SUM(OSRRefP22_22x_0)</f>
        <v>8727.44</v>
      </c>
      <c r="Q272" s="1"/>
      <c r="R272" s="5">
        <f t="shared" ref="R272:R277" si="128">IF(P$12=0,0,P272/P$12)</f>
        <v>1.2294652066258791E-3</v>
      </c>
      <c r="S272" s="1"/>
      <c r="T272" s="1">
        <f>SUM(OSRRefT22_22x_0)</f>
        <v>15200</v>
      </c>
      <c r="U272" s="1"/>
      <c r="V272" s="5">
        <f t="shared" ref="V272:V277" si="129">IF(T$12=0,0,T272/T$12)</f>
        <v>2.0934589001422943E-3</v>
      </c>
      <c r="W272" s="1"/>
      <c r="X272" s="1">
        <f t="shared" ref="X272:X277" si="130">+P272-T272</f>
        <v>-6472.5599999999995</v>
      </c>
      <c r="Y272" s="1"/>
      <c r="Z272" s="5">
        <f t="shared" ref="Z272:Z277" si="131">IF(T272=0,0,X272/T272)</f>
        <v>-0.42582631578947366</v>
      </c>
    </row>
    <row r="273" spans="1:26" s="24" customFormat="1" hidden="1" outlineLevel="2" x14ac:dyDescent="0.25">
      <c r="A273" s="26"/>
      <c r="B273" s="11" t="str">
        <f>CONCATENATE("          ", "6376", " - ", "TRAINING")</f>
        <v xml:space="preserve">          6376 - TRAINING</v>
      </c>
      <c r="C273" s="11"/>
      <c r="D273" s="6"/>
      <c r="E273" s="2"/>
      <c r="F273" s="7">
        <f t="shared" si="124"/>
        <v>0</v>
      </c>
      <c r="G273" s="2"/>
      <c r="H273" s="6">
        <v>3075</v>
      </c>
      <c r="I273" s="2"/>
      <c r="J273" s="7">
        <f t="shared" si="125"/>
        <v>4.373812165194957E-3</v>
      </c>
      <c r="K273" s="2"/>
      <c r="L273" s="6">
        <f t="shared" si="126"/>
        <v>-3075</v>
      </c>
      <c r="M273" s="2"/>
      <c r="N273" s="7">
        <f t="shared" si="127"/>
        <v>-1</v>
      </c>
      <c r="O273" s="11"/>
      <c r="P273" s="6">
        <v>8727.44</v>
      </c>
      <c r="Q273" s="2"/>
      <c r="R273" s="7">
        <f t="shared" si="128"/>
        <v>1.2294652066258791E-3</v>
      </c>
      <c r="S273" s="2"/>
      <c r="T273" s="6">
        <v>15200</v>
      </c>
      <c r="U273" s="2"/>
      <c r="V273" s="7">
        <f t="shared" si="129"/>
        <v>2.0934589001422943E-3</v>
      </c>
      <c r="W273" s="2"/>
      <c r="X273" s="6">
        <f t="shared" si="130"/>
        <v>-6472.5599999999995</v>
      </c>
      <c r="Y273" s="2"/>
      <c r="Z273" s="7">
        <f t="shared" si="131"/>
        <v>-0.42582631578947366</v>
      </c>
    </row>
    <row r="274" spans="1:26" s="25" customFormat="1" outlineLevel="1" collapsed="1" x14ac:dyDescent="0.25">
      <c r="A274" s="27"/>
      <c r="B274" s="13" t="str">
        <f>CONCATENATE("     ","Travel                                            ")</f>
        <v xml:space="preserve">     Travel                                            </v>
      </c>
      <c r="C274" s="13"/>
      <c r="D274" s="1">
        <f>SUM(OSRRefD22_23x_0)</f>
        <v>-159.65</v>
      </c>
      <c r="E274" s="1"/>
      <c r="F274" s="5">
        <f t="shared" si="124"/>
        <v>-3.0208021346976539E-4</v>
      </c>
      <c r="G274" s="1"/>
      <c r="H274" s="1">
        <f>SUM(OSRRefH22_23x_0)</f>
        <v>100</v>
      </c>
      <c r="I274" s="1"/>
      <c r="J274" s="5">
        <f t="shared" si="125"/>
        <v>1.422377939900799E-4</v>
      </c>
      <c r="K274" s="1"/>
      <c r="L274" s="1">
        <f t="shared" si="126"/>
        <v>-259.64999999999998</v>
      </c>
      <c r="M274" s="1"/>
      <c r="N274" s="5">
        <f t="shared" si="127"/>
        <v>-2.5964999999999998</v>
      </c>
      <c r="O274" s="13"/>
      <c r="P274" s="1">
        <f>SUM(OSRRefP22_23x_0)</f>
        <v>1264.04</v>
      </c>
      <c r="Q274" s="1"/>
      <c r="R274" s="5">
        <f t="shared" si="128"/>
        <v>1.7806976613799418E-4</v>
      </c>
      <c r="S274" s="1"/>
      <c r="T274" s="1">
        <f>SUM(OSRRefT22_23x_0)</f>
        <v>1060</v>
      </c>
      <c r="U274" s="1"/>
      <c r="V274" s="5">
        <f t="shared" si="129"/>
        <v>1.4599121277308105E-4</v>
      </c>
      <c r="W274" s="1"/>
      <c r="X274" s="1">
        <f t="shared" si="130"/>
        <v>204.03999999999996</v>
      </c>
      <c r="Y274" s="1"/>
      <c r="Z274" s="5">
        <f t="shared" si="131"/>
        <v>0.19249056603773582</v>
      </c>
    </row>
    <row r="275" spans="1:26" s="24" customFormat="1" hidden="1" outlineLevel="2" x14ac:dyDescent="0.25">
      <c r="A275" s="26"/>
      <c r="B275" s="11" t="str">
        <f>CONCATENATE("          ", "6292", " - ", "TRAVEL/CONFERENCE")</f>
        <v xml:space="preserve">          6292 - TRAVEL/CONFERENCE</v>
      </c>
      <c r="C275" s="11"/>
      <c r="D275" s="6">
        <v>-323.01</v>
      </c>
      <c r="E275" s="2"/>
      <c r="F275" s="7">
        <f t="shared" si="124"/>
        <v>-6.11180267791224E-4</v>
      </c>
      <c r="G275" s="2"/>
      <c r="H275" s="6"/>
      <c r="I275" s="2"/>
      <c r="J275" s="7">
        <f t="shared" si="125"/>
        <v>0</v>
      </c>
      <c r="K275" s="2"/>
      <c r="L275" s="6">
        <f t="shared" si="126"/>
        <v>-323.01</v>
      </c>
      <c r="M275" s="2"/>
      <c r="N275" s="7">
        <f t="shared" si="127"/>
        <v>0</v>
      </c>
      <c r="O275" s="11"/>
      <c r="P275" s="6">
        <v>187.54</v>
      </c>
      <c r="Q275" s="2"/>
      <c r="R275" s="7">
        <f t="shared" si="128"/>
        <v>2.6419420225245584E-5</v>
      </c>
      <c r="S275" s="2"/>
      <c r="T275" s="6"/>
      <c r="U275" s="2"/>
      <c r="V275" s="7">
        <f t="shared" si="129"/>
        <v>0</v>
      </c>
      <c r="W275" s="2"/>
      <c r="X275" s="6">
        <f t="shared" si="130"/>
        <v>187.54</v>
      </c>
      <c r="Y275" s="2"/>
      <c r="Z275" s="7">
        <f t="shared" si="131"/>
        <v>0</v>
      </c>
    </row>
    <row r="276" spans="1:26" s="24" customFormat="1" hidden="1" outlineLevel="2" x14ac:dyDescent="0.25">
      <c r="A276" s="26"/>
      <c r="B276" s="11" t="str">
        <f>CONCATENATE("          ", "6294", " - ", "TRAVEL OPERATIONAL")</f>
        <v xml:space="preserve">          6294 - TRAVEL OPERATIONAL</v>
      </c>
      <c r="C276" s="11"/>
      <c r="D276" s="6">
        <v>125.14</v>
      </c>
      <c r="E276" s="2"/>
      <c r="F276" s="7">
        <f t="shared" si="124"/>
        <v>2.3678244856627898E-4</v>
      </c>
      <c r="G276" s="2"/>
      <c r="H276" s="6">
        <v>100</v>
      </c>
      <c r="I276" s="2"/>
      <c r="J276" s="7">
        <f t="shared" si="125"/>
        <v>1.422377939900799E-4</v>
      </c>
      <c r="K276" s="2"/>
      <c r="L276" s="6">
        <f t="shared" si="126"/>
        <v>25.14</v>
      </c>
      <c r="M276" s="2"/>
      <c r="N276" s="7">
        <f t="shared" si="127"/>
        <v>0.25140000000000001</v>
      </c>
      <c r="O276" s="11"/>
      <c r="P276" s="6">
        <v>818.94</v>
      </c>
      <c r="Q276" s="2"/>
      <c r="R276" s="7">
        <f t="shared" si="128"/>
        <v>1.1536696171090231E-4</v>
      </c>
      <c r="S276" s="2"/>
      <c r="T276" s="6">
        <v>610</v>
      </c>
      <c r="U276" s="2"/>
      <c r="V276" s="7">
        <f t="shared" si="129"/>
        <v>8.4013811124131549E-5</v>
      </c>
      <c r="W276" s="2"/>
      <c r="X276" s="6">
        <f t="shared" si="130"/>
        <v>208.94000000000005</v>
      </c>
      <c r="Y276" s="2"/>
      <c r="Z276" s="7">
        <f t="shared" si="131"/>
        <v>0.34252459016393449</v>
      </c>
    </row>
    <row r="277" spans="1:26" s="24" customFormat="1" hidden="1" outlineLevel="2" x14ac:dyDescent="0.25">
      <c r="A277" s="26"/>
      <c r="B277" s="11" t="str">
        <f>CONCATENATE("          ", "6298", " - ", "VEHICLE MILEAGE")</f>
        <v xml:space="preserve">          6298 - VEHICLE MILEAGE</v>
      </c>
      <c r="C277" s="11"/>
      <c r="D277" s="6">
        <v>38.22</v>
      </c>
      <c r="E277" s="2"/>
      <c r="F277" s="7">
        <f t="shared" si="124"/>
        <v>7.2317605755179652E-5</v>
      </c>
      <c r="G277" s="2"/>
      <c r="H277" s="6"/>
      <c r="I277" s="2"/>
      <c r="J277" s="7">
        <f t="shared" si="125"/>
        <v>0</v>
      </c>
      <c r="K277" s="2"/>
      <c r="L277" s="6">
        <f t="shared" si="126"/>
        <v>38.22</v>
      </c>
      <c r="M277" s="2"/>
      <c r="N277" s="7">
        <f t="shared" si="127"/>
        <v>0</v>
      </c>
      <c r="O277" s="11"/>
      <c r="P277" s="6">
        <v>257.56</v>
      </c>
      <c r="Q277" s="2"/>
      <c r="R277" s="7">
        <f t="shared" si="128"/>
        <v>3.6283384201846286E-5</v>
      </c>
      <c r="S277" s="2"/>
      <c r="T277" s="6">
        <v>450</v>
      </c>
      <c r="U277" s="2"/>
      <c r="V277" s="7">
        <f t="shared" si="129"/>
        <v>6.1977401648949498E-5</v>
      </c>
      <c r="W277" s="2"/>
      <c r="X277" s="6">
        <f t="shared" si="130"/>
        <v>-192.44</v>
      </c>
      <c r="Y277" s="2"/>
      <c r="Z277" s="7">
        <f t="shared" si="131"/>
        <v>-0.42764444444444444</v>
      </c>
    </row>
    <row r="278" spans="1:26" s="25" customFormat="1" outlineLevel="1" collapsed="1" x14ac:dyDescent="0.25">
      <c r="A278" s="27"/>
      <c r="B278" s="13" t="str">
        <f>CONCATENATE("     ","Utilities                                         ")</f>
        <v xml:space="preserve">     Utilities                                         </v>
      </c>
      <c r="C278" s="13"/>
      <c r="D278" s="1">
        <f>SUM(OSRRefD22_24x_0)</f>
        <v>9435.76</v>
      </c>
      <c r="E278" s="1"/>
      <c r="F278" s="5">
        <f t="shared" ref="F278:F279" si="132">IF(D$12=0,0,D278/D$12)</f>
        <v>1.7853782618537258E-2</v>
      </c>
      <c r="G278" s="1"/>
      <c r="H278" s="1">
        <f>SUM(OSRRefH22_24x_0)</f>
        <v>5075</v>
      </c>
      <c r="I278" s="1"/>
      <c r="J278" s="5">
        <f t="shared" ref="J278:J279" si="133">IF(H$12=0,0,H278/H$12)</f>
        <v>7.218568044996555E-3</v>
      </c>
      <c r="K278" s="1"/>
      <c r="L278" s="1">
        <f t="shared" ref="L278:L279" si="134">+D278-H278</f>
        <v>4360.76</v>
      </c>
      <c r="M278" s="1"/>
      <c r="N278" s="5">
        <f t="shared" ref="N278:N279" si="135">IF(H278=0,0,L278/H278)</f>
        <v>0.85926305418719218</v>
      </c>
      <c r="O278" s="13"/>
      <c r="P278" s="1">
        <f>SUM(OSRRefP22_24x_0)</f>
        <v>32034.68</v>
      </c>
      <c r="Q278" s="1"/>
      <c r="R278" s="5">
        <f t="shared" ref="R278:R279" si="136">IF(P$12=0,0,P278/P$12)</f>
        <v>4.5128381822612251E-3</v>
      </c>
      <c r="S278" s="1"/>
      <c r="T278" s="1">
        <f>SUM(OSRRefT22_24x_0)</f>
        <v>30525</v>
      </c>
      <c r="U278" s="1"/>
      <c r="V278" s="5">
        <f t="shared" ref="V278:V279" si="137">IF(T$12=0,0,T278/T$12)</f>
        <v>4.2041337451870749E-3</v>
      </c>
      <c r="W278" s="1"/>
      <c r="X278" s="1">
        <f t="shared" ref="X278:X279" si="138">+P278-T278</f>
        <v>1509.6800000000003</v>
      </c>
      <c r="Y278" s="1"/>
      <c r="Z278" s="5">
        <f t="shared" ref="Z278:Z279" si="139">IF(T278=0,0,X278/T278)</f>
        <v>4.9457166257166264E-2</v>
      </c>
    </row>
    <row r="279" spans="1:26" s="24" customFormat="1" hidden="1" outlineLevel="2" x14ac:dyDescent="0.25">
      <c r="A279" s="26"/>
      <c r="B279" s="11" t="str">
        <f>CONCATENATE("          ", "6274", " - ", "UTILITIES")</f>
        <v xml:space="preserve">          6274 - UTILITIES</v>
      </c>
      <c r="C279" s="11"/>
      <c r="D279" s="6">
        <v>9435.76</v>
      </c>
      <c r="E279" s="2"/>
      <c r="F279" s="7">
        <f t="shared" si="132"/>
        <v>1.7853782618537258E-2</v>
      </c>
      <c r="G279" s="2"/>
      <c r="H279" s="6">
        <v>5075</v>
      </c>
      <c r="I279" s="2"/>
      <c r="J279" s="7">
        <f t="shared" si="133"/>
        <v>7.218568044996555E-3</v>
      </c>
      <c r="K279" s="2"/>
      <c r="L279" s="6">
        <f t="shared" si="134"/>
        <v>4360.76</v>
      </c>
      <c r="M279" s="2"/>
      <c r="N279" s="7">
        <f t="shared" si="135"/>
        <v>0.85926305418719218</v>
      </c>
      <c r="O279" s="11"/>
      <c r="P279" s="6">
        <v>32034.68</v>
      </c>
      <c r="Q279" s="2"/>
      <c r="R279" s="7">
        <f t="shared" si="136"/>
        <v>4.5128381822612251E-3</v>
      </c>
      <c r="S279" s="2"/>
      <c r="T279" s="6">
        <v>30525</v>
      </c>
      <c r="U279" s="2"/>
      <c r="V279" s="7">
        <f t="shared" si="137"/>
        <v>4.2041337451870749E-3</v>
      </c>
      <c r="W279" s="2"/>
      <c r="X279" s="6">
        <f t="shared" si="138"/>
        <v>1509.6800000000003</v>
      </c>
      <c r="Y279" s="2"/>
      <c r="Z279" s="7">
        <f t="shared" si="139"/>
        <v>4.9457166257166264E-2</v>
      </c>
    </row>
    <row r="280" spans="1:26" s="53" customFormat="1" x14ac:dyDescent="0.25">
      <c r="A280" s="36"/>
      <c r="B280" s="36"/>
      <c r="C280" s="36"/>
      <c r="D280" s="1"/>
      <c r="E280" s="1"/>
      <c r="F280" s="5"/>
      <c r="G280" s="1"/>
      <c r="H280" s="1"/>
      <c r="I280" s="1"/>
      <c r="J280" s="5"/>
      <c r="K280" s="1"/>
      <c r="L280" s="1"/>
      <c r="M280" s="1"/>
      <c r="N280" s="5"/>
      <c r="O280" s="36"/>
      <c r="P280" s="1"/>
      <c r="Q280" s="1"/>
      <c r="R280" s="5"/>
      <c r="S280" s="1"/>
      <c r="T280" s="1"/>
      <c r="U280" s="1"/>
      <c r="V280" s="5"/>
      <c r="W280" s="1"/>
      <c r="X280" s="1"/>
      <c r="Y280" s="1"/>
      <c r="Z280" s="5"/>
    </row>
    <row r="281" spans="1:26" s="23" customFormat="1" collapsed="1" x14ac:dyDescent="0.25">
      <c r="A281" s="10"/>
      <c r="B281" s="28" t="s">
        <v>0</v>
      </c>
      <c r="C281" s="10"/>
      <c r="D281" s="4">
        <f>SUM(OSRRefD25x_0)</f>
        <v>23070.62</v>
      </c>
      <c r="E281" s="4"/>
      <c r="F281" s="12">
        <f t="shared" ref="F281:F293" si="140">IF(D$12=0,0,D281/D$12)</f>
        <v>4.365285195414869E-2</v>
      </c>
      <c r="G281" s="4"/>
      <c r="H281" s="4">
        <f>SUM(OSRRefH25x_0)</f>
        <v>68450</v>
      </c>
      <c r="I281" s="4"/>
      <c r="J281" s="12">
        <f t="shared" ref="J281:J293" si="141">IF(H$12=0,0,H281/H$12)</f>
        <v>9.7361769986209684E-2</v>
      </c>
      <c r="K281" s="4"/>
      <c r="L281" s="4">
        <f t="shared" ref="L281:L293" si="142">+D281-H281</f>
        <v>-45379.380000000005</v>
      </c>
      <c r="M281" s="4"/>
      <c r="N281" s="12">
        <f t="shared" ref="N281:N293" si="143">IF(H281=0,0,L281/H281)</f>
        <v>-0.66295661066471889</v>
      </c>
      <c r="O281" s="10"/>
      <c r="P281" s="4">
        <f>SUM(OSRRefP25x_0)</f>
        <v>430702.99</v>
      </c>
      <c r="Q281" s="4"/>
      <c r="R281" s="12">
        <f t="shared" ref="R281:R293" si="144">IF(P$12=0,0,P281/P$12)</f>
        <v>6.0674646929080443E-2</v>
      </c>
      <c r="S281" s="4"/>
      <c r="T281" s="4">
        <f>SUM(OSRRefT25x_0)</f>
        <v>455375</v>
      </c>
      <c r="U281" s="4"/>
      <c r="V281" s="12">
        <f t="shared" ref="V281:V293" si="145">IF(T$12=0,0,T281/T$12)</f>
        <v>6.2717687279756393E-2</v>
      </c>
      <c r="W281" s="4"/>
      <c r="X281" s="4">
        <f t="shared" ref="X281:X293" si="146">+P281-T281</f>
        <v>-24672.010000000009</v>
      </c>
      <c r="Y281" s="4"/>
      <c r="Z281" s="12">
        <f t="shared" ref="Z281:Z293" si="147">IF(T281=0,0,X281/T281)</f>
        <v>-5.4179544331594859E-2</v>
      </c>
    </row>
    <row r="282" spans="1:26" s="24" customFormat="1" hidden="1" outlineLevel="1" x14ac:dyDescent="0.25">
      <c r="A282" s="44"/>
      <c r="B282" s="11" t="str">
        <f>CONCATENATE("          ", "4098", " - ", "TAXABLE SALES-GRAD RENTALS")</f>
        <v xml:space="preserve">          4098 - TAXABLE SALES-GRAD RENTALS</v>
      </c>
      <c r="C282" s="11"/>
      <c r="D282" s="2">
        <f>0</f>
        <v>0</v>
      </c>
      <c r="E282" s="2"/>
      <c r="F282" s="19">
        <f t="shared" si="140"/>
        <v>0</v>
      </c>
      <c r="G282" s="2"/>
      <c r="H282" s="2"/>
      <c r="I282" s="2"/>
      <c r="J282" s="19">
        <f t="shared" si="141"/>
        <v>0</v>
      </c>
      <c r="K282" s="2"/>
      <c r="L282" s="2">
        <f t="shared" si="142"/>
        <v>0</v>
      </c>
      <c r="M282" s="2"/>
      <c r="N282" s="19">
        <f t="shared" si="143"/>
        <v>0</v>
      </c>
      <c r="O282" s="11"/>
      <c r="P282" s="2">
        <f>--1626.85</f>
        <v>1626.85</v>
      </c>
      <c r="Q282" s="2"/>
      <c r="R282" s="19">
        <f t="shared" si="144"/>
        <v>2.2918008847947518E-4</v>
      </c>
      <c r="S282" s="2"/>
      <c r="T282" s="2"/>
      <c r="U282" s="2"/>
      <c r="V282" s="19">
        <f t="shared" si="145"/>
        <v>0</v>
      </c>
      <c r="W282" s="2"/>
      <c r="X282" s="2">
        <f t="shared" si="146"/>
        <v>1626.85</v>
      </c>
      <c r="Y282" s="2"/>
      <c r="Z282" s="19">
        <f t="shared" si="147"/>
        <v>0</v>
      </c>
    </row>
    <row r="283" spans="1:26" s="24" customFormat="1" hidden="1" outlineLevel="1" x14ac:dyDescent="0.25">
      <c r="A283" s="44"/>
      <c r="B283" s="11" t="str">
        <f>CONCATENATE("          ", "4187", " - ", "NON-TAXABLE SALES-COMPUTER REP")</f>
        <v xml:space="preserve">          4187 - NON-TAXABLE SALES-COMPUTER REP</v>
      </c>
      <c r="C283" s="11"/>
      <c r="D283" s="2">
        <f>--456.99</f>
        <v>456.99</v>
      </c>
      <c r="E283" s="2"/>
      <c r="F283" s="19">
        <f t="shared" si="140"/>
        <v>8.6468923741652413E-4</v>
      </c>
      <c r="G283" s="2"/>
      <c r="H283" s="2"/>
      <c r="I283" s="2"/>
      <c r="J283" s="19">
        <f t="shared" si="141"/>
        <v>0</v>
      </c>
      <c r="K283" s="2"/>
      <c r="L283" s="2">
        <f t="shared" si="142"/>
        <v>456.99</v>
      </c>
      <c r="M283" s="2"/>
      <c r="N283" s="19">
        <f t="shared" si="143"/>
        <v>0</v>
      </c>
      <c r="O283" s="11"/>
      <c r="P283" s="2">
        <f>--13188.92</f>
        <v>13188.92</v>
      </c>
      <c r="Q283" s="2"/>
      <c r="R283" s="19">
        <f t="shared" si="144"/>
        <v>1.8579696054022929E-3</v>
      </c>
      <c r="S283" s="2"/>
      <c r="T283" s="2"/>
      <c r="U283" s="2"/>
      <c r="V283" s="19">
        <f t="shared" si="145"/>
        <v>0</v>
      </c>
      <c r="W283" s="2"/>
      <c r="X283" s="2">
        <f t="shared" si="146"/>
        <v>13188.92</v>
      </c>
      <c r="Y283" s="2"/>
      <c r="Z283" s="19">
        <f t="shared" si="147"/>
        <v>0</v>
      </c>
    </row>
    <row r="284" spans="1:26" s="24" customFormat="1" hidden="1" outlineLevel="1" x14ac:dyDescent="0.25">
      <c r="A284" s="44"/>
      <c r="B284" s="11" t="str">
        <f>CONCATENATE("          ", "4197", " - ", "NON-TAXABLE SALES-RETURNED CHE")</f>
        <v xml:space="preserve">          4197 - NON-TAXABLE SALES-RETURNED CHE</v>
      </c>
      <c r="C284" s="11"/>
      <c r="D284" s="2">
        <f t="shared" ref="D284:D286" si="148">0</f>
        <v>0</v>
      </c>
      <c r="E284" s="2"/>
      <c r="F284" s="19">
        <f t="shared" si="140"/>
        <v>0</v>
      </c>
      <c r="G284" s="2"/>
      <c r="H284" s="2"/>
      <c r="I284" s="2"/>
      <c r="J284" s="19">
        <f t="shared" si="141"/>
        <v>0</v>
      </c>
      <c r="K284" s="2"/>
      <c r="L284" s="2">
        <f t="shared" si="142"/>
        <v>0</v>
      </c>
      <c r="M284" s="2"/>
      <c r="N284" s="19">
        <f t="shared" si="143"/>
        <v>0</v>
      </c>
      <c r="O284" s="11"/>
      <c r="P284" s="2">
        <f>--30</f>
        <v>30</v>
      </c>
      <c r="Q284" s="2"/>
      <c r="R284" s="19">
        <f t="shared" si="144"/>
        <v>4.226205645501587E-6</v>
      </c>
      <c r="S284" s="2"/>
      <c r="T284" s="2"/>
      <c r="U284" s="2"/>
      <c r="V284" s="19">
        <f t="shared" si="145"/>
        <v>0</v>
      </c>
      <c r="W284" s="2"/>
      <c r="X284" s="2">
        <f t="shared" si="146"/>
        <v>30</v>
      </c>
      <c r="Y284" s="2"/>
      <c r="Z284" s="19">
        <f t="shared" si="147"/>
        <v>0</v>
      </c>
    </row>
    <row r="285" spans="1:26" s="24" customFormat="1" hidden="1" outlineLevel="1" x14ac:dyDescent="0.25">
      <c r="A285" s="44"/>
      <c r="B285" s="11" t="str">
        <f>CONCATENATE("          ", "4198", " - ", "NON-TAXABLE SALES-GRAD RENTALS")</f>
        <v xml:space="preserve">          4198 - NON-TAXABLE SALES-GRAD RENTALS</v>
      </c>
      <c r="C285" s="11"/>
      <c r="D285" s="2">
        <f t="shared" si="148"/>
        <v>0</v>
      </c>
      <c r="E285" s="2"/>
      <c r="F285" s="19">
        <f t="shared" si="140"/>
        <v>0</v>
      </c>
      <c r="G285" s="2"/>
      <c r="H285" s="2"/>
      <c r="I285" s="2"/>
      <c r="J285" s="19">
        <f t="shared" si="141"/>
        <v>0</v>
      </c>
      <c r="K285" s="2"/>
      <c r="L285" s="2">
        <f t="shared" si="142"/>
        <v>0</v>
      </c>
      <c r="M285" s="2"/>
      <c r="N285" s="19">
        <f t="shared" si="143"/>
        <v>0</v>
      </c>
      <c r="O285" s="11"/>
      <c r="P285" s="2">
        <f>--495</f>
        <v>495</v>
      </c>
      <c r="Q285" s="2"/>
      <c r="R285" s="19">
        <f t="shared" si="144"/>
        <v>6.9732393150776179E-5</v>
      </c>
      <c r="S285" s="2"/>
      <c r="T285" s="2"/>
      <c r="U285" s="2"/>
      <c r="V285" s="19">
        <f t="shared" si="145"/>
        <v>0</v>
      </c>
      <c r="W285" s="2"/>
      <c r="X285" s="2">
        <f t="shared" si="146"/>
        <v>495</v>
      </c>
      <c r="Y285" s="2"/>
      <c r="Z285" s="19">
        <f t="shared" si="147"/>
        <v>0</v>
      </c>
    </row>
    <row r="286" spans="1:26" s="24" customFormat="1" hidden="1" outlineLevel="1" x14ac:dyDescent="0.25">
      <c r="A286" s="44"/>
      <c r="B286" s="11" t="str">
        <f>CONCATENATE("          ", "4387", " - ", "SALES RETURN NON TAXABLE-COMPU")</f>
        <v xml:space="preserve">          4387 - SALES RETURN NON TAXABLE-COMPU</v>
      </c>
      <c r="C286" s="11"/>
      <c r="D286" s="2">
        <f t="shared" si="148"/>
        <v>0</v>
      </c>
      <c r="E286" s="2"/>
      <c r="F286" s="19">
        <f t="shared" si="140"/>
        <v>0</v>
      </c>
      <c r="G286" s="2"/>
      <c r="H286" s="2"/>
      <c r="I286" s="2"/>
      <c r="J286" s="19">
        <f t="shared" si="141"/>
        <v>0</v>
      </c>
      <c r="K286" s="2"/>
      <c r="L286" s="2">
        <f t="shared" si="142"/>
        <v>0</v>
      </c>
      <c r="M286" s="2"/>
      <c r="N286" s="19">
        <f t="shared" si="143"/>
        <v>0</v>
      </c>
      <c r="O286" s="11"/>
      <c r="P286" s="2">
        <f>-7889</f>
        <v>-7889</v>
      </c>
      <c r="Q286" s="2"/>
      <c r="R286" s="19">
        <f t="shared" si="144"/>
        <v>-1.1113512112454005E-3</v>
      </c>
      <c r="S286" s="2"/>
      <c r="T286" s="2"/>
      <c r="U286" s="2"/>
      <c r="V286" s="19">
        <f t="shared" si="145"/>
        <v>0</v>
      </c>
      <c r="W286" s="2"/>
      <c r="X286" s="2">
        <f t="shared" si="146"/>
        <v>-7889</v>
      </c>
      <c r="Y286" s="2"/>
      <c r="Z286" s="19">
        <f t="shared" si="147"/>
        <v>0</v>
      </c>
    </row>
    <row r="287" spans="1:26" s="24" customFormat="1" hidden="1" outlineLevel="1" x14ac:dyDescent="0.25">
      <c r="A287" s="44"/>
      <c r="B287" s="11" t="str">
        <f>CONCATENATE("          ", "5087", " - ", "PURCHASES @ COST-COMPUTER REPA")</f>
        <v xml:space="preserve">          5087 - PURCHASES @ COST-COMPUTER REPA</v>
      </c>
      <c r="C287" s="11"/>
      <c r="D287" s="2">
        <f>-56.72</f>
        <v>-56.72</v>
      </c>
      <c r="E287" s="2"/>
      <c r="F287" s="19">
        <f t="shared" si="140"/>
        <v>-1.0732220299408137E-4</v>
      </c>
      <c r="G287" s="2"/>
      <c r="H287" s="2"/>
      <c r="I287" s="2"/>
      <c r="J287" s="19">
        <f t="shared" si="141"/>
        <v>0</v>
      </c>
      <c r="K287" s="2"/>
      <c r="L287" s="2">
        <f t="shared" si="142"/>
        <v>-56.72</v>
      </c>
      <c r="M287" s="2"/>
      <c r="N287" s="19">
        <f t="shared" si="143"/>
        <v>0</v>
      </c>
      <c r="O287" s="11"/>
      <c r="P287" s="2">
        <f>-56.72</f>
        <v>-56.72</v>
      </c>
      <c r="Q287" s="2"/>
      <c r="R287" s="19">
        <f t="shared" si="144"/>
        <v>-7.9903461404283332E-6</v>
      </c>
      <c r="S287" s="2"/>
      <c r="T287" s="2"/>
      <c r="U287" s="2"/>
      <c r="V287" s="19">
        <f t="shared" si="145"/>
        <v>0</v>
      </c>
      <c r="W287" s="2"/>
      <c r="X287" s="2">
        <f t="shared" si="146"/>
        <v>-56.72</v>
      </c>
      <c r="Y287" s="2"/>
      <c r="Z287" s="19">
        <f t="shared" si="147"/>
        <v>0</v>
      </c>
    </row>
    <row r="288" spans="1:26" s="24" customFormat="1" hidden="1" outlineLevel="1" x14ac:dyDescent="0.25">
      <c r="A288" s="44"/>
      <c r="B288" s="11" t="str">
        <f>CONCATENATE("          ", "9150", " - ", "MISC. INCOME")</f>
        <v xml:space="preserve">          9150 - MISC. INCOME</v>
      </c>
      <c r="C288" s="11"/>
      <c r="D288" s="2">
        <f>--19019.67</f>
        <v>19019.669999999998</v>
      </c>
      <c r="E288" s="2"/>
      <c r="F288" s="19">
        <f t="shared" si="140"/>
        <v>3.5987885836044418E-2</v>
      </c>
      <c r="G288" s="2"/>
      <c r="H288" s="2">
        <v>31250</v>
      </c>
      <c r="I288" s="2"/>
      <c r="J288" s="19">
        <f t="shared" si="141"/>
        <v>4.4449310621899968E-2</v>
      </c>
      <c r="K288" s="2"/>
      <c r="L288" s="2">
        <f t="shared" si="142"/>
        <v>-12230.330000000002</v>
      </c>
      <c r="M288" s="2"/>
      <c r="N288" s="19">
        <f t="shared" si="143"/>
        <v>-0.39137056000000003</v>
      </c>
      <c r="O288" s="11"/>
      <c r="P288" s="2">
        <f>--247553.12</f>
        <v>247553.12</v>
      </c>
      <c r="Q288" s="2"/>
      <c r="R288" s="19">
        <f t="shared" si="144"/>
        <v>3.4873679776851053E-2</v>
      </c>
      <c r="S288" s="2"/>
      <c r="T288" s="2">
        <v>199075</v>
      </c>
      <c r="U288" s="2"/>
      <c r="V288" s="19">
        <f t="shared" si="145"/>
        <v>2.741811385169916E-2</v>
      </c>
      <c r="W288" s="2"/>
      <c r="X288" s="2">
        <f t="shared" si="146"/>
        <v>48478.119999999995</v>
      </c>
      <c r="Y288" s="2"/>
      <c r="Z288" s="19">
        <f t="shared" si="147"/>
        <v>0.24351686550295112</v>
      </c>
    </row>
    <row r="289" spans="1:26" s="24" customFormat="1" hidden="1" outlineLevel="1" x14ac:dyDescent="0.25">
      <c r="A289" s="44"/>
      <c r="B289" s="11" t="str">
        <f>CONCATENATE("          ", "9151", " - ", "MISC. INCOME")</f>
        <v xml:space="preserve">          9151 - MISC. INCOME</v>
      </c>
      <c r="C289" s="11"/>
      <c r="D289" s="2">
        <f>--268.24</f>
        <v>268.24</v>
      </c>
      <c r="E289" s="2"/>
      <c r="F289" s="19">
        <f t="shared" si="140"/>
        <v>5.0754773856016204E-4</v>
      </c>
      <c r="G289" s="2"/>
      <c r="H289" s="2">
        <v>12850</v>
      </c>
      <c r="I289" s="2"/>
      <c r="J289" s="19">
        <f t="shared" si="141"/>
        <v>1.8277556527725267E-2</v>
      </c>
      <c r="K289" s="2"/>
      <c r="L289" s="2">
        <f t="shared" si="142"/>
        <v>-12581.76</v>
      </c>
      <c r="M289" s="2"/>
      <c r="N289" s="19">
        <f t="shared" si="143"/>
        <v>-0.97912529182879382</v>
      </c>
      <c r="O289" s="11"/>
      <c r="P289" s="2">
        <f>--87492.51</f>
        <v>87492.51</v>
      </c>
      <c r="Q289" s="2"/>
      <c r="R289" s="19">
        <f t="shared" si="144"/>
        <v>1.2325377990036799E-2</v>
      </c>
      <c r="S289" s="2"/>
      <c r="T289" s="2">
        <v>64850</v>
      </c>
      <c r="U289" s="2"/>
      <c r="V289" s="19">
        <f t="shared" si="145"/>
        <v>8.9316322154097232E-3</v>
      </c>
      <c r="W289" s="2"/>
      <c r="X289" s="2">
        <f t="shared" si="146"/>
        <v>22642.509999999995</v>
      </c>
      <c r="Y289" s="2"/>
      <c r="Z289" s="19">
        <f t="shared" si="147"/>
        <v>0.34915204317656123</v>
      </c>
    </row>
    <row r="290" spans="1:26" s="24" customFormat="1" hidden="1" outlineLevel="1" x14ac:dyDescent="0.25">
      <c r="A290" s="44"/>
      <c r="B290" s="11" t="str">
        <f>CONCATENATE("          ", "9152", " - ", "MISC. INCOME")</f>
        <v xml:space="preserve">          9152 - MISC. INCOME</v>
      </c>
      <c r="C290" s="11"/>
      <c r="D290" s="2">
        <f>--3382.44</f>
        <v>3382.44</v>
      </c>
      <c r="E290" s="2"/>
      <c r="F290" s="19">
        <f t="shared" si="140"/>
        <v>6.4000513451216608E-3</v>
      </c>
      <c r="G290" s="2"/>
      <c r="H290" s="2"/>
      <c r="I290" s="2"/>
      <c r="J290" s="19">
        <f t="shared" si="141"/>
        <v>0</v>
      </c>
      <c r="K290" s="2"/>
      <c r="L290" s="2">
        <f t="shared" si="142"/>
        <v>3382.44</v>
      </c>
      <c r="M290" s="2"/>
      <c r="N290" s="19">
        <f t="shared" si="143"/>
        <v>0</v>
      </c>
      <c r="O290" s="11"/>
      <c r="P290" s="2">
        <f>--4230.76</f>
        <v>4230.76</v>
      </c>
      <c r="Q290" s="2"/>
      <c r="R290" s="19">
        <f t="shared" si="144"/>
        <v>5.9600205989207642E-4</v>
      </c>
      <c r="S290" s="2"/>
      <c r="T290" s="2"/>
      <c r="U290" s="2"/>
      <c r="V290" s="19">
        <f t="shared" si="145"/>
        <v>0</v>
      </c>
      <c r="W290" s="2"/>
      <c r="X290" s="2">
        <f t="shared" si="146"/>
        <v>4230.76</v>
      </c>
      <c r="Y290" s="2"/>
      <c r="Z290" s="19">
        <f t="shared" si="147"/>
        <v>0</v>
      </c>
    </row>
    <row r="291" spans="1:26" s="24" customFormat="1" hidden="1" outlineLevel="1" x14ac:dyDescent="0.25">
      <c r="A291" s="44"/>
      <c r="B291" s="11" t="str">
        <f>CONCATENATE("          ", "9153", " - ", "MISC. INCOME")</f>
        <v xml:space="preserve">          9153 - MISC. INCOME</v>
      </c>
      <c r="C291" s="11"/>
      <c r="D291" s="2">
        <f t="shared" ref="D291:D293" si="149">0</f>
        <v>0</v>
      </c>
      <c r="E291" s="2"/>
      <c r="F291" s="19">
        <f t="shared" si="140"/>
        <v>0</v>
      </c>
      <c r="G291" s="2"/>
      <c r="H291" s="2"/>
      <c r="I291" s="2"/>
      <c r="J291" s="19">
        <f t="shared" si="141"/>
        <v>0</v>
      </c>
      <c r="K291" s="2"/>
      <c r="L291" s="2">
        <f t="shared" si="142"/>
        <v>0</v>
      </c>
      <c r="M291" s="2"/>
      <c r="N291" s="19">
        <f t="shared" si="143"/>
        <v>0</v>
      </c>
      <c r="O291" s="11"/>
      <c r="P291" s="2">
        <f>--450</f>
        <v>450</v>
      </c>
      <c r="Q291" s="2"/>
      <c r="R291" s="19">
        <f t="shared" si="144"/>
        <v>6.3393084682523805E-5</v>
      </c>
      <c r="S291" s="2"/>
      <c r="T291" s="2"/>
      <c r="U291" s="2"/>
      <c r="V291" s="19">
        <f t="shared" si="145"/>
        <v>0</v>
      </c>
      <c r="W291" s="2"/>
      <c r="X291" s="2">
        <f t="shared" si="146"/>
        <v>450</v>
      </c>
      <c r="Y291" s="2"/>
      <c r="Z291" s="19">
        <f t="shared" si="147"/>
        <v>0</v>
      </c>
    </row>
    <row r="292" spans="1:26" s="24" customFormat="1" hidden="1" outlineLevel="1" x14ac:dyDescent="0.25">
      <c r="A292" s="44"/>
      <c r="B292" s="11" t="str">
        <f>CONCATENATE("          ", "9160", " - ", "MISC. INCOME")</f>
        <v xml:space="preserve">          9160 - MISC. INCOME</v>
      </c>
      <c r="C292" s="11"/>
      <c r="D292" s="2">
        <f t="shared" si="149"/>
        <v>0</v>
      </c>
      <c r="E292" s="2"/>
      <c r="F292" s="19">
        <f t="shared" si="140"/>
        <v>0</v>
      </c>
      <c r="G292" s="2"/>
      <c r="H292" s="2">
        <v>24350</v>
      </c>
      <c r="I292" s="2"/>
      <c r="J292" s="19">
        <f t="shared" si="141"/>
        <v>3.4634902836584457E-2</v>
      </c>
      <c r="K292" s="2"/>
      <c r="L292" s="2">
        <f t="shared" si="142"/>
        <v>-24350</v>
      </c>
      <c r="M292" s="2"/>
      <c r="N292" s="19">
        <f t="shared" si="143"/>
        <v>-1</v>
      </c>
      <c r="O292" s="11"/>
      <c r="P292" s="2">
        <f>--22475</f>
        <v>22475</v>
      </c>
      <c r="Q292" s="2"/>
      <c r="R292" s="19">
        <f t="shared" si="144"/>
        <v>3.1661323960882719E-3</v>
      </c>
      <c r="S292" s="2"/>
      <c r="T292" s="2">
        <v>191450</v>
      </c>
      <c r="U292" s="2"/>
      <c r="V292" s="19">
        <f t="shared" si="145"/>
        <v>2.6367941212647517E-2</v>
      </c>
      <c r="W292" s="2"/>
      <c r="X292" s="2">
        <f t="shared" si="146"/>
        <v>-168975</v>
      </c>
      <c r="Y292" s="2"/>
      <c r="Z292" s="19">
        <f t="shared" si="147"/>
        <v>-0.88260642465395667</v>
      </c>
    </row>
    <row r="293" spans="1:26" s="24" customFormat="1" hidden="1" outlineLevel="1" x14ac:dyDescent="0.25">
      <c r="A293" s="44"/>
      <c r="B293" s="11" t="str">
        <f>CONCATENATE("          ", "9163", " - ", "MISC. INCOME")</f>
        <v xml:space="preserve">          9163 - MISC. INCOME</v>
      </c>
      <c r="C293" s="11"/>
      <c r="D293" s="2">
        <f t="shared" si="149"/>
        <v>0</v>
      </c>
      <c r="E293" s="2"/>
      <c r="F293" s="19">
        <f t="shared" si="140"/>
        <v>0</v>
      </c>
      <c r="G293" s="2"/>
      <c r="H293" s="2"/>
      <c r="I293" s="2"/>
      <c r="J293" s="19">
        <f t="shared" si="141"/>
        <v>0</v>
      </c>
      <c r="K293" s="2"/>
      <c r="L293" s="2">
        <f t="shared" si="142"/>
        <v>0</v>
      </c>
      <c r="M293" s="2"/>
      <c r="N293" s="19">
        <f t="shared" si="143"/>
        <v>0</v>
      </c>
      <c r="O293" s="11"/>
      <c r="P293" s="2">
        <f>--61106.55</f>
        <v>61106.55</v>
      </c>
      <c r="Q293" s="2"/>
      <c r="R293" s="19">
        <f t="shared" si="144"/>
        <v>8.608294886237499E-3</v>
      </c>
      <c r="S293" s="2"/>
      <c r="T293" s="2"/>
      <c r="U293" s="2"/>
      <c r="V293" s="19">
        <f t="shared" si="145"/>
        <v>0</v>
      </c>
      <c r="W293" s="2"/>
      <c r="X293" s="2">
        <f t="shared" si="146"/>
        <v>61106.55</v>
      </c>
      <c r="Y293" s="2"/>
      <c r="Z293" s="19">
        <f t="shared" si="147"/>
        <v>0</v>
      </c>
    </row>
    <row r="294" spans="1:26" x14ac:dyDescent="0.25">
      <c r="A294" s="9"/>
      <c r="B294" s="10"/>
      <c r="C294" s="10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O294" s="10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x14ac:dyDescent="0.25">
      <c r="A295" s="10"/>
      <c r="B295" s="29" t="s">
        <v>3</v>
      </c>
      <c r="C295" s="29"/>
      <c r="D295" s="22">
        <f>+D183-D185+D281</f>
        <v>-70527.220000000321</v>
      </c>
      <c r="E295" s="14"/>
      <c r="F295" s="20">
        <f>IF(D$12=0,0,D295/D$12)</f>
        <v>-0.13344740164753649</v>
      </c>
      <c r="G295" s="14"/>
      <c r="H295" s="22">
        <f>+H183-H185+H281</f>
        <v>-25529.056994628976</v>
      </c>
      <c r="I295" s="14"/>
      <c r="J295" s="20">
        <f>IF(H$12=0,0,H295/H$12)</f>
        <v>-3.6311967495630447E-2</v>
      </c>
      <c r="K295" s="16"/>
      <c r="L295" s="22">
        <f>+D295-H295</f>
        <v>-44998.163005371345</v>
      </c>
      <c r="M295" s="16"/>
      <c r="N295" s="20">
        <f>IF(H295=0,0,L295/H295)</f>
        <v>1.7626253494141382</v>
      </c>
      <c r="O295" s="28"/>
      <c r="P295" s="22">
        <f>+P183-P185+P281</f>
        <v>533274.92999999993</v>
      </c>
      <c r="Q295" s="14"/>
      <c r="R295" s="20">
        <f>IF(P$12=0,0,P295/P$12)</f>
        <v>7.5124317325682102E-2</v>
      </c>
      <c r="S295" s="14"/>
      <c r="T295" s="22">
        <f>+T183-T185+T281</f>
        <v>721921.08008179208</v>
      </c>
      <c r="U295" s="14"/>
      <c r="V295" s="20">
        <f>IF(T$12=0,0,T295/T$12)</f>
        <v>9.9428428309050368E-2</v>
      </c>
      <c r="W295" s="16"/>
      <c r="X295" s="22">
        <f>+P295-T295</f>
        <v>-188646.15008179215</v>
      </c>
      <c r="Y295" s="16"/>
      <c r="Z295" s="20">
        <f>IF(T295=0,0,X295/T295)</f>
        <v>-0.2613113195980078</v>
      </c>
    </row>
    <row r="296" spans="1:26" x14ac:dyDescent="0.25">
      <c r="A296" s="9"/>
      <c r="B296" s="10"/>
      <c r="C296" s="9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s="23" customFormat="1" x14ac:dyDescent="0.25">
      <c r="A297" s="52"/>
      <c r="B297" s="10" t="s">
        <v>14</v>
      </c>
      <c r="C297" s="10"/>
      <c r="D297" s="4">
        <v>70974.47</v>
      </c>
      <c r="E297" s="4"/>
      <c r="F297" s="12">
        <f>IF(D$12=0,0,D297/D$12)</f>
        <v>0.13429366143754123</v>
      </c>
      <c r="G297" s="4"/>
      <c r="H297" s="4">
        <v>104220</v>
      </c>
      <c r="I297" s="4"/>
      <c r="J297" s="12">
        <f>IF(H$12=0,0,H297/H$12)</f>
        <v>0.14824022889646127</v>
      </c>
      <c r="K297" s="4"/>
      <c r="L297" s="4">
        <f>+D297-H297</f>
        <v>-33245.53</v>
      </c>
      <c r="M297" s="4"/>
      <c r="N297" s="12">
        <f>IF(H297=0,0,L297/H297)</f>
        <v>-0.31899376319324507</v>
      </c>
      <c r="O297" s="10"/>
      <c r="P297" s="4">
        <v>766699.8</v>
      </c>
      <c r="Q297" s="4"/>
      <c r="R297" s="12">
        <f>IF(P$12=0,0,P297/P$12)</f>
        <v>0.10800770077216458</v>
      </c>
      <c r="S297" s="4"/>
      <c r="T297" s="4">
        <v>935284</v>
      </c>
      <c r="U297" s="4"/>
      <c r="V297" s="12">
        <f>IF(T$12=0,0,T297/T$12)</f>
        <v>0.12881438249741353</v>
      </c>
      <c r="W297" s="4"/>
      <c r="X297" s="4">
        <f>+P297-T297</f>
        <v>-168584.19999999995</v>
      </c>
      <c r="Y297" s="4"/>
      <c r="Z297" s="12">
        <f>IF(T297=0,0,X297/T297)</f>
        <v>-0.18024920772727851</v>
      </c>
    </row>
    <row r="298" spans="1:26" x14ac:dyDescent="0.25">
      <c r="A298" s="9"/>
      <c r="B298" s="10"/>
      <c r="C298" s="10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O298" s="10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ht="15.75" thickBot="1" x14ac:dyDescent="0.3">
      <c r="A299" s="10"/>
      <c r="B299" s="29" t="s">
        <v>4</v>
      </c>
      <c r="C299" s="29"/>
      <c r="D299" s="31">
        <f>+D295-D297</f>
        <v>-141501.69000000032</v>
      </c>
      <c r="E299" s="14"/>
      <c r="F299" s="32">
        <f>IF(D$12=0,0,D299/D$12)</f>
        <v>-0.26774106308507772</v>
      </c>
      <c r="G299" s="14"/>
      <c r="H299" s="31">
        <f>+H295-H297</f>
        <v>-129749.05699462898</v>
      </c>
      <c r="I299" s="14"/>
      <c r="J299" s="32">
        <f>IF(H$12=0,0,H299/H$12)</f>
        <v>-0.18455219639209172</v>
      </c>
      <c r="K299" s="16"/>
      <c r="L299" s="31">
        <f>D299-H299</f>
        <v>-11752.633005371346</v>
      </c>
      <c r="M299" s="16"/>
      <c r="N299" s="32">
        <f>IF(H299=0,0,L299/H299)</f>
        <v>9.0579718092732284E-2</v>
      </c>
      <c r="O299" s="28"/>
      <c r="P299" s="31">
        <f>+P295-P297</f>
        <v>-233424.87000000011</v>
      </c>
      <c r="Q299" s="14"/>
      <c r="R299" s="32">
        <f>IF(P$12=0,0,P299/P$12)</f>
        <v>-3.2883383446482478E-2</v>
      </c>
      <c r="S299" s="14"/>
      <c r="T299" s="31">
        <f>+T295-T297</f>
        <v>-213362.91991820792</v>
      </c>
      <c r="U299" s="14"/>
      <c r="V299" s="32">
        <f>IF(T$12=0,0,T299/T$12)</f>
        <v>-2.9385954188363154E-2</v>
      </c>
      <c r="W299" s="16"/>
      <c r="X299" s="31">
        <f>P299-T299</f>
        <v>-20061.950081792194</v>
      </c>
      <c r="Y299" s="16"/>
      <c r="Z299" s="32">
        <f>IF(T299=0,0,X299/T299)</f>
        <v>9.4027350626261053E-2</v>
      </c>
    </row>
    <row r="300" spans="1:26" ht="15.75" thickTop="1" x14ac:dyDescent="0.25">
      <c r="A300" s="9"/>
      <c r="B300" s="9"/>
      <c r="C300" s="9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x14ac:dyDescent="0.25">
      <c r="A301" s="9"/>
      <c r="B301" s="9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ht="15.75" thickBot="1" x14ac:dyDescent="0.3">
      <c r="A302" s="10"/>
      <c r="B302" s="29" t="s">
        <v>5</v>
      </c>
      <c r="C302" s="29"/>
      <c r="D302" s="35">
        <f>SUM(D299:D301)</f>
        <v>-141501.69000000032</v>
      </c>
      <c r="E302" s="14"/>
      <c r="F302" s="34">
        <f>IF(D$12=0,0,D302/D$12)</f>
        <v>-0.26774106308507772</v>
      </c>
      <c r="G302" s="14"/>
      <c r="H302" s="35">
        <f>SUM(H299:H301)</f>
        <v>-129749.05699462898</v>
      </c>
      <c r="I302" s="14"/>
      <c r="J302" s="34">
        <f>IF(H$12=0,0,H302/H$12)</f>
        <v>-0.18455219639209172</v>
      </c>
      <c r="K302" s="16"/>
      <c r="L302" s="35">
        <f>+D302-H302</f>
        <v>-11752.633005371346</v>
      </c>
      <c r="M302" s="16"/>
      <c r="N302" s="34">
        <f>IF(H302=0,0,L302/H302)</f>
        <v>9.0579718092732284E-2</v>
      </c>
      <c r="O302" s="28"/>
      <c r="P302" s="35">
        <f>SUM(P299:P301)</f>
        <v>-233424.87000000011</v>
      </c>
      <c r="Q302" s="14"/>
      <c r="R302" s="34">
        <f>IF(P$12=0,0,P302/P$12)</f>
        <v>-3.2883383446482478E-2</v>
      </c>
      <c r="S302" s="14"/>
      <c r="T302" s="35">
        <f>SUM(T299:T301)</f>
        <v>-213362.91991820792</v>
      </c>
      <c r="U302" s="14"/>
      <c r="V302" s="34">
        <f>IF(T$12=0,0,T302/T$12)</f>
        <v>-2.9385954188363154E-2</v>
      </c>
      <c r="W302" s="16"/>
      <c r="X302" s="35">
        <f>+P302-T302</f>
        <v>-20061.950081792194</v>
      </c>
      <c r="Y302" s="16"/>
      <c r="Z302" s="34">
        <f>IF(T302=0,0,X302/T302)</f>
        <v>9.4027350626261053E-2</v>
      </c>
    </row>
    <row r="303" spans="1:26" ht="15.75" thickTop="1" x14ac:dyDescent="0.25">
      <c r="A303" s="9"/>
      <c r="C303" s="9"/>
      <c r="D303" s="17"/>
      <c r="E303" s="17"/>
      <c r="G303" s="17"/>
      <c r="H303" s="17"/>
      <c r="I303" s="17"/>
      <c r="J303" s="42"/>
      <c r="K303" s="17"/>
      <c r="L303" s="17"/>
      <c r="M303" s="17"/>
      <c r="P303" s="17"/>
      <c r="Q303" s="17"/>
      <c r="R303" s="42"/>
      <c r="S303" s="17"/>
      <c r="T303" s="17"/>
      <c r="U303" s="17"/>
      <c r="V303" s="42"/>
      <c r="W303" s="17"/>
      <c r="X303" s="17"/>
    </row>
    <row r="304" spans="1:26" x14ac:dyDescent="0.25">
      <c r="A304" s="9"/>
      <c r="B304" s="63">
        <v>43847.445403391204</v>
      </c>
      <c r="D304" s="17"/>
      <c r="E304" s="17"/>
      <c r="G304" s="17"/>
      <c r="H304" s="17"/>
      <c r="I304" s="17"/>
      <c r="J304" s="42"/>
      <c r="K304" s="17"/>
      <c r="L304" s="17"/>
      <c r="M304" s="17"/>
      <c r="P304" s="17"/>
      <c r="Q304" s="17"/>
      <c r="R304" s="42"/>
      <c r="S304" s="17"/>
      <c r="T304" s="17"/>
      <c r="U304" s="17"/>
      <c r="V304" s="42"/>
      <c r="W304" s="17"/>
      <c r="X304" s="17"/>
    </row>
    <row r="305" spans="1:24" x14ac:dyDescent="0.25">
      <c r="A305" s="9"/>
      <c r="B305" s="55" t="s">
        <v>314</v>
      </c>
      <c r="D305" s="17"/>
      <c r="E305" s="17"/>
      <c r="G305" s="17"/>
      <c r="H305" s="17"/>
      <c r="I305" s="17"/>
      <c r="J305" s="42"/>
      <c r="K305" s="17"/>
      <c r="L305" s="17"/>
      <c r="M305" s="17"/>
      <c r="P305" s="17"/>
      <c r="Q305" s="17"/>
      <c r="R305" s="42"/>
      <c r="S305" s="17"/>
      <c r="T305" s="17"/>
      <c r="U305" s="17"/>
      <c r="V305" s="42"/>
      <c r="W305" s="17"/>
      <c r="X305" s="17"/>
    </row>
    <row r="306" spans="1:24" x14ac:dyDescent="0.25">
      <c r="A306" s="9"/>
      <c r="B306" s="56"/>
      <c r="D306" s="17"/>
      <c r="E306" s="17"/>
      <c r="G306" s="17"/>
      <c r="H306" s="17"/>
      <c r="I306" s="17"/>
      <c r="J306" s="42"/>
      <c r="K306" s="17"/>
      <c r="L306" s="17"/>
      <c r="M306" s="17"/>
      <c r="P306" s="17"/>
      <c r="Q306" s="17"/>
      <c r="R306" s="42"/>
      <c r="S306" s="17"/>
      <c r="T306" s="17"/>
      <c r="U306" s="17"/>
      <c r="V306" s="42"/>
      <c r="W306" s="17"/>
      <c r="X306" s="17"/>
    </row>
    <row r="307" spans="1:24" x14ac:dyDescent="0.25">
      <c r="D307" s="17"/>
      <c r="E307" s="17"/>
      <c r="G307" s="17"/>
      <c r="H307" s="17"/>
      <c r="I307" s="17"/>
      <c r="J307" s="42"/>
      <c r="K307" s="17"/>
      <c r="L307" s="17"/>
      <c r="M307" s="17"/>
      <c r="P307" s="17"/>
      <c r="Q307" s="17"/>
      <c r="R307" s="42"/>
      <c r="S307" s="17"/>
      <c r="T307" s="17"/>
      <c r="U307" s="17"/>
      <c r="V307" s="42"/>
      <c r="W307" s="17"/>
      <c r="X307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","301", " - ", "Bookstore")</f>
        <v>Department 301 - Bookstore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101029.58999999998</v>
      </c>
      <c r="E18" s="21"/>
      <c r="F18" s="30">
        <f t="shared" ref="F18:F28" si="0">IF(D$12=0,0,D18/D$12)</f>
        <v>0</v>
      </c>
      <c r="G18" s="21"/>
      <c r="H18" s="21">
        <f>SUM(OSRRefH22x_0)</f>
        <v>149303.00738311693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-48273.417383116946</v>
      </c>
      <c r="M18" s="4"/>
      <c r="N18" s="30">
        <f t="shared" ref="N18:N28" si="3">IF(H18=0,0,L18/H18)</f>
        <v>-0.32332515084070346</v>
      </c>
      <c r="O18" s="10"/>
      <c r="P18" s="21">
        <f>SUM(OSRRefP22x_0)</f>
        <v>779517.99000000022</v>
      </c>
      <c r="Q18" s="21"/>
      <c r="R18" s="30">
        <f t="shared" ref="R18:R28" si="4">IF(P$12=0,0,P18/P$12)</f>
        <v>0</v>
      </c>
      <c r="S18" s="21"/>
      <c r="T18" s="21">
        <f>SUM(OSRRefT22x_0)</f>
        <v>895936.21364338498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-116418.22364338476</v>
      </c>
      <c r="Y18" s="4"/>
      <c r="Z18" s="30">
        <f t="shared" ref="Z18:Z28" si="7">IF(T18=0,0,X18/T18)</f>
        <v>-0.12994030364054848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8909.11</v>
      </c>
      <c r="E19" s="1"/>
      <c r="F19" s="5">
        <f t="shared" si="0"/>
        <v>0</v>
      </c>
      <c r="G19" s="1"/>
      <c r="H19" s="1">
        <f>SUM(OSRRefH22_0x_0)</f>
        <v>13316.30660388614</v>
      </c>
      <c r="I19" s="1"/>
      <c r="J19" s="5">
        <f t="shared" si="1"/>
        <v>0</v>
      </c>
      <c r="K19" s="1"/>
      <c r="L19" s="1">
        <f t="shared" si="2"/>
        <v>-4407.1966038861392</v>
      </c>
      <c r="M19" s="1"/>
      <c r="N19" s="5">
        <f t="shared" si="3"/>
        <v>-0.33096238581649756</v>
      </c>
      <c r="O19" s="13"/>
      <c r="P19" s="1">
        <f>SUM(OSRRefP22_0x_0)</f>
        <v>79927.88</v>
      </c>
      <c r="Q19" s="1"/>
      <c r="R19" s="5">
        <f t="shared" si="4"/>
        <v>0</v>
      </c>
      <c r="S19" s="1"/>
      <c r="T19" s="1">
        <f>SUM(OSRRefT22_0x_0)</f>
        <v>84540.980453384909</v>
      </c>
      <c r="U19" s="1"/>
      <c r="V19" s="5">
        <f t="shared" si="5"/>
        <v>0</v>
      </c>
      <c r="W19" s="1"/>
      <c r="X19" s="1">
        <f t="shared" si="6"/>
        <v>-4613.1004533849045</v>
      </c>
      <c r="Y19" s="1"/>
      <c r="Z19" s="5">
        <f t="shared" si="7"/>
        <v>-5.456644137133617E-2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1352.49</v>
      </c>
      <c r="E20" s="2"/>
      <c r="F20" s="7">
        <f t="shared" si="0"/>
        <v>0</v>
      </c>
      <c r="G20" s="2"/>
      <c r="H20" s="6">
        <v>2012.4276053169201</v>
      </c>
      <c r="I20" s="2"/>
      <c r="J20" s="7">
        <f t="shared" si="1"/>
        <v>0</v>
      </c>
      <c r="K20" s="2"/>
      <c r="L20" s="6">
        <f t="shared" si="2"/>
        <v>-659.9376053169201</v>
      </c>
      <c r="M20" s="2"/>
      <c r="N20" s="7">
        <f t="shared" si="3"/>
        <v>-0.32793110349576632</v>
      </c>
      <c r="O20" s="11"/>
      <c r="P20" s="6">
        <v>17077.400000000001</v>
      </c>
      <c r="Q20" s="2"/>
      <c r="R20" s="7">
        <f t="shared" si="4"/>
        <v>0</v>
      </c>
      <c r="S20" s="2"/>
      <c r="T20" s="6">
        <v>14335.704025184979</v>
      </c>
      <c r="U20" s="2"/>
      <c r="V20" s="7">
        <f t="shared" si="5"/>
        <v>0</v>
      </c>
      <c r="W20" s="2"/>
      <c r="X20" s="6">
        <f t="shared" si="6"/>
        <v>2741.6959748150221</v>
      </c>
      <c r="Y20" s="2"/>
      <c r="Z20" s="7">
        <f t="shared" si="7"/>
        <v>0.19124948241107712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561.75</v>
      </c>
      <c r="E21" s="2"/>
      <c r="F21" s="7">
        <f t="shared" si="0"/>
        <v>0</v>
      </c>
      <c r="G21" s="2"/>
      <c r="H21" s="6">
        <v>894.82269046153897</v>
      </c>
      <c r="I21" s="2"/>
      <c r="J21" s="7">
        <f t="shared" si="1"/>
        <v>0</v>
      </c>
      <c r="K21" s="2"/>
      <c r="L21" s="6">
        <f t="shared" si="2"/>
        <v>-333.07269046153897</v>
      </c>
      <c r="M21" s="2"/>
      <c r="N21" s="7">
        <f t="shared" si="3"/>
        <v>-0.37222199885179935</v>
      </c>
      <c r="O21" s="11"/>
      <c r="P21" s="6">
        <v>3220.85</v>
      </c>
      <c r="Q21" s="2"/>
      <c r="R21" s="7">
        <f t="shared" si="4"/>
        <v>0</v>
      </c>
      <c r="S21" s="2"/>
      <c r="T21" s="6">
        <v>5711.425925499997</v>
      </c>
      <c r="U21" s="2"/>
      <c r="V21" s="7">
        <f t="shared" si="5"/>
        <v>0</v>
      </c>
      <c r="W21" s="2"/>
      <c r="X21" s="6">
        <f t="shared" si="6"/>
        <v>-2490.5759254999971</v>
      </c>
      <c r="Y21" s="2"/>
      <c r="Z21" s="7">
        <f t="shared" si="7"/>
        <v>-0.43606902339050541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3107.42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-2572.83</v>
      </c>
      <c r="M22" s="2"/>
      <c r="N22" s="7">
        <f t="shared" si="3"/>
        <v>-0.45294309229347296</v>
      </c>
      <c r="O22" s="11"/>
      <c r="P22" s="6">
        <v>27319.99</v>
      </c>
      <c r="Q22" s="2"/>
      <c r="R22" s="7">
        <f t="shared" si="4"/>
        <v>0</v>
      </c>
      <c r="S22" s="2"/>
      <c r="T22" s="6">
        <v>34081.5</v>
      </c>
      <c r="U22" s="2"/>
      <c r="V22" s="7">
        <f t="shared" si="5"/>
        <v>0</v>
      </c>
      <c r="W22" s="2"/>
      <c r="X22" s="6">
        <f t="shared" si="6"/>
        <v>-6761.5099999999984</v>
      </c>
      <c r="Y22" s="2"/>
      <c r="Z22" s="7">
        <f t="shared" si="7"/>
        <v>-0.19839238296436479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123.45</v>
      </c>
      <c r="E23" s="2"/>
      <c r="F23" s="7">
        <f t="shared" si="0"/>
        <v>0</v>
      </c>
      <c r="G23" s="2"/>
      <c r="H23" s="6">
        <v>122.4494208</v>
      </c>
      <c r="I23" s="2"/>
      <c r="J23" s="7">
        <f t="shared" si="1"/>
        <v>0</v>
      </c>
      <c r="K23" s="2"/>
      <c r="L23" s="6">
        <f t="shared" si="2"/>
        <v>1.0005792000000042</v>
      </c>
      <c r="M23" s="2"/>
      <c r="N23" s="7">
        <f t="shared" si="3"/>
        <v>8.1713673569291743E-3</v>
      </c>
      <c r="O23" s="11"/>
      <c r="P23" s="6">
        <v>844.47</v>
      </c>
      <c r="Q23" s="2"/>
      <c r="R23" s="7">
        <f t="shared" si="4"/>
        <v>0</v>
      </c>
      <c r="S23" s="2"/>
      <c r="T23" s="6">
        <v>781.56354769999996</v>
      </c>
      <c r="U23" s="2"/>
      <c r="V23" s="7">
        <f t="shared" si="5"/>
        <v>0</v>
      </c>
      <c r="W23" s="2"/>
      <c r="X23" s="6">
        <f t="shared" si="6"/>
        <v>62.906452300000069</v>
      </c>
      <c r="Y23" s="2"/>
      <c r="Z23" s="7">
        <f t="shared" si="7"/>
        <v>8.0487955822814886E-2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1523.65</v>
      </c>
      <c r="E24" s="2"/>
      <c r="F24" s="7">
        <f t="shared" si="0"/>
        <v>0</v>
      </c>
      <c r="G24" s="2"/>
      <c r="H24" s="6">
        <v>1762.20433461538</v>
      </c>
      <c r="I24" s="2"/>
      <c r="J24" s="7">
        <f t="shared" si="1"/>
        <v>0</v>
      </c>
      <c r="K24" s="2"/>
      <c r="L24" s="6">
        <f t="shared" si="2"/>
        <v>-238.55433461537996</v>
      </c>
      <c r="M24" s="2"/>
      <c r="N24" s="7">
        <f t="shared" si="3"/>
        <v>-0.13537268631645205</v>
      </c>
      <c r="O24" s="11"/>
      <c r="P24" s="6">
        <v>12305.16</v>
      </c>
      <c r="Q24" s="2"/>
      <c r="R24" s="7">
        <f t="shared" si="4"/>
        <v>0</v>
      </c>
      <c r="S24" s="2"/>
      <c r="T24" s="6">
        <v>11454.328174999979</v>
      </c>
      <c r="U24" s="2"/>
      <c r="V24" s="7">
        <f t="shared" si="5"/>
        <v>0</v>
      </c>
      <c r="W24" s="2"/>
      <c r="X24" s="6">
        <f t="shared" si="6"/>
        <v>850.83182500002113</v>
      </c>
      <c r="Y24" s="2"/>
      <c r="Z24" s="7">
        <f t="shared" si="7"/>
        <v>7.4280377862495001E-2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1235.77</v>
      </c>
      <c r="E26" s="2"/>
      <c r="F26" s="7">
        <f t="shared" si="0"/>
        <v>0</v>
      </c>
      <c r="G26" s="2"/>
      <c r="H26" s="6">
        <v>1238.8804038461501</v>
      </c>
      <c r="I26" s="2"/>
      <c r="J26" s="7">
        <f t="shared" si="1"/>
        <v>0</v>
      </c>
      <c r="K26" s="2"/>
      <c r="L26" s="6">
        <f t="shared" si="2"/>
        <v>-3.1104038461501204</v>
      </c>
      <c r="M26" s="2"/>
      <c r="N26" s="7">
        <f t="shared" si="3"/>
        <v>-2.5106570710891514E-3</v>
      </c>
      <c r="O26" s="11"/>
      <c r="P26" s="6">
        <v>10608.29</v>
      </c>
      <c r="Q26" s="2"/>
      <c r="R26" s="7">
        <f t="shared" si="4"/>
        <v>0</v>
      </c>
      <c r="S26" s="2"/>
      <c r="T26" s="6">
        <v>8052.7226249999794</v>
      </c>
      <c r="U26" s="2"/>
      <c r="V26" s="7">
        <f t="shared" si="5"/>
        <v>0</v>
      </c>
      <c r="W26" s="2"/>
      <c r="X26" s="6">
        <f t="shared" si="6"/>
        <v>2555.5673750000215</v>
      </c>
      <c r="Y26" s="2"/>
      <c r="Z26" s="7">
        <f t="shared" si="7"/>
        <v>0.31735445190501987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762.27</v>
      </c>
      <c r="E27" s="2"/>
      <c r="F27" s="7">
        <f t="shared" si="0"/>
        <v>0</v>
      </c>
      <c r="G27" s="2"/>
      <c r="H27" s="6">
        <v>1105.27214884615</v>
      </c>
      <c r="I27" s="2"/>
      <c r="J27" s="7">
        <f t="shared" si="1"/>
        <v>0</v>
      </c>
      <c r="K27" s="2"/>
      <c r="L27" s="6">
        <f t="shared" si="2"/>
        <v>-343.00214884615002</v>
      </c>
      <c r="M27" s="2"/>
      <c r="N27" s="7">
        <f t="shared" si="3"/>
        <v>-0.31033275307283142</v>
      </c>
      <c r="O27" s="11"/>
      <c r="P27" s="6">
        <v>6507.71</v>
      </c>
      <c r="Q27" s="2"/>
      <c r="R27" s="7">
        <f t="shared" si="4"/>
        <v>0</v>
      </c>
      <c r="S27" s="2"/>
      <c r="T27" s="6">
        <v>7123.7361549999796</v>
      </c>
      <c r="U27" s="2"/>
      <c r="V27" s="7">
        <f t="shared" si="5"/>
        <v>0</v>
      </c>
      <c r="W27" s="2"/>
      <c r="X27" s="6">
        <f t="shared" si="6"/>
        <v>-616.02615499997955</v>
      </c>
      <c r="Y27" s="2"/>
      <c r="Z27" s="7">
        <f t="shared" si="7"/>
        <v>-8.6475150341946E-2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242.31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-257.69</v>
      </c>
      <c r="M28" s="2"/>
      <c r="N28" s="7">
        <f t="shared" si="3"/>
        <v>-0.51537999999999995</v>
      </c>
      <c r="O28" s="11"/>
      <c r="P28" s="6">
        <v>2044.01</v>
      </c>
      <c r="Q28" s="2"/>
      <c r="R28" s="7">
        <f t="shared" si="4"/>
        <v>0</v>
      </c>
      <c r="S28" s="2"/>
      <c r="T28" s="6">
        <v>3000</v>
      </c>
      <c r="U28" s="2"/>
      <c r="V28" s="7">
        <f t="shared" si="5"/>
        <v>0</v>
      </c>
      <c r="W28" s="2"/>
      <c r="X28" s="6">
        <f t="shared" si="6"/>
        <v>-955.99</v>
      </c>
      <c r="Y28" s="2"/>
      <c r="Z28" s="7">
        <f t="shared" si="7"/>
        <v>-0.31866333333333335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29651.870000000003</v>
      </c>
      <c r="E29" s="1"/>
      <c r="F29" s="5">
        <f t="shared" ref="F29:F39" si="8">IF(D$12=0,0,D29/D$12)</f>
        <v>0</v>
      </c>
      <c r="G29" s="1"/>
      <c r="H29" s="1">
        <f>SUM(OSRRefH22_1x_0)</f>
        <v>44872.70077923077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-15220.830779230768</v>
      </c>
      <c r="M29" s="1"/>
      <c r="N29" s="5">
        <f t="shared" ref="N29:N39" si="11">IF(H29=0,0,L29/H29)</f>
        <v>-0.33920023789331832</v>
      </c>
      <c r="O29" s="13"/>
      <c r="P29" s="1">
        <f>SUM(OSRRefP22_1x_0)</f>
        <v>276635.69</v>
      </c>
      <c r="Q29" s="1"/>
      <c r="R29" s="5">
        <f t="shared" ref="R29:R39" si="12">IF(P$12=0,0,P29/P$12)</f>
        <v>0</v>
      </c>
      <c r="S29" s="1"/>
      <c r="T29" s="1">
        <f>SUM(OSRRefT22_1x_0)</f>
        <v>286182.23319000006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-9546.5431900000549</v>
      </c>
      <c r="Y29" s="1"/>
      <c r="Z29" s="5">
        <f t="shared" ref="Z29:Z39" si="15">IF(T29=0,0,X29/T29)</f>
        <v>-3.3358266456960599E-2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10181.280000000001</v>
      </c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535.84499999999935</v>
      </c>
      <c r="M30" s="2"/>
      <c r="N30" s="7">
        <f t="shared" si="11"/>
        <v>5.5554259605709776E-2</v>
      </c>
      <c r="O30" s="11"/>
      <c r="P30" s="6">
        <v>66982.11</v>
      </c>
      <c r="Q30" s="2"/>
      <c r="R30" s="7">
        <f t="shared" si="12"/>
        <v>0</v>
      </c>
      <c r="S30" s="2"/>
      <c r="T30" s="6">
        <v>62695.327499999992</v>
      </c>
      <c r="U30" s="2"/>
      <c r="V30" s="7">
        <f t="shared" si="13"/>
        <v>0</v>
      </c>
      <c r="W30" s="2"/>
      <c r="X30" s="6">
        <f t="shared" si="14"/>
        <v>4286.7825000000084</v>
      </c>
      <c r="Y30" s="2"/>
      <c r="Z30" s="7">
        <f t="shared" si="15"/>
        <v>6.837483223929261E-2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5656.72</v>
      </c>
      <c r="E31" s="2"/>
      <c r="F31" s="7">
        <f t="shared" si="8"/>
        <v>0</v>
      </c>
      <c r="G31" s="2"/>
      <c r="H31" s="6">
        <v>8796.2382692307692</v>
      </c>
      <c r="I31" s="2"/>
      <c r="J31" s="7">
        <f t="shared" si="9"/>
        <v>0</v>
      </c>
      <c r="K31" s="2"/>
      <c r="L31" s="6">
        <f t="shared" si="10"/>
        <v>-3139.518269230769</v>
      </c>
      <c r="M31" s="2"/>
      <c r="N31" s="7">
        <f t="shared" si="11"/>
        <v>-0.35691601036011039</v>
      </c>
      <c r="O31" s="11"/>
      <c r="P31" s="6">
        <v>48655.55</v>
      </c>
      <c r="Q31" s="2"/>
      <c r="R31" s="7">
        <f t="shared" si="12"/>
        <v>0</v>
      </c>
      <c r="S31" s="2"/>
      <c r="T31" s="6">
        <v>57175.548750000082</v>
      </c>
      <c r="U31" s="2"/>
      <c r="V31" s="7">
        <f t="shared" si="13"/>
        <v>0</v>
      </c>
      <c r="W31" s="2"/>
      <c r="X31" s="6">
        <f t="shared" si="14"/>
        <v>-8519.9987500000789</v>
      </c>
      <c r="Y31" s="2"/>
      <c r="Z31" s="7">
        <f t="shared" si="15"/>
        <v>-0.14901472633439425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35571.356940000005</v>
      </c>
      <c r="U33" s="2"/>
      <c r="V33" s="7">
        <f t="shared" si="13"/>
        <v>0</v>
      </c>
      <c r="W33" s="2"/>
      <c r="X33" s="6">
        <f t="shared" si="14"/>
        <v>-37218.366940000007</v>
      </c>
      <c r="Y33" s="2"/>
      <c r="Z33" s="7">
        <f t="shared" si="15"/>
        <v>-1.0463015791828829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4799.04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4799.04</v>
      </c>
      <c r="M34" s="2"/>
      <c r="N34" s="7">
        <f t="shared" si="11"/>
        <v>0</v>
      </c>
      <c r="O34" s="11"/>
      <c r="P34" s="6">
        <v>42737.100000000006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42737.100000000006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>
        <v>672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672</v>
      </c>
      <c r="M35" s="2"/>
      <c r="N35" s="7">
        <f t="shared" si="11"/>
        <v>0</v>
      </c>
      <c r="O35" s="11"/>
      <c r="P35" s="6">
        <v>11273.01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11273.01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8342.83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8342.83</v>
      </c>
      <c r="M36" s="2"/>
      <c r="N36" s="7">
        <f t="shared" si="11"/>
        <v>0</v>
      </c>
      <c r="O36" s="11"/>
      <c r="P36" s="6">
        <v>108082.93000000001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90622.930000000008</v>
      </c>
      <c r="Y36" s="2"/>
      <c r="Z36" s="7">
        <f t="shared" si="15"/>
        <v>5.1903167239404358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20800</v>
      </c>
      <c r="I37" s="2"/>
      <c r="J37" s="7">
        <f t="shared" si="9"/>
        <v>0</v>
      </c>
      <c r="K37" s="2"/>
      <c r="L37" s="6">
        <f t="shared" si="10"/>
        <v>-20800</v>
      </c>
      <c r="M37" s="2"/>
      <c r="N37" s="7">
        <f t="shared" si="11"/>
        <v>-1</v>
      </c>
      <c r="O37" s="11"/>
      <c r="P37" s="6">
        <v>552</v>
      </c>
      <c r="Q37" s="2"/>
      <c r="R37" s="7">
        <f t="shared" si="12"/>
        <v>0</v>
      </c>
      <c r="S37" s="2"/>
      <c r="T37" s="6">
        <v>113280</v>
      </c>
      <c r="U37" s="2"/>
      <c r="V37" s="7">
        <f t="shared" si="13"/>
        <v>0</v>
      </c>
      <c r="W37" s="2"/>
      <c r="X37" s="6">
        <f t="shared" si="14"/>
        <v>-112728</v>
      </c>
      <c r="Y37" s="2"/>
      <c r="Z37" s="7">
        <f t="shared" si="15"/>
        <v>-0.99512711864406778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82.84</v>
      </c>
      <c r="E40" s="1"/>
      <c r="F40" s="5">
        <f t="shared" ref="F40:F44" si="16">IF(D$12=0,0,D40/D$12)</f>
        <v>0</v>
      </c>
      <c r="G40" s="1"/>
      <c r="H40" s="1">
        <f>SUM(OSRRefH22_2x_0)</f>
        <v>2200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-2117.16</v>
      </c>
      <c r="M40" s="1"/>
      <c r="N40" s="5">
        <f t="shared" ref="N40:N44" si="19">IF(H40=0,0,L40/H40)</f>
        <v>-0.9623454545454545</v>
      </c>
      <c r="O40" s="13"/>
      <c r="P40" s="1">
        <f>SUM(OSRRefP22_2x_0)</f>
        <v>17284.54</v>
      </c>
      <c r="Q40" s="1"/>
      <c r="R40" s="5">
        <f t="shared" ref="R40:R44" si="20">IF(P$12=0,0,P40/P$12)</f>
        <v>0</v>
      </c>
      <c r="S40" s="1"/>
      <c r="T40" s="1">
        <f>SUM(OSRRefT22_2x_0)</f>
        <v>26200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-8915.4599999999991</v>
      </c>
      <c r="Y40" s="1"/>
      <c r="Z40" s="5">
        <f t="shared" ref="Z40:Z44" si="23">IF(T40=0,0,X40/T40)</f>
        <v>-0.34028473282442745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>
        <v>82.84</v>
      </c>
      <c r="E41" s="2"/>
      <c r="F41" s="7">
        <f t="shared" si="16"/>
        <v>0</v>
      </c>
      <c r="G41" s="2"/>
      <c r="H41" s="6">
        <v>2200</v>
      </c>
      <c r="I41" s="2"/>
      <c r="J41" s="7">
        <f t="shared" si="17"/>
        <v>0</v>
      </c>
      <c r="K41" s="2"/>
      <c r="L41" s="6">
        <f t="shared" si="18"/>
        <v>-2117.16</v>
      </c>
      <c r="M41" s="2"/>
      <c r="N41" s="7">
        <f t="shared" si="19"/>
        <v>-0.9623454545454545</v>
      </c>
      <c r="O41" s="11"/>
      <c r="P41" s="6">
        <v>17284.54</v>
      </c>
      <c r="Q41" s="2"/>
      <c r="R41" s="7">
        <f t="shared" si="20"/>
        <v>0</v>
      </c>
      <c r="S41" s="2"/>
      <c r="T41" s="6">
        <v>26200</v>
      </c>
      <c r="U41" s="2"/>
      <c r="V41" s="7">
        <f t="shared" si="21"/>
        <v>0</v>
      </c>
      <c r="W41" s="2"/>
      <c r="X41" s="6">
        <f t="shared" si="22"/>
        <v>-8915.4599999999991</v>
      </c>
      <c r="Y41" s="2"/>
      <c r="Z41" s="7">
        <f t="shared" si="23"/>
        <v>-0.34028473282442745</v>
      </c>
    </row>
    <row r="42" spans="1:26" s="25" customFormat="1" outlineLevel="1" collapsed="1" x14ac:dyDescent="0.25">
      <c r="A42" s="27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58.52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-66.47999999999999</v>
      </c>
      <c r="M42" s="1"/>
      <c r="N42" s="5">
        <f t="shared" si="19"/>
        <v>-0.53183999999999987</v>
      </c>
      <c r="O42" s="13"/>
      <c r="P42" s="1">
        <f>SUM(OSRRefP22_3x_0)</f>
        <v>151.06</v>
      </c>
      <c r="Q42" s="1"/>
      <c r="R42" s="5">
        <f t="shared" si="20"/>
        <v>0</v>
      </c>
      <c r="S42" s="1"/>
      <c r="T42" s="1">
        <f>SUM(OSRRefT22_3x_0)</f>
        <v>750</v>
      </c>
      <c r="U42" s="1"/>
      <c r="V42" s="5">
        <f t="shared" si="21"/>
        <v>0</v>
      </c>
      <c r="W42" s="1"/>
      <c r="X42" s="1">
        <f t="shared" si="22"/>
        <v>-598.94000000000005</v>
      </c>
      <c r="Y42" s="1"/>
      <c r="Z42" s="5">
        <f t="shared" si="23"/>
        <v>-0.79858666666666678</v>
      </c>
    </row>
    <row r="43" spans="1:26" s="24" customFormat="1" hidden="1" outlineLevel="2" x14ac:dyDescent="0.25">
      <c r="A43" s="26"/>
      <c r="B43" s="11" t="str">
        <f>CONCATENATE("          ", "6272", " - ", "CASH (OVER/SHORT)")</f>
        <v xml:space="preserve">          6272 - CASH (OVER/SHORT)</v>
      </c>
      <c r="C43" s="11"/>
      <c r="D43" s="6">
        <v>58.52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-66.47999999999999</v>
      </c>
      <c r="M43" s="2"/>
      <c r="N43" s="7">
        <f t="shared" si="19"/>
        <v>-0.53183999999999987</v>
      </c>
      <c r="O43" s="11"/>
      <c r="P43" s="6">
        <v>106.26</v>
      </c>
      <c r="Q43" s="2"/>
      <c r="R43" s="7">
        <f t="shared" si="20"/>
        <v>0</v>
      </c>
      <c r="S43" s="2"/>
      <c r="T43" s="6">
        <v>750</v>
      </c>
      <c r="U43" s="2"/>
      <c r="V43" s="7">
        <f t="shared" si="21"/>
        <v>0</v>
      </c>
      <c r="W43" s="2"/>
      <c r="X43" s="6">
        <f t="shared" si="22"/>
        <v>-643.74</v>
      </c>
      <c r="Y43" s="2"/>
      <c r="Z43" s="7">
        <f t="shared" si="23"/>
        <v>-0.85831999999999997</v>
      </c>
    </row>
    <row r="44" spans="1:26" s="24" customFormat="1" hidden="1" outlineLevel="2" x14ac:dyDescent="0.25">
      <c r="A44" s="26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8100.96</v>
      </c>
      <c r="E45" s="1"/>
      <c r="F45" s="5">
        <f t="shared" ref="F45:F51" si="24">IF(D$12=0,0,D45/D$12)</f>
        <v>0</v>
      </c>
      <c r="G45" s="1"/>
      <c r="H45" s="1">
        <f>SUM(OSRRefH22_4x_0)</f>
        <v>28000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-19899.04</v>
      </c>
      <c r="M45" s="1"/>
      <c r="N45" s="5">
        <f t="shared" ref="N45:N51" si="27">IF(H45=0,0,L45/H45)</f>
        <v>-0.71067999999999998</v>
      </c>
      <c r="O45" s="13"/>
      <c r="P45" s="1">
        <f>SUM(OSRRefP22_4x_0)</f>
        <v>86983.709999999992</v>
      </c>
      <c r="Q45" s="1"/>
      <c r="R45" s="5">
        <f t="shared" ref="R45:R51" si="28">IF(P$12=0,0,P45/P$12)</f>
        <v>0</v>
      </c>
      <c r="S45" s="1"/>
      <c r="T45" s="1">
        <f>SUM(OSRRefT22_4x_0)</f>
        <v>108400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-21416.290000000008</v>
      </c>
      <c r="Y45" s="1"/>
      <c r="Z45" s="5">
        <f t="shared" ref="Z45:Z51" si="31">IF(T45=0,0,X45/T45)</f>
        <v>-0.19756725092250929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8100.96</v>
      </c>
      <c r="E46" s="2"/>
      <c r="F46" s="7">
        <f t="shared" si="24"/>
        <v>0</v>
      </c>
      <c r="G46" s="2"/>
      <c r="H46" s="6">
        <v>28000</v>
      </c>
      <c r="I46" s="2"/>
      <c r="J46" s="7">
        <f t="shared" si="25"/>
        <v>0</v>
      </c>
      <c r="K46" s="2"/>
      <c r="L46" s="6">
        <f t="shared" si="26"/>
        <v>-19899.04</v>
      </c>
      <c r="M46" s="2"/>
      <c r="N46" s="7">
        <f t="shared" si="27"/>
        <v>-0.71067999999999998</v>
      </c>
      <c r="O46" s="11"/>
      <c r="P46" s="6">
        <v>86983.709999999992</v>
      </c>
      <c r="Q46" s="2"/>
      <c r="R46" s="7">
        <f t="shared" si="28"/>
        <v>0</v>
      </c>
      <c r="S46" s="2"/>
      <c r="T46" s="6">
        <v>108400</v>
      </c>
      <c r="U46" s="2"/>
      <c r="V46" s="7">
        <f t="shared" si="29"/>
        <v>0</v>
      </c>
      <c r="W46" s="2"/>
      <c r="X46" s="6">
        <f t="shared" si="30"/>
        <v>-21416.290000000008</v>
      </c>
      <c r="Y46" s="2"/>
      <c r="Z46" s="7">
        <f t="shared" si="31"/>
        <v>-0.19756725092250929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29607.43</v>
      </c>
      <c r="E47" s="1"/>
      <c r="F47" s="5">
        <f t="shared" si="24"/>
        <v>0</v>
      </c>
      <c r="G47" s="1"/>
      <c r="H47" s="1">
        <f>SUM(OSRRefH22_5x_0)</f>
        <v>30479</v>
      </c>
      <c r="I47" s="1"/>
      <c r="J47" s="5">
        <f t="shared" si="25"/>
        <v>0</v>
      </c>
      <c r="K47" s="1"/>
      <c r="L47" s="1">
        <f t="shared" si="26"/>
        <v>-871.56999999999971</v>
      </c>
      <c r="M47" s="1"/>
      <c r="N47" s="5">
        <f t="shared" si="27"/>
        <v>-2.8595754453886273E-2</v>
      </c>
      <c r="O47" s="13"/>
      <c r="P47" s="1">
        <f>SUM(OSRRefP22_5x_0)</f>
        <v>177644.58</v>
      </c>
      <c r="Q47" s="1"/>
      <c r="R47" s="5">
        <f t="shared" si="28"/>
        <v>0</v>
      </c>
      <c r="S47" s="1"/>
      <c r="T47" s="1">
        <f>SUM(OSRRefT22_5x_0)</f>
        <v>182043</v>
      </c>
      <c r="U47" s="1"/>
      <c r="V47" s="5">
        <f t="shared" si="29"/>
        <v>0</v>
      </c>
      <c r="W47" s="1"/>
      <c r="X47" s="1">
        <f t="shared" si="30"/>
        <v>-4398.4200000000128</v>
      </c>
      <c r="Y47" s="1"/>
      <c r="Z47" s="5">
        <f t="shared" si="31"/>
        <v>-2.4161434386381311E-2</v>
      </c>
    </row>
    <row r="48" spans="1:26" s="24" customFormat="1" hidden="1" outlineLevel="2" x14ac:dyDescent="0.25">
      <c r="A48" s="26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98379.12</v>
      </c>
      <c r="Q48" s="2"/>
      <c r="R48" s="7">
        <f t="shared" si="28"/>
        <v>0</v>
      </c>
      <c r="S48" s="2"/>
      <c r="T48" s="6">
        <v>98550</v>
      </c>
      <c r="U48" s="2"/>
      <c r="V48" s="7">
        <f t="shared" si="29"/>
        <v>0</v>
      </c>
      <c r="W48" s="2"/>
      <c r="X48" s="6">
        <f t="shared" si="30"/>
        <v>-170.88000000000466</v>
      </c>
      <c r="Y48" s="2"/>
      <c r="Z48" s="7">
        <f t="shared" si="31"/>
        <v>-1.7339421613394689E-3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13210.91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161.90999999999985</v>
      </c>
      <c r="M49" s="2"/>
      <c r="N49" s="7">
        <f t="shared" si="27"/>
        <v>1.2407847344624098E-2</v>
      </c>
      <c r="O49" s="11"/>
      <c r="P49" s="6">
        <v>79265.459999999992</v>
      </c>
      <c r="Q49" s="2"/>
      <c r="R49" s="7">
        <f t="shared" si="28"/>
        <v>0</v>
      </c>
      <c r="S49" s="2"/>
      <c r="T49" s="6">
        <v>78294</v>
      </c>
      <c r="U49" s="2"/>
      <c r="V49" s="7">
        <f t="shared" si="29"/>
        <v>0</v>
      </c>
      <c r="W49" s="2"/>
      <c r="X49" s="6">
        <f t="shared" si="30"/>
        <v>971.45999999999185</v>
      </c>
      <c r="Y49" s="2"/>
      <c r="Z49" s="7">
        <f t="shared" si="31"/>
        <v>1.2407847344624004E-2</v>
      </c>
    </row>
    <row r="50" spans="1:26" s="24" customFormat="1" hidden="1" outlineLevel="2" x14ac:dyDescent="0.25">
      <c r="A50" s="26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700</v>
      </c>
      <c r="I50" s="2"/>
      <c r="J50" s="7">
        <f t="shared" si="25"/>
        <v>0</v>
      </c>
      <c r="K50" s="2"/>
      <c r="L50" s="6">
        <f t="shared" si="26"/>
        <v>-700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4200</v>
      </c>
      <c r="U50" s="2"/>
      <c r="V50" s="7">
        <f t="shared" si="29"/>
        <v>0</v>
      </c>
      <c r="W50" s="2"/>
      <c r="X50" s="6">
        <f t="shared" si="30"/>
        <v>-4200</v>
      </c>
      <c r="Y50" s="2"/>
      <c r="Z50" s="7">
        <f t="shared" si="31"/>
        <v>-1</v>
      </c>
    </row>
    <row r="51" spans="1:26" s="24" customFormat="1" hidden="1" outlineLevel="2" x14ac:dyDescent="0.25">
      <c r="A51" s="26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999</v>
      </c>
      <c r="U51" s="2"/>
      <c r="V51" s="7">
        <f t="shared" si="29"/>
        <v>0</v>
      </c>
      <c r="W51" s="2"/>
      <c r="X51" s="6">
        <f t="shared" si="30"/>
        <v>-999</v>
      </c>
      <c r="Y51" s="2"/>
      <c r="Z51" s="7">
        <f t="shared" si="31"/>
        <v>-1</v>
      </c>
    </row>
    <row r="52" spans="1:26" s="25" customFormat="1" outlineLevel="1" collapsed="1" x14ac:dyDescent="0.25">
      <c r="A52" s="27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-102.33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297.67</v>
      </c>
      <c r="M52" s="1"/>
      <c r="N52" s="5">
        <f t="shared" ref="N52:N54" si="35">IF(H52=0,0,L52/H52)</f>
        <v>-0.74417500000000003</v>
      </c>
      <c r="O52" s="13"/>
      <c r="P52" s="1">
        <f>SUM(OSRRefP22_6x_0)</f>
        <v>-1692.08</v>
      </c>
      <c r="Q52" s="1"/>
      <c r="R52" s="5">
        <f t="shared" ref="R52:R54" si="36">IF(P$12=0,0,P52/P$12)</f>
        <v>0</v>
      </c>
      <c r="S52" s="1"/>
      <c r="T52" s="1">
        <f>SUM(OSRRefT22_6x_0)</f>
        <v>-2400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707.92000000000007</v>
      </c>
      <c r="Y52" s="1"/>
      <c r="Z52" s="5">
        <f t="shared" ref="Z52:Z54" si="39">IF(T52=0,0,X52/T52)</f>
        <v>-0.29496666666666671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6">
        <v>7</v>
      </c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407</v>
      </c>
      <c r="M53" s="2"/>
      <c r="N53" s="7">
        <f t="shared" si="35"/>
        <v>-1.0175000000000001</v>
      </c>
      <c r="O53" s="11"/>
      <c r="P53" s="6">
        <v>341.4</v>
      </c>
      <c r="Q53" s="2"/>
      <c r="R53" s="7">
        <f t="shared" si="36"/>
        <v>0</v>
      </c>
      <c r="S53" s="2"/>
      <c r="T53" s="6">
        <v>-2400</v>
      </c>
      <c r="U53" s="2"/>
      <c r="V53" s="7">
        <f t="shared" si="37"/>
        <v>0</v>
      </c>
      <c r="W53" s="2"/>
      <c r="X53" s="6">
        <f t="shared" si="38"/>
        <v>2741.4</v>
      </c>
      <c r="Y53" s="2"/>
      <c r="Z53" s="7">
        <f t="shared" si="39"/>
        <v>-1.14225</v>
      </c>
    </row>
    <row r="54" spans="1:26" s="24" customFormat="1" hidden="1" outlineLevel="2" x14ac:dyDescent="0.25">
      <c r="A54" s="26"/>
      <c r="B54" s="11" t="str">
        <f>CONCATENATE("          ", "9175", " - ", "EARNED DISCOUNTS")</f>
        <v xml:space="preserve">          9175 - EARNED DISCOUNTS</v>
      </c>
      <c r="C54" s="11"/>
      <c r="D54" s="6">
        <v>-109.33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-109.33</v>
      </c>
      <c r="M54" s="2"/>
      <c r="N54" s="7">
        <f t="shared" si="35"/>
        <v>0</v>
      </c>
      <c r="O54" s="11"/>
      <c r="P54" s="6">
        <v>-2033.48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-2033.48</v>
      </c>
      <c r="Y54" s="2"/>
      <c r="Z54" s="7">
        <f t="shared" si="39"/>
        <v>0</v>
      </c>
    </row>
    <row r="55" spans="1:26" s="25" customFormat="1" outlineLevel="1" collapsed="1" x14ac:dyDescent="0.25">
      <c r="A55" s="27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150.84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-849.16</v>
      </c>
      <c r="M55" s="1"/>
      <c r="N55" s="5">
        <f t="shared" ref="N55:N57" si="43">IF(H55=0,0,L55/H55)</f>
        <v>-0.84915999999999991</v>
      </c>
      <c r="O55" s="13"/>
      <c r="P55" s="1">
        <f>SUM(OSRRefP22_7x_0)</f>
        <v>9798.2199999999993</v>
      </c>
      <c r="Q55" s="1"/>
      <c r="R55" s="5">
        <f t="shared" ref="R55:R57" si="44">IF(P$12=0,0,P55/P$12)</f>
        <v>0</v>
      </c>
      <c r="S55" s="1"/>
      <c r="T55" s="1">
        <f>SUM(OSRRefT22_7x_0)</f>
        <v>6000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3798.2199999999993</v>
      </c>
      <c r="Y55" s="1"/>
      <c r="Z55" s="5">
        <f t="shared" ref="Z55:Z57" si="47">IF(T55=0,0,X55/T55)</f>
        <v>0.63303666666666658</v>
      </c>
    </row>
    <row r="56" spans="1:26" s="24" customFormat="1" hidden="1" outlineLevel="2" x14ac:dyDescent="0.25">
      <c r="A56" s="26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6000</v>
      </c>
      <c r="U56" s="2"/>
      <c r="V56" s="7">
        <f t="shared" si="45"/>
        <v>0</v>
      </c>
      <c r="W56" s="2"/>
      <c r="X56" s="6">
        <f t="shared" si="46"/>
        <v>-6000</v>
      </c>
      <c r="Y56" s="2"/>
      <c r="Z56" s="7">
        <f t="shared" si="47"/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6">
        <v>150.84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150.84</v>
      </c>
      <c r="M57" s="2"/>
      <c r="N57" s="7">
        <f t="shared" si="43"/>
        <v>0</v>
      </c>
      <c r="O57" s="11"/>
      <c r="P57" s="6">
        <v>9798.2199999999993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9798.2199999999993</v>
      </c>
      <c r="Y57" s="2"/>
      <c r="Z57" s="7">
        <f t="shared" si="47"/>
        <v>0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152.4</v>
      </c>
      <c r="E58" s="1"/>
      <c r="F58" s="5">
        <f t="shared" ref="F58:F75" si="48">IF(D$12=0,0,D58/D$12)</f>
        <v>0</v>
      </c>
      <c r="G58" s="1"/>
      <c r="H58" s="1">
        <f>SUM(OSRRefH22_8x_0)</f>
        <v>200</v>
      </c>
      <c r="I58" s="1"/>
      <c r="J58" s="5">
        <f t="shared" ref="J58:J75" si="49">IF(H$12=0,0,H58/H$12)</f>
        <v>0</v>
      </c>
      <c r="K58" s="1"/>
      <c r="L58" s="1">
        <f t="shared" ref="L58:L75" si="50">+D58-H58</f>
        <v>-47.599999999999994</v>
      </c>
      <c r="M58" s="1"/>
      <c r="N58" s="5">
        <f t="shared" ref="N58:N75" si="51">IF(H58=0,0,L58/H58)</f>
        <v>-0.23799999999999996</v>
      </c>
      <c r="O58" s="13"/>
      <c r="P58" s="1">
        <f>SUM(OSRRefP22_8x_0)</f>
        <v>825.75</v>
      </c>
      <c r="Q58" s="1"/>
      <c r="R58" s="5">
        <f t="shared" ref="R58:R75" si="52">IF(P$12=0,0,P58/P$12)</f>
        <v>0</v>
      </c>
      <c r="S58" s="1"/>
      <c r="T58" s="1">
        <f>SUM(OSRRefT22_8x_0)</f>
        <v>1200</v>
      </c>
      <c r="U58" s="1"/>
      <c r="V58" s="5">
        <f t="shared" ref="V58:V75" si="53">IF(T$12=0,0,T58/T$12)</f>
        <v>0</v>
      </c>
      <c r="W58" s="1"/>
      <c r="X58" s="1">
        <f t="shared" ref="X58:X75" si="54">+P58-T58</f>
        <v>-374.25</v>
      </c>
      <c r="Y58" s="1"/>
      <c r="Z58" s="5">
        <f t="shared" ref="Z58:Z75" si="55">IF(T58=0,0,X58/T58)</f>
        <v>-0.31187500000000001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152.4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-47.599999999999994</v>
      </c>
      <c r="M59" s="2"/>
      <c r="N59" s="7">
        <f t="shared" si="51"/>
        <v>-0.23799999999999996</v>
      </c>
      <c r="O59" s="11"/>
      <c r="P59" s="6">
        <v>825.75</v>
      </c>
      <c r="Q59" s="2"/>
      <c r="R59" s="7">
        <f t="shared" si="52"/>
        <v>0</v>
      </c>
      <c r="S59" s="2"/>
      <c r="T59" s="6">
        <v>1200</v>
      </c>
      <c r="U59" s="2"/>
      <c r="V59" s="7">
        <f t="shared" si="53"/>
        <v>0</v>
      </c>
      <c r="W59" s="2"/>
      <c r="X59" s="6">
        <f t="shared" si="54"/>
        <v>-374.25</v>
      </c>
      <c r="Y59" s="2"/>
      <c r="Z59" s="7">
        <f t="shared" si="55"/>
        <v>-0.31187500000000001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-30</v>
      </c>
      <c r="M60" s="1"/>
      <c r="N60" s="5">
        <f t="shared" si="51"/>
        <v>-1</v>
      </c>
      <c r="O60" s="13"/>
      <c r="P60" s="1">
        <f>SUM(OSRRefP22_9x_0)</f>
        <v>14.39</v>
      </c>
      <c r="Q60" s="1"/>
      <c r="R60" s="5">
        <f t="shared" si="52"/>
        <v>0</v>
      </c>
      <c r="S60" s="1"/>
      <c r="T60" s="1">
        <f>SUM(OSRRefT22_9x_0)</f>
        <v>180</v>
      </c>
      <c r="U60" s="1"/>
      <c r="V60" s="5">
        <f t="shared" si="53"/>
        <v>0</v>
      </c>
      <c r="W60" s="1"/>
      <c r="X60" s="1">
        <f t="shared" si="54"/>
        <v>-165.61</v>
      </c>
      <c r="Y60" s="1"/>
      <c r="Z60" s="5">
        <f t="shared" si="55"/>
        <v>-0.92005555555555563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-30</v>
      </c>
      <c r="M61" s="2"/>
      <c r="N61" s="7">
        <f t="shared" si="51"/>
        <v>-1</v>
      </c>
      <c r="O61" s="11"/>
      <c r="P61" s="6">
        <v>14.39</v>
      </c>
      <c r="Q61" s="2"/>
      <c r="R61" s="7">
        <f t="shared" si="52"/>
        <v>0</v>
      </c>
      <c r="S61" s="2"/>
      <c r="T61" s="6">
        <v>180</v>
      </c>
      <c r="U61" s="2"/>
      <c r="V61" s="7">
        <f t="shared" si="53"/>
        <v>0</v>
      </c>
      <c r="W61" s="2"/>
      <c r="X61" s="6">
        <f t="shared" si="54"/>
        <v>-165.61</v>
      </c>
      <c r="Y61" s="2"/>
      <c r="Z61" s="7">
        <f t="shared" si="55"/>
        <v>-0.92005555555555563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1710.22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1610.22</v>
      </c>
      <c r="M62" s="1"/>
      <c r="N62" s="5">
        <f t="shared" si="51"/>
        <v>16.1022</v>
      </c>
      <c r="O62" s="13"/>
      <c r="P62" s="1">
        <f>SUM(OSRRefP22_10x_0)</f>
        <v>-11970.76</v>
      </c>
      <c r="Q62" s="1"/>
      <c r="R62" s="5">
        <f t="shared" si="52"/>
        <v>0</v>
      </c>
      <c r="S62" s="1"/>
      <c r="T62" s="1">
        <f>SUM(OSRRefT22_10x_0)</f>
        <v>600</v>
      </c>
      <c r="U62" s="1"/>
      <c r="V62" s="5">
        <f t="shared" si="53"/>
        <v>0</v>
      </c>
      <c r="W62" s="1"/>
      <c r="X62" s="1">
        <f t="shared" si="54"/>
        <v>-12570.76</v>
      </c>
      <c r="Y62" s="1"/>
      <c r="Z62" s="5">
        <f t="shared" si="55"/>
        <v>-20.951266666666665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1710.22</v>
      </c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1610.22</v>
      </c>
      <c r="M63" s="2"/>
      <c r="N63" s="7">
        <f t="shared" si="51"/>
        <v>16.1022</v>
      </c>
      <c r="O63" s="11"/>
      <c r="P63" s="6">
        <v>-11970.76</v>
      </c>
      <c r="Q63" s="2"/>
      <c r="R63" s="7">
        <f t="shared" si="52"/>
        <v>0</v>
      </c>
      <c r="S63" s="2"/>
      <c r="T63" s="6">
        <v>600</v>
      </c>
      <c r="U63" s="2"/>
      <c r="V63" s="7">
        <f t="shared" si="53"/>
        <v>0</v>
      </c>
      <c r="W63" s="2"/>
      <c r="X63" s="6">
        <f t="shared" si="54"/>
        <v>-12570.76</v>
      </c>
      <c r="Y63" s="2"/>
      <c r="Z63" s="7">
        <f t="shared" si="55"/>
        <v>-20.951266666666665</v>
      </c>
    </row>
    <row r="64" spans="1:26" s="25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23301.360000000001</v>
      </c>
      <c r="Q64" s="1"/>
      <c r="R64" s="5">
        <f t="shared" si="52"/>
        <v>0</v>
      </c>
      <c r="S64" s="1"/>
      <c r="T64" s="1">
        <f>SUM(OSRRefT22_11x_0)</f>
        <v>21960</v>
      </c>
      <c r="U64" s="1"/>
      <c r="V64" s="5">
        <f t="shared" si="53"/>
        <v>0</v>
      </c>
      <c r="W64" s="1"/>
      <c r="X64" s="1">
        <f t="shared" si="54"/>
        <v>1341.3600000000006</v>
      </c>
      <c r="Y64" s="1"/>
      <c r="Z64" s="5">
        <f t="shared" si="55"/>
        <v>6.1081967213114784E-2</v>
      </c>
    </row>
    <row r="65" spans="1:26" s="24" customFormat="1" hidden="1" outlineLevel="2" x14ac:dyDescent="0.25">
      <c r="A65" s="26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23301.360000000001</v>
      </c>
      <c r="Q65" s="2"/>
      <c r="R65" s="7">
        <f t="shared" si="52"/>
        <v>0</v>
      </c>
      <c r="S65" s="2"/>
      <c r="T65" s="6">
        <v>21960</v>
      </c>
      <c r="U65" s="2"/>
      <c r="V65" s="7">
        <f t="shared" si="53"/>
        <v>0</v>
      </c>
      <c r="W65" s="2"/>
      <c r="X65" s="6">
        <f t="shared" si="54"/>
        <v>1341.3600000000006</v>
      </c>
      <c r="Y65" s="2"/>
      <c r="Z65" s="7">
        <f t="shared" si="55"/>
        <v>6.1081967213114784E-2</v>
      </c>
    </row>
    <row r="66" spans="1:26" s="25" customFormat="1" outlineLevel="1" collapsed="1" x14ac:dyDescent="0.25">
      <c r="A66" s="27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6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5" customFormat="1" outlineLevel="1" collapsed="1" x14ac:dyDescent="0.25">
      <c r="A68" s="27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5400</v>
      </c>
      <c r="U68" s="1"/>
      <c r="V68" s="5">
        <f t="shared" si="53"/>
        <v>0</v>
      </c>
      <c r="W68" s="1"/>
      <c r="X68" s="1">
        <f t="shared" si="54"/>
        <v>-741.59000000000015</v>
      </c>
      <c r="Y68" s="1"/>
      <c r="Z68" s="5">
        <f t="shared" si="55"/>
        <v>-0.1373314814814815</v>
      </c>
    </row>
    <row r="69" spans="1:26" s="24" customFormat="1" hidden="1" outlineLevel="2" x14ac:dyDescent="0.25">
      <c r="A69" s="26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5400</v>
      </c>
      <c r="U69" s="2"/>
      <c r="V69" s="7">
        <f t="shared" si="53"/>
        <v>0</v>
      </c>
      <c r="W69" s="2"/>
      <c r="X69" s="6">
        <f t="shared" si="54"/>
        <v>-741.59000000000015</v>
      </c>
      <c r="Y69" s="2"/>
      <c r="Z69" s="7">
        <f t="shared" si="55"/>
        <v>-0.1373314814814815</v>
      </c>
    </row>
    <row r="70" spans="1:26" s="25" customFormat="1" outlineLevel="1" collapsed="1" x14ac:dyDescent="0.25">
      <c r="A70" s="27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-4800</v>
      </c>
      <c r="Q70" s="1"/>
      <c r="R70" s="5">
        <f t="shared" si="52"/>
        <v>0</v>
      </c>
      <c r="S70" s="1"/>
      <c r="T70" s="1">
        <f>SUM(OSRRefT22_14x_0)</f>
        <v>-4800</v>
      </c>
      <c r="U70" s="1"/>
      <c r="V70" s="5">
        <f t="shared" si="53"/>
        <v>0</v>
      </c>
      <c r="W70" s="1"/>
      <c r="X70" s="1">
        <f t="shared" si="54"/>
        <v>0</v>
      </c>
      <c r="Y70" s="1"/>
      <c r="Z70" s="5">
        <f t="shared" si="55"/>
        <v>0</v>
      </c>
    </row>
    <row r="71" spans="1:26" s="24" customFormat="1" hidden="1" outlineLevel="2" x14ac:dyDescent="0.25">
      <c r="A71" s="26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-4800</v>
      </c>
      <c r="Q71" s="2"/>
      <c r="R71" s="7">
        <f t="shared" si="52"/>
        <v>0</v>
      </c>
      <c r="S71" s="2"/>
      <c r="T71" s="6">
        <v>-4800</v>
      </c>
      <c r="U71" s="2"/>
      <c r="V71" s="7">
        <f t="shared" si="53"/>
        <v>0</v>
      </c>
      <c r="W71" s="2"/>
      <c r="X71" s="6">
        <f t="shared" si="54"/>
        <v>0</v>
      </c>
      <c r="Y71" s="2"/>
      <c r="Z71" s="7">
        <f t="shared" si="55"/>
        <v>0</v>
      </c>
    </row>
    <row r="72" spans="1:26" s="25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4621.57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-2378.4300000000003</v>
      </c>
      <c r="M72" s="1"/>
      <c r="N72" s="5">
        <f t="shared" si="51"/>
        <v>-0.33977571428571435</v>
      </c>
      <c r="O72" s="13"/>
      <c r="P72" s="1">
        <f>SUM(OSRRefP22_15x_0)</f>
        <v>44838.68</v>
      </c>
      <c r="Q72" s="1"/>
      <c r="R72" s="5">
        <f t="shared" si="52"/>
        <v>0</v>
      </c>
      <c r="S72" s="1"/>
      <c r="T72" s="1">
        <f>SUM(OSRRefT22_15x_0)</f>
        <v>84285</v>
      </c>
      <c r="U72" s="1"/>
      <c r="V72" s="5">
        <f t="shared" si="53"/>
        <v>0</v>
      </c>
      <c r="W72" s="1"/>
      <c r="X72" s="1">
        <f t="shared" si="54"/>
        <v>-39446.32</v>
      </c>
      <c r="Y72" s="1"/>
      <c r="Z72" s="5">
        <f t="shared" si="55"/>
        <v>-0.46801115263688675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601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601</v>
      </c>
      <c r="M73" s="2"/>
      <c r="N73" s="7">
        <f t="shared" si="51"/>
        <v>0</v>
      </c>
      <c r="O73" s="11"/>
      <c r="P73" s="6">
        <v>13953.4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-34581.599999999999</v>
      </c>
      <c r="Y73" s="2"/>
      <c r="Z73" s="7">
        <f t="shared" si="55"/>
        <v>-0.71250849902132474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6">
        <v>1022.32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1022.32</v>
      </c>
      <c r="M74" s="2"/>
      <c r="N74" s="7">
        <f t="shared" si="51"/>
        <v>0</v>
      </c>
      <c r="O74" s="11"/>
      <c r="P74" s="6">
        <v>3136.37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3136.37</v>
      </c>
      <c r="Y74" s="2"/>
      <c r="Z74" s="7">
        <f t="shared" si="55"/>
        <v>0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2998.25</v>
      </c>
      <c r="E75" s="2"/>
      <c r="F75" s="7">
        <f t="shared" si="48"/>
        <v>0</v>
      </c>
      <c r="G75" s="2"/>
      <c r="H75" s="6">
        <v>7000</v>
      </c>
      <c r="I75" s="2"/>
      <c r="J75" s="7">
        <f t="shared" si="49"/>
        <v>0</v>
      </c>
      <c r="K75" s="2"/>
      <c r="L75" s="6">
        <f t="shared" si="50"/>
        <v>-4001.75</v>
      </c>
      <c r="M75" s="2"/>
      <c r="N75" s="7">
        <f t="shared" si="51"/>
        <v>-0.57167857142857148</v>
      </c>
      <c r="O75" s="11"/>
      <c r="P75" s="6">
        <v>27748.91</v>
      </c>
      <c r="Q75" s="2"/>
      <c r="R75" s="7">
        <f t="shared" si="52"/>
        <v>0</v>
      </c>
      <c r="S75" s="2"/>
      <c r="T75" s="6">
        <v>35750</v>
      </c>
      <c r="U75" s="2"/>
      <c r="V75" s="7">
        <f t="shared" si="53"/>
        <v>0</v>
      </c>
      <c r="W75" s="2"/>
      <c r="X75" s="6">
        <f t="shared" si="54"/>
        <v>-8001.09</v>
      </c>
      <c r="Y75" s="2"/>
      <c r="Z75" s="7">
        <f t="shared" si="55"/>
        <v>-0.22380671328671328</v>
      </c>
    </row>
    <row r="76" spans="1:26" s="25" customFormat="1" outlineLevel="1" collapsed="1" x14ac:dyDescent="0.25">
      <c r="A76" s="27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SUM(OSRRefD22_16x_0)</f>
        <v>4233.93</v>
      </c>
      <c r="E76" s="1"/>
      <c r="F76" s="5">
        <f t="shared" ref="F76:F79" si="56">IF(D$12=0,0,D76/D$12)</f>
        <v>0</v>
      </c>
      <c r="G76" s="1"/>
      <c r="H76" s="1">
        <f>SUM(OSRRefH22_16x_0)</f>
        <v>4100</v>
      </c>
      <c r="I76" s="1"/>
      <c r="J76" s="5">
        <f t="shared" ref="J76:J79" si="57">IF(H$12=0,0,H76/H$12)</f>
        <v>0</v>
      </c>
      <c r="K76" s="1"/>
      <c r="L76" s="1">
        <f t="shared" ref="L76:L79" si="58">+D76-H76</f>
        <v>133.93000000000029</v>
      </c>
      <c r="M76" s="1"/>
      <c r="N76" s="5">
        <f t="shared" ref="N76:N79" si="59">IF(H76=0,0,L76/H76)</f>
        <v>3.2665853658536657E-2</v>
      </c>
      <c r="O76" s="13"/>
      <c r="P76" s="1">
        <f>SUM(OSRRefP22_16x_0)</f>
        <v>24158.910000000003</v>
      </c>
      <c r="Q76" s="1"/>
      <c r="R76" s="5">
        <f t="shared" ref="R76:R79" si="60">IF(P$12=0,0,P76/P$12)</f>
        <v>0</v>
      </c>
      <c r="S76" s="1"/>
      <c r="T76" s="1">
        <f>SUM(OSRRefT22_16x_0)</f>
        <v>24600</v>
      </c>
      <c r="U76" s="1"/>
      <c r="V76" s="5">
        <f t="shared" ref="V76:V79" si="61">IF(T$12=0,0,T76/T$12)</f>
        <v>0</v>
      </c>
      <c r="W76" s="1"/>
      <c r="X76" s="1">
        <f t="shared" ref="X76:X79" si="62">+P76-T76</f>
        <v>-441.08999999999651</v>
      </c>
      <c r="Y76" s="1"/>
      <c r="Z76" s="5">
        <f t="shared" ref="Z76:Z79" si="63">IF(T76=0,0,X76/T76)</f>
        <v>-1.7930487804877906E-2</v>
      </c>
    </row>
    <row r="77" spans="1:26" s="24" customFormat="1" hidden="1" outlineLevel="2" x14ac:dyDescent="0.25">
      <c r="A77" s="26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222.5</v>
      </c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222.5</v>
      </c>
      <c r="M77" s="2"/>
      <c r="N77" s="7">
        <f t="shared" si="59"/>
        <v>0</v>
      </c>
      <c r="O77" s="11"/>
      <c r="P77" s="6">
        <v>1335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1335</v>
      </c>
      <c r="Y77" s="2"/>
      <c r="Z77" s="7">
        <f t="shared" si="63"/>
        <v>0</v>
      </c>
    </row>
    <row r="78" spans="1:26" s="24" customFormat="1" hidden="1" outlineLevel="2" x14ac:dyDescent="0.25">
      <c r="A78" s="26"/>
      <c r="B78" s="11" t="str">
        <f>CONCATENATE("          ", "6283", " - ", "PLANT SERVICE")</f>
        <v xml:space="preserve">          6283 - PLANT SERVICE</v>
      </c>
      <c r="C78" s="11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1"/>
      <c r="P78" s="6">
        <v>363.33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363.33</v>
      </c>
      <c r="Y78" s="2"/>
      <c r="Z78" s="7">
        <f t="shared" si="63"/>
        <v>0</v>
      </c>
    </row>
    <row r="79" spans="1:26" s="24" customFormat="1" hidden="1" outlineLevel="2" x14ac:dyDescent="0.25">
      <c r="A79" s="26"/>
      <c r="B79" s="11" t="str">
        <f>CONCATENATE("          ", "6285", " - ", "JANITORIAL SERVICES")</f>
        <v xml:space="preserve">          6285 - JANITORIAL SERVICES</v>
      </c>
      <c r="C79" s="11"/>
      <c r="D79" s="6">
        <v>4011.43</v>
      </c>
      <c r="E79" s="2"/>
      <c r="F79" s="7">
        <f t="shared" si="56"/>
        <v>0</v>
      </c>
      <c r="G79" s="2"/>
      <c r="H79" s="6">
        <v>4100</v>
      </c>
      <c r="I79" s="2"/>
      <c r="J79" s="7">
        <f t="shared" si="57"/>
        <v>0</v>
      </c>
      <c r="K79" s="2"/>
      <c r="L79" s="6">
        <f t="shared" si="58"/>
        <v>-88.570000000000164</v>
      </c>
      <c r="M79" s="2"/>
      <c r="N79" s="7">
        <f t="shared" si="59"/>
        <v>-2.1602439024390283E-2</v>
      </c>
      <c r="O79" s="11"/>
      <c r="P79" s="6">
        <v>22460.58</v>
      </c>
      <c r="Q79" s="2"/>
      <c r="R79" s="7">
        <f t="shared" si="60"/>
        <v>0</v>
      </c>
      <c r="S79" s="2"/>
      <c r="T79" s="6">
        <v>24600</v>
      </c>
      <c r="U79" s="2"/>
      <c r="V79" s="7">
        <f t="shared" si="61"/>
        <v>0</v>
      </c>
      <c r="W79" s="2"/>
      <c r="X79" s="6">
        <f t="shared" si="62"/>
        <v>-2139.4199999999983</v>
      </c>
      <c r="Y79" s="2"/>
      <c r="Z79" s="7">
        <f t="shared" si="63"/>
        <v>-8.6968292682926759E-2</v>
      </c>
    </row>
    <row r="80" spans="1:26" s="25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SUM(OSRRefD22_17x_0)</f>
        <v>0</v>
      </c>
      <c r="E80" s="1"/>
      <c r="F80" s="5">
        <f t="shared" ref="F80:F82" si="64">IF(D$12=0,0,D80/D$12)</f>
        <v>0</v>
      </c>
      <c r="G80" s="1"/>
      <c r="H80" s="1">
        <f>SUM(OSRRefH22_17x_0)</f>
        <v>3645</v>
      </c>
      <c r="I80" s="1"/>
      <c r="J80" s="5">
        <f t="shared" ref="J80:J82" si="65">IF(H$12=0,0,H80/H$12)</f>
        <v>0</v>
      </c>
      <c r="K80" s="1"/>
      <c r="L80" s="1">
        <f t="shared" ref="L80:L82" si="66">+D80-H80</f>
        <v>-3645</v>
      </c>
      <c r="M80" s="1"/>
      <c r="N80" s="5">
        <f t="shared" ref="N80:N82" si="67">IF(H80=0,0,L80/H80)</f>
        <v>-1</v>
      </c>
      <c r="O80" s="13"/>
      <c r="P80" s="1">
        <f>SUM(OSRRefP22_17x_0)</f>
        <v>405.3</v>
      </c>
      <c r="Q80" s="1"/>
      <c r="R80" s="5">
        <f t="shared" ref="R80:R82" si="68">IF(P$12=0,0,P80/P$12)</f>
        <v>0</v>
      </c>
      <c r="S80" s="1"/>
      <c r="T80" s="1">
        <f>SUM(OSRRefT22_17x_0)</f>
        <v>5445</v>
      </c>
      <c r="U80" s="1"/>
      <c r="V80" s="5">
        <f t="shared" ref="V80:V82" si="69">IF(T$12=0,0,T80/T$12)</f>
        <v>0</v>
      </c>
      <c r="W80" s="1"/>
      <c r="X80" s="1">
        <f t="shared" ref="X80:X82" si="70">+P80-T80</f>
        <v>-5039.7</v>
      </c>
      <c r="Y80" s="1"/>
      <c r="Z80" s="5">
        <f t="shared" ref="Z80:Z82" si="71">IF(T80=0,0,X80/T80)</f>
        <v>-0.92556473829201102</v>
      </c>
    </row>
    <row r="81" spans="1:26" s="24" customFormat="1" hidden="1" outlineLevel="2" x14ac:dyDescent="0.25">
      <c r="A81" s="26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64"/>
        <v>0</v>
      </c>
      <c r="G81" s="2"/>
      <c r="H81" s="6">
        <v>3645</v>
      </c>
      <c r="I81" s="2"/>
      <c r="J81" s="7">
        <f t="shared" si="65"/>
        <v>0</v>
      </c>
      <c r="K81" s="2"/>
      <c r="L81" s="6">
        <f t="shared" si="66"/>
        <v>-3645</v>
      </c>
      <c r="M81" s="2"/>
      <c r="N81" s="7">
        <f t="shared" si="67"/>
        <v>-1</v>
      </c>
      <c r="O81" s="11"/>
      <c r="P81" s="6"/>
      <c r="Q81" s="2"/>
      <c r="R81" s="7">
        <f t="shared" si="68"/>
        <v>0</v>
      </c>
      <c r="S81" s="2"/>
      <c r="T81" s="6">
        <v>5445</v>
      </c>
      <c r="U81" s="2"/>
      <c r="V81" s="7">
        <f t="shared" si="69"/>
        <v>0</v>
      </c>
      <c r="W81" s="2"/>
      <c r="X81" s="6">
        <f t="shared" si="70"/>
        <v>-5445</v>
      </c>
      <c r="Y81" s="2"/>
      <c r="Z81" s="7">
        <f t="shared" si="71"/>
        <v>-1</v>
      </c>
    </row>
    <row r="82" spans="1:26" s="24" customFormat="1" hidden="1" outlineLevel="2" x14ac:dyDescent="0.25">
      <c r="A82" s="26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0</v>
      </c>
      <c r="M82" s="2"/>
      <c r="N82" s="7">
        <f t="shared" si="67"/>
        <v>0</v>
      </c>
      <c r="O82" s="11"/>
      <c r="P82" s="6">
        <v>405.3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405.3</v>
      </c>
      <c r="Y82" s="2"/>
      <c r="Z82" s="7">
        <f t="shared" si="71"/>
        <v>0</v>
      </c>
    </row>
    <row r="83" spans="1:26" s="25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SUM(OSRRefD22_18x_0)</f>
        <v>858.59</v>
      </c>
      <c r="E83" s="1"/>
      <c r="F83" s="5">
        <f t="shared" ref="F83:F89" si="72">IF(D$12=0,0,D83/D$12)</f>
        <v>0</v>
      </c>
      <c r="G83" s="1"/>
      <c r="H83" s="1">
        <f>SUM(OSRRefH22_18x_0)</f>
        <v>4250</v>
      </c>
      <c r="I83" s="1"/>
      <c r="J83" s="5">
        <f t="shared" ref="J83:J89" si="73">IF(H$12=0,0,H83/H$12)</f>
        <v>0</v>
      </c>
      <c r="K83" s="1"/>
      <c r="L83" s="1">
        <f t="shared" ref="L83:L89" si="74">+D83-H83</f>
        <v>-3391.41</v>
      </c>
      <c r="M83" s="1"/>
      <c r="N83" s="5">
        <f t="shared" ref="N83:N89" si="75">IF(H83=0,0,L83/H83)</f>
        <v>-0.79797882352941174</v>
      </c>
      <c r="O83" s="13"/>
      <c r="P83" s="1">
        <f>SUM(OSRRefP22_18x_0)</f>
        <v>10322.48</v>
      </c>
      <c r="Q83" s="1"/>
      <c r="R83" s="5">
        <f t="shared" ref="R83:R89" si="76">IF(P$12=0,0,P83/P$12)</f>
        <v>0</v>
      </c>
      <c r="S83" s="1"/>
      <c r="T83" s="1">
        <f>SUM(OSRRefT22_18x_0)</f>
        <v>25600</v>
      </c>
      <c r="U83" s="1"/>
      <c r="V83" s="5">
        <f t="shared" ref="V83:V89" si="77">IF(T$12=0,0,T83/T$12)</f>
        <v>0</v>
      </c>
      <c r="W83" s="1"/>
      <c r="X83" s="1">
        <f t="shared" ref="X83:X89" si="78">+P83-T83</f>
        <v>-15277.52</v>
      </c>
      <c r="Y83" s="1"/>
      <c r="Z83" s="5">
        <f t="shared" ref="Z83:Z89" si="79">IF(T83=0,0,X83/T83)</f>
        <v>-0.59677812500000005</v>
      </c>
    </row>
    <row r="84" spans="1:26" s="24" customFormat="1" hidden="1" outlineLevel="2" x14ac:dyDescent="0.25">
      <c r="A84" s="26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0</v>
      </c>
      <c r="M84" s="2"/>
      <c r="N84" s="7">
        <f t="shared" si="75"/>
        <v>0</v>
      </c>
      <c r="O84" s="11"/>
      <c r="P84" s="6">
        <v>785.12</v>
      </c>
      <c r="Q84" s="2"/>
      <c r="R84" s="7">
        <f t="shared" si="76"/>
        <v>0</v>
      </c>
      <c r="S84" s="2"/>
      <c r="T84" s="6"/>
      <c r="U84" s="2"/>
      <c r="V84" s="7">
        <f t="shared" si="77"/>
        <v>0</v>
      </c>
      <c r="W84" s="2"/>
      <c r="X84" s="6">
        <f t="shared" si="78"/>
        <v>785.12</v>
      </c>
      <c r="Y84" s="2"/>
      <c r="Z84" s="7">
        <f t="shared" si="79"/>
        <v>0</v>
      </c>
    </row>
    <row r="85" spans="1:26" s="24" customFormat="1" hidden="1" outlineLevel="2" x14ac:dyDescent="0.25">
      <c r="A85" s="26"/>
      <c r="B85" s="11" t="str">
        <f>CONCATENATE("          ", "6237", " - ", "JANITORIAL SUPPLIES")</f>
        <v xml:space="preserve">          6237 - JANITORIAL SUPPLIES</v>
      </c>
      <c r="C85" s="11"/>
      <c r="D85" s="6">
        <v>131.72999999999999</v>
      </c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131.72999999999999</v>
      </c>
      <c r="M85" s="2"/>
      <c r="N85" s="7">
        <f t="shared" si="75"/>
        <v>0</v>
      </c>
      <c r="O85" s="11"/>
      <c r="P85" s="6">
        <v>2474.81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2474.81</v>
      </c>
      <c r="Y85" s="2"/>
      <c r="Z85" s="7">
        <f t="shared" si="79"/>
        <v>0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628.14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628.14</v>
      </c>
      <c r="M86" s="2"/>
      <c r="N86" s="7">
        <f t="shared" si="75"/>
        <v>0</v>
      </c>
      <c r="O86" s="11"/>
      <c r="P86" s="6">
        <v>7061.29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7061.29</v>
      </c>
      <c r="Y86" s="2"/>
      <c r="Z86" s="7">
        <f t="shared" si="79"/>
        <v>0</v>
      </c>
    </row>
    <row r="87" spans="1:26" s="24" customFormat="1" hidden="1" outlineLevel="2" x14ac:dyDescent="0.25">
      <c r="A87" s="26"/>
      <c r="B87" s="11" t="str">
        <f>CONCATENATE("          ", "6245", " - ", "PRINTING")</f>
        <v xml:space="preserve">          6245 - PRINTING</v>
      </c>
      <c r="C87" s="11"/>
      <c r="D87" s="6"/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0</v>
      </c>
      <c r="M87" s="2"/>
      <c r="N87" s="7">
        <f t="shared" si="75"/>
        <v>0</v>
      </c>
      <c r="O87" s="11"/>
      <c r="P87" s="6">
        <v>19.73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19.73</v>
      </c>
      <c r="Y87" s="2"/>
      <c r="Z87" s="7">
        <f t="shared" si="79"/>
        <v>0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6">
        <v>98.72</v>
      </c>
      <c r="E88" s="2"/>
      <c r="F88" s="7">
        <f t="shared" si="72"/>
        <v>0</v>
      </c>
      <c r="G88" s="2"/>
      <c r="H88" s="6">
        <v>3250</v>
      </c>
      <c r="I88" s="2"/>
      <c r="J88" s="7">
        <f t="shared" si="73"/>
        <v>0</v>
      </c>
      <c r="K88" s="2"/>
      <c r="L88" s="6">
        <f t="shared" si="74"/>
        <v>-3151.28</v>
      </c>
      <c r="M88" s="2"/>
      <c r="N88" s="7">
        <f t="shared" si="75"/>
        <v>-0.96962461538461542</v>
      </c>
      <c r="O88" s="11"/>
      <c r="P88" s="6">
        <v>-18.47</v>
      </c>
      <c r="Q88" s="2"/>
      <c r="R88" s="7">
        <f t="shared" si="76"/>
        <v>0</v>
      </c>
      <c r="S88" s="2"/>
      <c r="T88" s="6">
        <v>19600</v>
      </c>
      <c r="U88" s="2"/>
      <c r="V88" s="7">
        <f t="shared" si="77"/>
        <v>0</v>
      </c>
      <c r="W88" s="2"/>
      <c r="X88" s="6">
        <f t="shared" si="78"/>
        <v>-19618.47</v>
      </c>
      <c r="Y88" s="2"/>
      <c r="Z88" s="7">
        <f t="shared" si="79"/>
        <v>-1.0009423469387755</v>
      </c>
    </row>
    <row r="89" spans="1:26" s="24" customFormat="1" hidden="1" outlineLevel="2" x14ac:dyDescent="0.25">
      <c r="A89" s="26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72"/>
        <v>0</v>
      </c>
      <c r="G89" s="2"/>
      <c r="H89" s="6">
        <v>1000</v>
      </c>
      <c r="I89" s="2"/>
      <c r="J89" s="7">
        <f t="shared" si="73"/>
        <v>0</v>
      </c>
      <c r="K89" s="2"/>
      <c r="L89" s="6">
        <f t="shared" si="74"/>
        <v>-1000</v>
      </c>
      <c r="M89" s="2"/>
      <c r="N89" s="7">
        <f t="shared" si="75"/>
        <v>-1</v>
      </c>
      <c r="O89" s="11"/>
      <c r="P89" s="6"/>
      <c r="Q89" s="2"/>
      <c r="R89" s="7">
        <f t="shared" si="76"/>
        <v>0</v>
      </c>
      <c r="S89" s="2"/>
      <c r="T89" s="6">
        <v>6000</v>
      </c>
      <c r="U89" s="2"/>
      <c r="V89" s="7">
        <f t="shared" si="77"/>
        <v>0</v>
      </c>
      <c r="W89" s="2"/>
      <c r="X89" s="6">
        <f t="shared" si="78"/>
        <v>-6000</v>
      </c>
      <c r="Y89" s="2"/>
      <c r="Z89" s="7">
        <f t="shared" si="79"/>
        <v>-1</v>
      </c>
    </row>
    <row r="90" spans="1:26" s="25" customFormat="1" outlineLevel="1" collapsed="1" x14ac:dyDescent="0.25">
      <c r="A90" s="27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SUM(OSRRefD22_19x_0)</f>
        <v>506.86</v>
      </c>
      <c r="E90" s="1"/>
      <c r="F90" s="5">
        <f t="shared" ref="F90:F97" si="80">IF(D$12=0,0,D90/D$12)</f>
        <v>0</v>
      </c>
      <c r="G90" s="1"/>
      <c r="H90" s="1">
        <f>SUM(OSRRefH22_19x_0)</f>
        <v>500</v>
      </c>
      <c r="I90" s="1"/>
      <c r="J90" s="5">
        <f t="shared" ref="J90:J97" si="81">IF(H$12=0,0,H90/H$12)</f>
        <v>0</v>
      </c>
      <c r="K90" s="1"/>
      <c r="L90" s="1">
        <f t="shared" ref="L90:L97" si="82">+D90-H90</f>
        <v>6.8600000000000136</v>
      </c>
      <c r="M90" s="1"/>
      <c r="N90" s="5">
        <f t="shared" ref="N90:N97" si="83">IF(H90=0,0,L90/H90)</f>
        <v>1.3720000000000027E-2</v>
      </c>
      <c r="O90" s="13"/>
      <c r="P90" s="1">
        <f>SUM(OSRRefP22_19x_0)</f>
        <v>3142.56</v>
      </c>
      <c r="Q90" s="1"/>
      <c r="R90" s="5">
        <f t="shared" ref="R90:R97" si="84">IF(P$12=0,0,P90/P$12)</f>
        <v>0</v>
      </c>
      <c r="S90" s="1"/>
      <c r="T90" s="1">
        <f>SUM(OSRRefT22_19x_0)</f>
        <v>3000</v>
      </c>
      <c r="U90" s="1"/>
      <c r="V90" s="5">
        <f t="shared" ref="V90:V97" si="85">IF(T$12=0,0,T90/T$12)</f>
        <v>0</v>
      </c>
      <c r="W90" s="1"/>
      <c r="X90" s="1">
        <f t="shared" ref="X90:X97" si="86">+P90-T90</f>
        <v>142.55999999999995</v>
      </c>
      <c r="Y90" s="1"/>
      <c r="Z90" s="5">
        <f t="shared" ref="Z90:Z97" si="87">IF(T90=0,0,X90/T90)</f>
        <v>4.7519999999999979E-2</v>
      </c>
    </row>
    <row r="91" spans="1:26" s="24" customFormat="1" hidden="1" outlineLevel="2" x14ac:dyDescent="0.25">
      <c r="A91" s="26"/>
      <c r="B91" s="11" t="str">
        <f>CONCATENATE("          ", "6309", " - ", "TELEPHONE")</f>
        <v xml:space="preserve">          6309 - TELEPHONE</v>
      </c>
      <c r="C91" s="11"/>
      <c r="D91" s="6">
        <v>506.86</v>
      </c>
      <c r="E91" s="2"/>
      <c r="F91" s="7">
        <f t="shared" si="80"/>
        <v>0</v>
      </c>
      <c r="G91" s="2"/>
      <c r="H91" s="6">
        <v>500</v>
      </c>
      <c r="I91" s="2"/>
      <c r="J91" s="7">
        <f t="shared" si="81"/>
        <v>0</v>
      </c>
      <c r="K91" s="2"/>
      <c r="L91" s="6">
        <f t="shared" si="82"/>
        <v>6.8600000000000136</v>
      </c>
      <c r="M91" s="2"/>
      <c r="N91" s="7">
        <f t="shared" si="83"/>
        <v>1.3720000000000027E-2</v>
      </c>
      <c r="O91" s="11"/>
      <c r="P91" s="6">
        <v>3142.56</v>
      </c>
      <c r="Q91" s="2"/>
      <c r="R91" s="7">
        <f t="shared" si="84"/>
        <v>0</v>
      </c>
      <c r="S91" s="2"/>
      <c r="T91" s="6">
        <v>3000</v>
      </c>
      <c r="U91" s="2"/>
      <c r="V91" s="7">
        <f t="shared" si="85"/>
        <v>0</v>
      </c>
      <c r="W91" s="2"/>
      <c r="X91" s="6">
        <f t="shared" si="86"/>
        <v>142.55999999999995</v>
      </c>
      <c r="Y91" s="2"/>
      <c r="Z91" s="7">
        <f t="shared" si="87"/>
        <v>4.7519999999999979E-2</v>
      </c>
    </row>
    <row r="92" spans="1:26" s="25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SUM(OSRRefD22_20x_0)</f>
        <v>0</v>
      </c>
      <c r="E92" s="1"/>
      <c r="F92" s="5">
        <f t="shared" si="80"/>
        <v>0</v>
      </c>
      <c r="G92" s="1"/>
      <c r="H92" s="1">
        <f>SUM(OSRRefH22_20x_0)</f>
        <v>1125</v>
      </c>
      <c r="I92" s="1"/>
      <c r="J92" s="5">
        <f t="shared" si="81"/>
        <v>0</v>
      </c>
      <c r="K92" s="1"/>
      <c r="L92" s="1">
        <f t="shared" si="82"/>
        <v>-1125</v>
      </c>
      <c r="M92" s="1"/>
      <c r="N92" s="5">
        <f t="shared" si="83"/>
        <v>-1</v>
      </c>
      <c r="O92" s="13"/>
      <c r="P92" s="1">
        <f>SUM(OSRRefP22_20x_0)</f>
        <v>5379.44</v>
      </c>
      <c r="Q92" s="1"/>
      <c r="R92" s="5">
        <f t="shared" si="84"/>
        <v>0</v>
      </c>
      <c r="S92" s="1"/>
      <c r="T92" s="1">
        <f>SUM(OSRRefT22_20x_0)</f>
        <v>6750</v>
      </c>
      <c r="U92" s="1"/>
      <c r="V92" s="5">
        <f t="shared" si="85"/>
        <v>0</v>
      </c>
      <c r="W92" s="1"/>
      <c r="X92" s="1">
        <f t="shared" si="86"/>
        <v>-1370.5600000000004</v>
      </c>
      <c r="Y92" s="1"/>
      <c r="Z92" s="5">
        <f t="shared" si="87"/>
        <v>-0.20304592592592599</v>
      </c>
    </row>
    <row r="93" spans="1:26" s="24" customFormat="1" hidden="1" outlineLevel="2" x14ac:dyDescent="0.25">
      <c r="A93" s="26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80"/>
        <v>0</v>
      </c>
      <c r="G93" s="2"/>
      <c r="H93" s="6">
        <v>1125</v>
      </c>
      <c r="I93" s="2"/>
      <c r="J93" s="7">
        <f t="shared" si="81"/>
        <v>0</v>
      </c>
      <c r="K93" s="2"/>
      <c r="L93" s="6">
        <f t="shared" si="82"/>
        <v>-1125</v>
      </c>
      <c r="M93" s="2"/>
      <c r="N93" s="7">
        <f t="shared" si="83"/>
        <v>-1</v>
      </c>
      <c r="O93" s="11"/>
      <c r="P93" s="6">
        <v>5379.44</v>
      </c>
      <c r="Q93" s="2"/>
      <c r="R93" s="7">
        <f t="shared" si="84"/>
        <v>0</v>
      </c>
      <c r="S93" s="2"/>
      <c r="T93" s="6">
        <v>6750</v>
      </c>
      <c r="U93" s="2"/>
      <c r="V93" s="7">
        <f t="shared" si="85"/>
        <v>0</v>
      </c>
      <c r="W93" s="2"/>
      <c r="X93" s="6">
        <f t="shared" si="86"/>
        <v>-1370.5600000000004</v>
      </c>
      <c r="Y93" s="2"/>
      <c r="Z93" s="7">
        <f t="shared" si="87"/>
        <v>-0.20304592592592599</v>
      </c>
    </row>
    <row r="94" spans="1:26" s="25" customFormat="1" outlineLevel="1" collapsed="1" x14ac:dyDescent="0.25">
      <c r="A94" s="27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SUM(OSRRefD22_21x_0)</f>
        <v>38.22</v>
      </c>
      <c r="E94" s="1"/>
      <c r="F94" s="5">
        <f t="shared" si="80"/>
        <v>0</v>
      </c>
      <c r="G94" s="1"/>
      <c r="H94" s="1">
        <f>SUM(OSRRefH22_21x_0)</f>
        <v>0</v>
      </c>
      <c r="I94" s="1"/>
      <c r="J94" s="5">
        <f t="shared" si="81"/>
        <v>0</v>
      </c>
      <c r="K94" s="1"/>
      <c r="L94" s="1">
        <f t="shared" si="82"/>
        <v>38.22</v>
      </c>
      <c r="M94" s="1"/>
      <c r="N94" s="5">
        <f t="shared" si="83"/>
        <v>0</v>
      </c>
      <c r="O94" s="13"/>
      <c r="P94" s="1">
        <f>SUM(OSRRefP22_21x_0)</f>
        <v>770.86999999999989</v>
      </c>
      <c r="Q94" s="1"/>
      <c r="R94" s="5">
        <f t="shared" si="84"/>
        <v>0</v>
      </c>
      <c r="S94" s="1"/>
      <c r="T94" s="1">
        <f>SUM(OSRRefT22_21x_0)</f>
        <v>0</v>
      </c>
      <c r="U94" s="1"/>
      <c r="V94" s="5">
        <f t="shared" si="85"/>
        <v>0</v>
      </c>
      <c r="W94" s="1"/>
      <c r="X94" s="1">
        <f t="shared" si="86"/>
        <v>770.86999999999989</v>
      </c>
      <c r="Y94" s="1"/>
      <c r="Z94" s="5">
        <f t="shared" si="87"/>
        <v>0</v>
      </c>
    </row>
    <row r="95" spans="1:26" s="24" customFormat="1" hidden="1" outlineLevel="2" x14ac:dyDescent="0.25">
      <c r="A95" s="26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0</v>
      </c>
      <c r="M95" s="2"/>
      <c r="N95" s="7">
        <f t="shared" si="83"/>
        <v>0</v>
      </c>
      <c r="O95" s="11"/>
      <c r="P95" s="6">
        <v>497.64</v>
      </c>
      <c r="Q95" s="2"/>
      <c r="R95" s="7">
        <f t="shared" si="84"/>
        <v>0</v>
      </c>
      <c r="S95" s="2"/>
      <c r="T95" s="6"/>
      <c r="U95" s="2"/>
      <c r="V95" s="7">
        <f t="shared" si="85"/>
        <v>0</v>
      </c>
      <c r="W95" s="2"/>
      <c r="X95" s="6">
        <f t="shared" si="86"/>
        <v>497.64</v>
      </c>
      <c r="Y95" s="2"/>
      <c r="Z95" s="7">
        <f t="shared" si="87"/>
        <v>0</v>
      </c>
    </row>
    <row r="96" spans="1:26" s="24" customFormat="1" hidden="1" outlineLevel="2" x14ac:dyDescent="0.25">
      <c r="A96" s="26"/>
      <c r="B96" s="11" t="str">
        <f>CONCATENATE("          ", "6294", " - ", "TRAVEL OPERATIONAL")</f>
        <v xml:space="preserve">          6294 - TRAVEL OPERATIONAL</v>
      </c>
      <c r="C96" s="11"/>
      <c r="D96" s="6"/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0</v>
      </c>
      <c r="M96" s="2"/>
      <c r="N96" s="7">
        <f t="shared" si="83"/>
        <v>0</v>
      </c>
      <c r="O96" s="11"/>
      <c r="P96" s="6">
        <v>15.67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15.67</v>
      </c>
      <c r="Y96" s="2"/>
      <c r="Z96" s="7">
        <f t="shared" si="87"/>
        <v>0</v>
      </c>
    </row>
    <row r="97" spans="1:26" s="24" customFormat="1" hidden="1" outlineLevel="2" x14ac:dyDescent="0.25">
      <c r="A97" s="26"/>
      <c r="B97" s="11" t="str">
        <f>CONCATENATE("          ", "6298", " - ", "VEHICLE MILEAGE")</f>
        <v xml:space="preserve">          6298 - VEHICLE MILEAGE</v>
      </c>
      <c r="C97" s="11"/>
      <c r="D97" s="6">
        <v>38.22</v>
      </c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38.22</v>
      </c>
      <c r="M97" s="2"/>
      <c r="N97" s="7">
        <f t="shared" si="83"/>
        <v>0</v>
      </c>
      <c r="O97" s="11"/>
      <c r="P97" s="6">
        <v>257.56</v>
      </c>
      <c r="Q97" s="2"/>
      <c r="R97" s="7">
        <f t="shared" si="84"/>
        <v>0</v>
      </c>
      <c r="S97" s="2"/>
      <c r="T97" s="6"/>
      <c r="U97" s="2"/>
      <c r="V97" s="7">
        <f t="shared" si="85"/>
        <v>0</v>
      </c>
      <c r="W97" s="2"/>
      <c r="X97" s="6">
        <f t="shared" si="86"/>
        <v>257.56</v>
      </c>
      <c r="Y97" s="2"/>
      <c r="Z97" s="7">
        <f t="shared" si="87"/>
        <v>0</v>
      </c>
    </row>
    <row r="98" spans="1:26" s="25" customFormat="1" outlineLevel="1" collapsed="1" x14ac:dyDescent="0.25">
      <c r="A98" s="27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SUM(OSRRefD22_22x_0)</f>
        <v>9365</v>
      </c>
      <c r="E98" s="1"/>
      <c r="F98" s="5">
        <f t="shared" ref="F98:F99" si="88">IF(D$12=0,0,D98/D$12)</f>
        <v>0</v>
      </c>
      <c r="G98" s="1"/>
      <c r="H98" s="1">
        <f>SUM(OSRRefH22_22x_0)</f>
        <v>5000</v>
      </c>
      <c r="I98" s="1"/>
      <c r="J98" s="5">
        <f t="shared" ref="J98:J99" si="89">IF(H$12=0,0,H98/H$12)</f>
        <v>0</v>
      </c>
      <c r="K98" s="1"/>
      <c r="L98" s="1">
        <f t="shared" ref="L98:L99" si="90">+D98-H98</f>
        <v>4365</v>
      </c>
      <c r="M98" s="1"/>
      <c r="N98" s="5">
        <f t="shared" ref="N98:N99" si="91">IF(H98=0,0,L98/H98)</f>
        <v>0.873</v>
      </c>
      <c r="O98" s="13"/>
      <c r="P98" s="1">
        <f>SUM(OSRRefP22_22x_0)</f>
        <v>31737</v>
      </c>
      <c r="Q98" s="1"/>
      <c r="R98" s="5">
        <f t="shared" ref="R98:R99" si="92">IF(P$12=0,0,P98/P$12)</f>
        <v>0</v>
      </c>
      <c r="S98" s="1"/>
      <c r="T98" s="1">
        <f>SUM(OSRRefT22_22x_0)</f>
        <v>30000</v>
      </c>
      <c r="U98" s="1"/>
      <c r="V98" s="5">
        <f t="shared" ref="V98:V99" si="93">IF(T$12=0,0,T98/T$12)</f>
        <v>0</v>
      </c>
      <c r="W98" s="1"/>
      <c r="X98" s="1">
        <f t="shared" ref="X98:X99" si="94">+P98-T98</f>
        <v>1737</v>
      </c>
      <c r="Y98" s="1"/>
      <c r="Z98" s="5">
        <f t="shared" ref="Z98:Z99" si="95">IF(T98=0,0,X98/T98)</f>
        <v>5.79E-2</v>
      </c>
    </row>
    <row r="99" spans="1:26" s="24" customFormat="1" hidden="1" outlineLevel="2" x14ac:dyDescent="0.25">
      <c r="A99" s="26"/>
      <c r="B99" s="11" t="str">
        <f>CONCATENATE("          ", "6274", " - ", "UTILITIES")</f>
        <v xml:space="preserve">          6274 - UTILITIES</v>
      </c>
      <c r="C99" s="11"/>
      <c r="D99" s="6">
        <v>9365</v>
      </c>
      <c r="E99" s="2"/>
      <c r="F99" s="7">
        <f t="shared" si="88"/>
        <v>0</v>
      </c>
      <c r="G99" s="2"/>
      <c r="H99" s="6">
        <v>5000</v>
      </c>
      <c r="I99" s="2"/>
      <c r="J99" s="7">
        <f t="shared" si="89"/>
        <v>0</v>
      </c>
      <c r="K99" s="2"/>
      <c r="L99" s="6">
        <f t="shared" si="90"/>
        <v>4365</v>
      </c>
      <c r="M99" s="2"/>
      <c r="N99" s="7">
        <f t="shared" si="91"/>
        <v>0.873</v>
      </c>
      <c r="O99" s="11"/>
      <c r="P99" s="6">
        <v>31737</v>
      </c>
      <c r="Q99" s="2"/>
      <c r="R99" s="7">
        <f t="shared" si="92"/>
        <v>0</v>
      </c>
      <c r="S99" s="2"/>
      <c r="T99" s="6">
        <v>30000</v>
      </c>
      <c r="U99" s="2"/>
      <c r="V99" s="7">
        <f t="shared" si="93"/>
        <v>0</v>
      </c>
      <c r="W99" s="2"/>
      <c r="X99" s="6">
        <f t="shared" si="94"/>
        <v>1737</v>
      </c>
      <c r="Y99" s="2"/>
      <c r="Z99" s="7">
        <f t="shared" si="95"/>
        <v>5.79E-2</v>
      </c>
    </row>
    <row r="100" spans="1:26" s="53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6121.0599999999995</v>
      </c>
      <c r="E101" s="4"/>
      <c r="F101" s="12">
        <f t="shared" ref="F101:F105" si="96">IF(D$12=0,0,D101/D$12)</f>
        <v>0</v>
      </c>
      <c r="G101" s="4"/>
      <c r="H101" s="4">
        <f>SUM(OSRRefH25x_0)</f>
        <v>24000</v>
      </c>
      <c r="I101" s="4"/>
      <c r="J101" s="12">
        <f t="shared" ref="J101:J105" si="97">IF(H$12=0,0,H101/H$12)</f>
        <v>0</v>
      </c>
      <c r="K101" s="4"/>
      <c r="L101" s="4">
        <f t="shared" ref="L101:L105" si="98">+D101-H101</f>
        <v>-17878.940000000002</v>
      </c>
      <c r="M101" s="4"/>
      <c r="N101" s="12">
        <f t="shared" ref="N101:N105" si="99">IF(H101=0,0,L101/H101)</f>
        <v>-0.74495583333333348</v>
      </c>
      <c r="O101" s="10"/>
      <c r="P101" s="4">
        <f>SUM(OSRRefP25x_0)</f>
        <v>97171.199999999997</v>
      </c>
      <c r="Q101" s="4"/>
      <c r="R101" s="12">
        <f t="shared" ref="R101:R105" si="100">IF(P$12=0,0,P101/P$12)</f>
        <v>0</v>
      </c>
      <c r="S101" s="4"/>
      <c r="T101" s="4">
        <f>SUM(OSRRefT25x_0)</f>
        <v>144000</v>
      </c>
      <c r="U101" s="4"/>
      <c r="V101" s="12">
        <f t="shared" ref="V101:V105" si="101">IF(T$12=0,0,T101/T$12)</f>
        <v>0</v>
      </c>
      <c r="W101" s="4"/>
      <c r="X101" s="4">
        <f t="shared" ref="X101:X105" si="102">+P101-T101</f>
        <v>-46828.800000000003</v>
      </c>
      <c r="Y101" s="4"/>
      <c r="Z101" s="12">
        <f t="shared" ref="Z101:Z105" si="103">IF(T101=0,0,X101/T101)</f>
        <v>-0.32520000000000004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--5852.82</f>
        <v>5852.82</v>
      </c>
      <c r="E102" s="2"/>
      <c r="F102" s="19">
        <f t="shared" si="96"/>
        <v>0</v>
      </c>
      <c r="G102" s="2"/>
      <c r="H102" s="2">
        <v>21500</v>
      </c>
      <c r="I102" s="2"/>
      <c r="J102" s="19">
        <f t="shared" si="97"/>
        <v>0</v>
      </c>
      <c r="K102" s="2"/>
      <c r="L102" s="2">
        <f t="shared" si="98"/>
        <v>-15647.18</v>
      </c>
      <c r="M102" s="2"/>
      <c r="N102" s="19">
        <f t="shared" si="99"/>
        <v>-0.72777581395348834</v>
      </c>
      <c r="O102" s="11"/>
      <c r="P102" s="2">
        <f>--96904.89</f>
        <v>96904.89</v>
      </c>
      <c r="Q102" s="2"/>
      <c r="R102" s="19">
        <f t="shared" si="100"/>
        <v>0</v>
      </c>
      <c r="S102" s="2"/>
      <c r="T102" s="2">
        <v>129000</v>
      </c>
      <c r="U102" s="2"/>
      <c r="V102" s="19">
        <f t="shared" si="101"/>
        <v>0</v>
      </c>
      <c r="W102" s="2"/>
      <c r="X102" s="2">
        <f t="shared" si="102"/>
        <v>-32095.11</v>
      </c>
      <c r="Y102" s="2"/>
      <c r="Z102" s="19">
        <f t="shared" si="103"/>
        <v>-0.2487993023255814</v>
      </c>
    </row>
    <row r="103" spans="1:26" s="24" customFormat="1" hidden="1" outlineLevel="1" x14ac:dyDescent="0.25">
      <c r="A103" s="44"/>
      <c r="B103" s="11" t="str">
        <f>CONCATENATE("          ", "9151", " - ", "MISC. INCOME")</f>
        <v xml:space="preserve">          9151 - MISC. INCOME</v>
      </c>
      <c r="C103" s="11"/>
      <c r="D103" s="2">
        <f>--268.24</f>
        <v>268.24</v>
      </c>
      <c r="E103" s="2"/>
      <c r="F103" s="19">
        <f t="shared" si="96"/>
        <v>0</v>
      </c>
      <c r="G103" s="2"/>
      <c r="H103" s="2">
        <v>500</v>
      </c>
      <c r="I103" s="2"/>
      <c r="J103" s="19">
        <f t="shared" si="97"/>
        <v>0</v>
      </c>
      <c r="K103" s="2"/>
      <c r="L103" s="2">
        <f t="shared" si="98"/>
        <v>-231.76</v>
      </c>
      <c r="M103" s="2"/>
      <c r="N103" s="19">
        <f t="shared" si="99"/>
        <v>-0.46351999999999999</v>
      </c>
      <c r="O103" s="11"/>
      <c r="P103" s="2">
        <f>-183.69</f>
        <v>-183.69</v>
      </c>
      <c r="Q103" s="2"/>
      <c r="R103" s="19">
        <f t="shared" si="100"/>
        <v>0</v>
      </c>
      <c r="S103" s="2"/>
      <c r="T103" s="2">
        <v>3000</v>
      </c>
      <c r="U103" s="2"/>
      <c r="V103" s="19">
        <f t="shared" si="101"/>
        <v>0</v>
      </c>
      <c r="W103" s="2"/>
      <c r="X103" s="2">
        <f t="shared" si="102"/>
        <v>-3183.69</v>
      </c>
      <c r="Y103" s="2"/>
      <c r="Z103" s="19">
        <f t="shared" si="103"/>
        <v>-1.0612300000000001</v>
      </c>
    </row>
    <row r="104" spans="1:26" s="24" customFormat="1" hidden="1" outlineLevel="1" x14ac:dyDescent="0.25">
      <c r="A104" s="44"/>
      <c r="B104" s="11" t="str">
        <f>CONCATENATE("          ", "9153", " - ", "MISC. INCOME")</f>
        <v xml:space="preserve">          9153 - MISC. INCOME</v>
      </c>
      <c r="C104" s="11"/>
      <c r="D104" s="2">
        <f t="shared" ref="D104:D105" si="104">0</f>
        <v>0</v>
      </c>
      <c r="E104" s="2"/>
      <c r="F104" s="19">
        <f t="shared" si="96"/>
        <v>0</v>
      </c>
      <c r="G104" s="2"/>
      <c r="H104" s="2"/>
      <c r="I104" s="2"/>
      <c r="J104" s="19">
        <f t="shared" si="97"/>
        <v>0</v>
      </c>
      <c r="K104" s="2"/>
      <c r="L104" s="2">
        <f t="shared" si="98"/>
        <v>0</v>
      </c>
      <c r="M104" s="2"/>
      <c r="N104" s="19">
        <f t="shared" si="99"/>
        <v>0</v>
      </c>
      <c r="O104" s="11"/>
      <c r="P104" s="2">
        <f>--450</f>
        <v>450</v>
      </c>
      <c r="Q104" s="2"/>
      <c r="R104" s="19">
        <f t="shared" si="100"/>
        <v>0</v>
      </c>
      <c r="S104" s="2"/>
      <c r="T104" s="2"/>
      <c r="U104" s="2"/>
      <c r="V104" s="19">
        <f t="shared" si="101"/>
        <v>0</v>
      </c>
      <c r="W104" s="2"/>
      <c r="X104" s="2">
        <f t="shared" si="102"/>
        <v>450</v>
      </c>
      <c r="Y104" s="2"/>
      <c r="Z104" s="19">
        <f t="shared" si="103"/>
        <v>0</v>
      </c>
    </row>
    <row r="105" spans="1:26" s="24" customFormat="1" hidden="1" outlineLevel="1" x14ac:dyDescent="0.25">
      <c r="A105" s="44"/>
      <c r="B105" s="11" t="str">
        <f>CONCATENATE("          ", "9160", " - ", "MISC. INCOME")</f>
        <v xml:space="preserve">          9160 - MISC. INCOME</v>
      </c>
      <c r="C105" s="11"/>
      <c r="D105" s="2">
        <f t="shared" si="104"/>
        <v>0</v>
      </c>
      <c r="E105" s="2"/>
      <c r="F105" s="19">
        <f t="shared" si="96"/>
        <v>0</v>
      </c>
      <c r="G105" s="2"/>
      <c r="H105" s="2">
        <v>2000</v>
      </c>
      <c r="I105" s="2"/>
      <c r="J105" s="19">
        <f t="shared" si="97"/>
        <v>0</v>
      </c>
      <c r="K105" s="2"/>
      <c r="L105" s="2">
        <f t="shared" si="98"/>
        <v>-2000</v>
      </c>
      <c r="M105" s="2"/>
      <c r="N105" s="19">
        <f t="shared" si="99"/>
        <v>-1</v>
      </c>
      <c r="O105" s="11"/>
      <c r="P105" s="2">
        <f>0</f>
        <v>0</v>
      </c>
      <c r="Q105" s="2"/>
      <c r="R105" s="19">
        <f t="shared" si="100"/>
        <v>0</v>
      </c>
      <c r="S105" s="2"/>
      <c r="T105" s="2">
        <v>12000</v>
      </c>
      <c r="U105" s="2"/>
      <c r="V105" s="19">
        <f t="shared" si="101"/>
        <v>0</v>
      </c>
      <c r="W105" s="2"/>
      <c r="X105" s="2">
        <f t="shared" si="102"/>
        <v>-12000</v>
      </c>
      <c r="Y105" s="2"/>
      <c r="Z105" s="19">
        <f t="shared" si="103"/>
        <v>-1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9" t="s">
        <v>3</v>
      </c>
      <c r="C107" s="29"/>
      <c r="D107" s="22">
        <f>+D16-D18+D101</f>
        <v>-94908.529999999984</v>
      </c>
      <c r="E107" s="14"/>
      <c r="F107" s="20">
        <f>IF(D$12=0,0,D107/D$12)</f>
        <v>0</v>
      </c>
      <c r="G107" s="14"/>
      <c r="H107" s="22">
        <f>+H16-H18+H101</f>
        <v>-125303.00738311693</v>
      </c>
      <c r="I107" s="14"/>
      <c r="J107" s="20">
        <f>IF(H$12=0,0,H107/H$12)</f>
        <v>0</v>
      </c>
      <c r="K107" s="16"/>
      <c r="L107" s="22">
        <f>+D107-H107</f>
        <v>30394.477383116944</v>
      </c>
      <c r="M107" s="16"/>
      <c r="N107" s="20">
        <f>IF(H107=0,0,L107/H107)</f>
        <v>-0.24256782034117591</v>
      </c>
      <c r="O107" s="28"/>
      <c r="P107" s="22">
        <f>+P16-P18+P101</f>
        <v>-682346.79000000027</v>
      </c>
      <c r="Q107" s="14"/>
      <c r="R107" s="20">
        <f>IF(P$12=0,0,P107/P$12)</f>
        <v>0</v>
      </c>
      <c r="S107" s="14"/>
      <c r="T107" s="22">
        <f>+T16-T18+T101</f>
        <v>-751936.21364338498</v>
      </c>
      <c r="U107" s="14"/>
      <c r="V107" s="20">
        <f>IF(T$12=0,0,T107/T$12)</f>
        <v>0</v>
      </c>
      <c r="W107" s="16"/>
      <c r="X107" s="22">
        <f>+P107-T107</f>
        <v>69589.423643384711</v>
      </c>
      <c r="Y107" s="16"/>
      <c r="Z107" s="20">
        <f>IF(T107=0,0,X107/T107)</f>
        <v>-9.2546977231220781E-2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/>
      <c r="E109" s="4"/>
      <c r="F109" s="12">
        <f>IF(D$12=0,0,D109/D$12)</f>
        <v>0</v>
      </c>
      <c r="G109" s="4"/>
      <c r="H109" s="4"/>
      <c r="I109" s="4"/>
      <c r="J109" s="12">
        <f>IF(H$12=0,0,H109/H$12)</f>
        <v>0</v>
      </c>
      <c r="K109" s="4"/>
      <c r="L109" s="4">
        <f>+D109-H109</f>
        <v>0</v>
      </c>
      <c r="M109" s="4"/>
      <c r="N109" s="12">
        <f>IF(H109=0,0,L109/H109)</f>
        <v>0</v>
      </c>
      <c r="O109" s="10"/>
      <c r="P109" s="4"/>
      <c r="Q109" s="4"/>
      <c r="R109" s="12">
        <f>IF(P$12=0,0,P109/P$12)</f>
        <v>0</v>
      </c>
      <c r="S109" s="4"/>
      <c r="T109" s="4"/>
      <c r="U109" s="4"/>
      <c r="V109" s="12">
        <f>IF(T$12=0,0,T109/T$12)</f>
        <v>0</v>
      </c>
      <c r="W109" s="4"/>
      <c r="X109" s="4">
        <f>+P109-T109</f>
        <v>0</v>
      </c>
      <c r="Y109" s="4"/>
      <c r="Z109" s="12">
        <f>IF(T109=0,0,X109/T109)</f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4</v>
      </c>
      <c r="C111" s="29"/>
      <c r="D111" s="31">
        <f>+D107-D109</f>
        <v>-94908.529999999984</v>
      </c>
      <c r="E111" s="14"/>
      <c r="F111" s="32">
        <f>IF(D$12=0,0,D111/D$12)</f>
        <v>0</v>
      </c>
      <c r="G111" s="14"/>
      <c r="H111" s="31">
        <f>+H107-H109</f>
        <v>-125303.00738311693</v>
      </c>
      <c r="I111" s="14"/>
      <c r="J111" s="32">
        <f>IF(H$12=0,0,H111/H$12)</f>
        <v>0</v>
      </c>
      <c r="K111" s="16"/>
      <c r="L111" s="31">
        <f>D111-H111</f>
        <v>30394.477383116944</v>
      </c>
      <c r="M111" s="16"/>
      <c r="N111" s="32">
        <f>IF(H111=0,0,L111/H111)</f>
        <v>-0.24256782034117591</v>
      </c>
      <c r="O111" s="28"/>
      <c r="P111" s="31">
        <f>+P107-P109</f>
        <v>-682346.79000000027</v>
      </c>
      <c r="Q111" s="14"/>
      <c r="R111" s="32">
        <f>IF(P$12=0,0,P111/P$12)</f>
        <v>0</v>
      </c>
      <c r="S111" s="14"/>
      <c r="T111" s="31">
        <f>+T107-T109</f>
        <v>-751936.21364338498</v>
      </c>
      <c r="U111" s="14"/>
      <c r="V111" s="32">
        <f>IF(T$12=0,0,T111/T$12)</f>
        <v>0</v>
      </c>
      <c r="W111" s="16"/>
      <c r="X111" s="31">
        <f>P111-T111</f>
        <v>69589.423643384711</v>
      </c>
      <c r="Y111" s="16"/>
      <c r="Z111" s="32">
        <f>IF(T111=0,0,X111/T111)</f>
        <v>-9.2546977231220781E-2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5</v>
      </c>
      <c r="C114" s="29"/>
      <c r="D114" s="35">
        <f>SUM(D111:D113)</f>
        <v>-94908.529999999984</v>
      </c>
      <c r="E114" s="14"/>
      <c r="F114" s="34">
        <f>IF(D$12=0,0,D114/D$12)</f>
        <v>0</v>
      </c>
      <c r="G114" s="14"/>
      <c r="H114" s="35">
        <f>SUM(H111:H113)</f>
        <v>-125303.00738311693</v>
      </c>
      <c r="I114" s="14"/>
      <c r="J114" s="34">
        <f>IF(H$12=0,0,H114/H$12)</f>
        <v>0</v>
      </c>
      <c r="K114" s="16"/>
      <c r="L114" s="35">
        <f>+D114-H114</f>
        <v>30394.477383116944</v>
      </c>
      <c r="M114" s="16"/>
      <c r="N114" s="34">
        <f>IF(H114=0,0,L114/H114)</f>
        <v>-0.24256782034117591</v>
      </c>
      <c r="O114" s="28"/>
      <c r="P114" s="35">
        <f>SUM(P111:P113)</f>
        <v>-682346.79000000027</v>
      </c>
      <c r="Q114" s="14"/>
      <c r="R114" s="34">
        <f>IF(P$12=0,0,P114/P$12)</f>
        <v>0</v>
      </c>
      <c r="S114" s="14"/>
      <c r="T114" s="35">
        <f>SUM(T111:T113)</f>
        <v>-751936.21364338498</v>
      </c>
      <c r="U114" s="14"/>
      <c r="V114" s="34">
        <f>IF(T$12=0,0,T114/T$12)</f>
        <v>0</v>
      </c>
      <c r="W114" s="16"/>
      <c r="X114" s="35">
        <f>+P114-T114</f>
        <v>69589.423643384711</v>
      </c>
      <c r="Y114" s="16"/>
      <c r="Z114" s="34">
        <f>IF(T114=0,0,X114/T114)</f>
        <v>-9.2546977231220781E-2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63">
        <v>43847.445801539354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5" t="s">
        <v>314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6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38670.5</v>
      </c>
      <c r="E18" s="21"/>
      <c r="F18" s="30">
        <f t="shared" ref="F18:F28" si="0">IF(D$12=0,0,D18/D$12)</f>
        <v>0</v>
      </c>
      <c r="G18" s="21"/>
      <c r="H18" s="21">
        <f>SUM(OSRRefH22x_0)</f>
        <v>37849.286567635994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821.21343236400571</v>
      </c>
      <c r="M18" s="4"/>
      <c r="N18" s="30">
        <f t="shared" ref="N18:N28" si="3">IF(H18=0,0,L18/H18)</f>
        <v>2.1696932936807464E-2</v>
      </c>
      <c r="O18" s="10"/>
      <c r="P18" s="21">
        <f>SUM(OSRRefP22x_0)</f>
        <v>251135.78</v>
      </c>
      <c r="Q18" s="21"/>
      <c r="R18" s="30">
        <f t="shared" ref="R18:R28" si="4">IF(P$12=0,0,P18/P$12)</f>
        <v>0</v>
      </c>
      <c r="S18" s="21"/>
      <c r="T18" s="21">
        <f>SUM(OSRRefT22x_0)</f>
        <v>262132.395942134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-10996.615942133998</v>
      </c>
      <c r="Y18" s="4"/>
      <c r="Z18" s="30">
        <f t="shared" ref="Z18:Z28" si="7">IF(T18=0,0,X18/T18)</f>
        <v>-4.1950617750281853E-2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5284.9199999999992</v>
      </c>
      <c r="E19" s="1"/>
      <c r="F19" s="5">
        <f t="shared" si="0"/>
        <v>0</v>
      </c>
      <c r="G19" s="1"/>
      <c r="H19" s="1">
        <f>SUM(OSRRefH22_0x_0)</f>
        <v>4171.2614596359999</v>
      </c>
      <c r="I19" s="1"/>
      <c r="J19" s="5">
        <f t="shared" si="1"/>
        <v>0</v>
      </c>
      <c r="K19" s="1"/>
      <c r="L19" s="1">
        <f t="shared" si="2"/>
        <v>1113.6585403639992</v>
      </c>
      <c r="M19" s="1"/>
      <c r="N19" s="5">
        <f t="shared" si="3"/>
        <v>0.26698363340215581</v>
      </c>
      <c r="O19" s="13"/>
      <c r="P19" s="1">
        <f>SUM(OSRRefP22_0x_0)</f>
        <v>37627.18</v>
      </c>
      <c r="Q19" s="1"/>
      <c r="R19" s="5">
        <f t="shared" si="4"/>
        <v>0</v>
      </c>
      <c r="S19" s="1"/>
      <c r="T19" s="1">
        <f>SUM(OSRRefT22_0x_0)</f>
        <v>30706.357740134001</v>
      </c>
      <c r="U19" s="1"/>
      <c r="V19" s="5">
        <f t="shared" si="5"/>
        <v>0</v>
      </c>
      <c r="W19" s="1"/>
      <c r="X19" s="1">
        <f t="shared" si="6"/>
        <v>6920.8222598659995</v>
      </c>
      <c r="Y19" s="1"/>
      <c r="Z19" s="5">
        <f t="shared" si="7"/>
        <v>0.22538727381594681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701.44</v>
      </c>
      <c r="E20" s="2"/>
      <c r="F20" s="7">
        <f t="shared" si="0"/>
        <v>0</v>
      </c>
      <c r="G20" s="2"/>
      <c r="H20" s="6">
        <v>886.113104916</v>
      </c>
      <c r="I20" s="2"/>
      <c r="J20" s="7">
        <f t="shared" si="1"/>
        <v>0</v>
      </c>
      <c r="K20" s="2"/>
      <c r="L20" s="6">
        <f t="shared" si="2"/>
        <v>-184.67310491599994</v>
      </c>
      <c r="M20" s="2"/>
      <c r="N20" s="7">
        <f t="shared" si="3"/>
        <v>-0.20840805072339633</v>
      </c>
      <c r="O20" s="11"/>
      <c r="P20" s="6">
        <v>9945.7800000000007</v>
      </c>
      <c r="Q20" s="2"/>
      <c r="R20" s="7">
        <f t="shared" si="4"/>
        <v>0</v>
      </c>
      <c r="S20" s="2"/>
      <c r="T20" s="6">
        <v>9290.7719844540006</v>
      </c>
      <c r="U20" s="2"/>
      <c r="V20" s="7">
        <f t="shared" si="5"/>
        <v>0</v>
      </c>
      <c r="W20" s="2"/>
      <c r="X20" s="6">
        <f t="shared" si="6"/>
        <v>655.00801554600002</v>
      </c>
      <c r="Y20" s="2"/>
      <c r="Z20" s="7">
        <f t="shared" si="7"/>
        <v>7.0500924642430934E-2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823.5</v>
      </c>
      <c r="E21" s="2"/>
      <c r="F21" s="7">
        <f t="shared" si="0"/>
        <v>0</v>
      </c>
      <c r="G21" s="2"/>
      <c r="H21" s="6">
        <v>635.25335680000001</v>
      </c>
      <c r="I21" s="2"/>
      <c r="J21" s="7">
        <f t="shared" si="1"/>
        <v>0</v>
      </c>
      <c r="K21" s="2"/>
      <c r="L21" s="6">
        <f t="shared" si="2"/>
        <v>188.24664319999999</v>
      </c>
      <c r="M21" s="2"/>
      <c r="N21" s="7">
        <f t="shared" si="3"/>
        <v>0.29633317350460947</v>
      </c>
      <c r="O21" s="11"/>
      <c r="P21" s="6">
        <v>3464.4</v>
      </c>
      <c r="Q21" s="2"/>
      <c r="R21" s="7">
        <f t="shared" si="4"/>
        <v>0</v>
      </c>
      <c r="S21" s="2"/>
      <c r="T21" s="6">
        <v>4365.8179442000001</v>
      </c>
      <c r="U21" s="2"/>
      <c r="V21" s="7">
        <f t="shared" si="5"/>
        <v>0</v>
      </c>
      <c r="W21" s="2"/>
      <c r="X21" s="6">
        <f t="shared" si="6"/>
        <v>-901.41794419999997</v>
      </c>
      <c r="Y21" s="2"/>
      <c r="Z21" s="7">
        <f t="shared" si="7"/>
        <v>-0.20647172092861452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1286.27</v>
      </c>
      <c r="M22" s="2"/>
      <c r="N22" s="7">
        <f t="shared" si="3"/>
        <v>1.9400754147812971</v>
      </c>
      <c r="O22" s="11"/>
      <c r="P22" s="6">
        <v>11695.62</v>
      </c>
      <c r="Q22" s="2"/>
      <c r="R22" s="7">
        <f t="shared" si="4"/>
        <v>0</v>
      </c>
      <c r="S22" s="2"/>
      <c r="T22" s="6">
        <v>3978</v>
      </c>
      <c r="U22" s="2"/>
      <c r="V22" s="7">
        <f t="shared" si="5"/>
        <v>0</v>
      </c>
      <c r="W22" s="2"/>
      <c r="X22" s="6">
        <f t="shared" si="6"/>
        <v>7717.6200000000008</v>
      </c>
      <c r="Y22" s="2"/>
      <c r="Z22" s="7">
        <f t="shared" si="7"/>
        <v>1.9400754147812973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112.69</v>
      </c>
      <c r="E23" s="2"/>
      <c r="F23" s="7">
        <f t="shared" si="0"/>
        <v>0</v>
      </c>
      <c r="G23" s="2"/>
      <c r="H23" s="6">
        <v>86.929406720000003</v>
      </c>
      <c r="I23" s="2"/>
      <c r="J23" s="7">
        <f t="shared" si="1"/>
        <v>0</v>
      </c>
      <c r="K23" s="2"/>
      <c r="L23" s="6">
        <f t="shared" si="2"/>
        <v>25.760593279999995</v>
      </c>
      <c r="M23" s="2"/>
      <c r="N23" s="7">
        <f t="shared" si="3"/>
        <v>0.2963392280241251</v>
      </c>
      <c r="O23" s="11"/>
      <c r="P23" s="6">
        <v>569.94000000000005</v>
      </c>
      <c r="Q23" s="2"/>
      <c r="R23" s="7">
        <f t="shared" si="4"/>
        <v>0</v>
      </c>
      <c r="S23" s="2"/>
      <c r="T23" s="6">
        <v>597.42771868</v>
      </c>
      <c r="U23" s="2"/>
      <c r="V23" s="7">
        <f t="shared" si="5"/>
        <v>0</v>
      </c>
      <c r="W23" s="2"/>
      <c r="X23" s="6">
        <f t="shared" si="6"/>
        <v>-27.487718679999944</v>
      </c>
      <c r="Y23" s="2"/>
      <c r="Z23" s="7">
        <f t="shared" si="7"/>
        <v>-4.601011607016376E-2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698.13399919999995</v>
      </c>
      <c r="I24" s="2"/>
      <c r="J24" s="7">
        <f t="shared" si="1"/>
        <v>0</v>
      </c>
      <c r="K24" s="2"/>
      <c r="L24" s="6">
        <f t="shared" si="2"/>
        <v>-6.8339991999999938</v>
      </c>
      <c r="M24" s="2"/>
      <c r="N24" s="7">
        <f t="shared" si="3"/>
        <v>-9.7889505565280522E-3</v>
      </c>
      <c r="O24" s="11"/>
      <c r="P24" s="6">
        <v>4428.42</v>
      </c>
      <c r="Q24" s="2"/>
      <c r="R24" s="7">
        <f t="shared" si="4"/>
        <v>0</v>
      </c>
      <c r="S24" s="2"/>
      <c r="T24" s="6">
        <v>4537.8709948000005</v>
      </c>
      <c r="U24" s="2"/>
      <c r="V24" s="7">
        <f t="shared" si="5"/>
        <v>0</v>
      </c>
      <c r="W24" s="2"/>
      <c r="X24" s="6">
        <f t="shared" si="6"/>
        <v>-109.45099480000044</v>
      </c>
      <c r="Y24" s="2"/>
      <c r="Z24" s="7">
        <f t="shared" si="7"/>
        <v>-2.4119459307111554E-2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286.44</v>
      </c>
      <c r="E26" s="2"/>
      <c r="F26" s="7">
        <f t="shared" si="0"/>
        <v>0</v>
      </c>
      <c r="G26" s="2"/>
      <c r="H26" s="6">
        <v>606.64860399999998</v>
      </c>
      <c r="I26" s="2"/>
      <c r="J26" s="7">
        <f t="shared" si="1"/>
        <v>0</v>
      </c>
      <c r="K26" s="2"/>
      <c r="L26" s="6">
        <f t="shared" si="2"/>
        <v>-320.20860399999998</v>
      </c>
      <c r="M26" s="2"/>
      <c r="N26" s="7">
        <f t="shared" si="3"/>
        <v>-0.52783209569538547</v>
      </c>
      <c r="O26" s="11"/>
      <c r="P26" s="6">
        <v>2306.4299999999998</v>
      </c>
      <c r="Q26" s="2"/>
      <c r="R26" s="7">
        <f t="shared" si="4"/>
        <v>0</v>
      </c>
      <c r="S26" s="2"/>
      <c r="T26" s="6">
        <v>3943.2159260000003</v>
      </c>
      <c r="U26" s="2"/>
      <c r="V26" s="7">
        <f t="shared" si="5"/>
        <v>0</v>
      </c>
      <c r="W26" s="2"/>
      <c r="X26" s="6">
        <f t="shared" si="6"/>
        <v>-1636.7859260000005</v>
      </c>
      <c r="Y26" s="2"/>
      <c r="Z26" s="7">
        <f t="shared" si="7"/>
        <v>-0.41508909395696136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595.18298800000002</v>
      </c>
      <c r="I27" s="2"/>
      <c r="J27" s="7">
        <f t="shared" si="1"/>
        <v>0</v>
      </c>
      <c r="K27" s="2"/>
      <c r="L27" s="6">
        <f t="shared" si="2"/>
        <v>-220.74298800000003</v>
      </c>
      <c r="M27" s="2"/>
      <c r="N27" s="7">
        <f t="shared" si="3"/>
        <v>-0.37088255620639482</v>
      </c>
      <c r="O27" s="11"/>
      <c r="P27" s="6">
        <v>3312.49</v>
      </c>
      <c r="Q27" s="2"/>
      <c r="R27" s="7">
        <f t="shared" si="4"/>
        <v>0</v>
      </c>
      <c r="S27" s="2"/>
      <c r="T27" s="6">
        <v>3993.2531719999997</v>
      </c>
      <c r="U27" s="2"/>
      <c r="V27" s="7">
        <f t="shared" si="5"/>
        <v>0</v>
      </c>
      <c r="W27" s="2"/>
      <c r="X27" s="6">
        <f t="shared" si="6"/>
        <v>-680.76317199999994</v>
      </c>
      <c r="Y27" s="2"/>
      <c r="Z27" s="7">
        <f t="shared" si="7"/>
        <v>-0.17047834000944231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345.84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345.84</v>
      </c>
      <c r="M28" s="2"/>
      <c r="N28" s="7">
        <f t="shared" si="3"/>
        <v>0</v>
      </c>
      <c r="O28" s="11"/>
      <c r="P28" s="6">
        <v>1904.1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1904.1</v>
      </c>
      <c r="Y28" s="2"/>
      <c r="Z28" s="7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31955.96</v>
      </c>
      <c r="E29" s="1"/>
      <c r="F29" s="5">
        <f t="shared" ref="F29:F39" si="8">IF(D$12=0,0,D29/D$12)</f>
        <v>0</v>
      </c>
      <c r="G29" s="1"/>
      <c r="H29" s="1">
        <f>SUM(OSRRefH22_1x_0)</f>
        <v>32503.025107999998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-547.06510799999887</v>
      </c>
      <c r="M29" s="1"/>
      <c r="N29" s="5">
        <f t="shared" ref="N29:N39" si="11">IF(H29=0,0,L29/H29)</f>
        <v>-1.6831205901057782E-2</v>
      </c>
      <c r="O29" s="13"/>
      <c r="P29" s="1">
        <f>SUM(OSRRefP22_1x_0)</f>
        <v>208746.55</v>
      </c>
      <c r="Q29" s="1"/>
      <c r="R29" s="5">
        <f t="shared" ref="R29:R39" si="12">IF(P$12=0,0,P29/P$12)</f>
        <v>0</v>
      </c>
      <c r="S29" s="1"/>
      <c r="T29" s="1">
        <f>SUM(OSRRefT22_1x_0)</f>
        <v>223726.038202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-14979.488202000008</v>
      </c>
      <c r="Y29" s="1"/>
      <c r="Z29" s="5">
        <f t="shared" ref="Z29:Z39" si="15">IF(T29=0,0,X29/T29)</f>
        <v>-6.6954603596364487E-2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24747.288202</v>
      </c>
      <c r="U30" s="2"/>
      <c r="V30" s="7">
        <f t="shared" si="13"/>
        <v>0</v>
      </c>
      <c r="W30" s="2"/>
      <c r="X30" s="6">
        <f t="shared" si="14"/>
        <v>-24747.288202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7783.22</v>
      </c>
      <c r="E31" s="2"/>
      <c r="F31" s="7">
        <f t="shared" si="8"/>
        <v>0</v>
      </c>
      <c r="G31" s="2"/>
      <c r="H31" s="6">
        <v>3379.2</v>
      </c>
      <c r="I31" s="2"/>
      <c r="J31" s="7">
        <f t="shared" si="9"/>
        <v>0</v>
      </c>
      <c r="K31" s="2"/>
      <c r="L31" s="6">
        <f t="shared" si="10"/>
        <v>4404.0200000000004</v>
      </c>
      <c r="M31" s="2"/>
      <c r="N31" s="7">
        <f t="shared" si="11"/>
        <v>1.3032729640151517</v>
      </c>
      <c r="O31" s="11"/>
      <c r="P31" s="6">
        <v>50467.56</v>
      </c>
      <c r="Q31" s="2"/>
      <c r="R31" s="7">
        <f t="shared" si="12"/>
        <v>0</v>
      </c>
      <c r="S31" s="2"/>
      <c r="T31" s="6">
        <v>21964.799999999999</v>
      </c>
      <c r="U31" s="2"/>
      <c r="V31" s="7">
        <f t="shared" si="13"/>
        <v>0</v>
      </c>
      <c r="W31" s="2"/>
      <c r="X31" s="6">
        <f t="shared" si="14"/>
        <v>28502.76</v>
      </c>
      <c r="Y31" s="2"/>
      <c r="Z31" s="7">
        <f t="shared" si="15"/>
        <v>1.29765625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-3460.8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22495.200000000001</v>
      </c>
      <c r="U33" s="2"/>
      <c r="V33" s="7">
        <f t="shared" si="13"/>
        <v>0</v>
      </c>
      <c r="W33" s="2"/>
      <c r="X33" s="6">
        <f t="shared" si="14"/>
        <v>-22495.200000000001</v>
      </c>
      <c r="Y33" s="2"/>
      <c r="Z33" s="7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1049.79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1049.79</v>
      </c>
      <c r="M34" s="2"/>
      <c r="N34" s="7">
        <f t="shared" si="11"/>
        <v>0</v>
      </c>
      <c r="O34" s="11"/>
      <c r="P34" s="6">
        <v>11089.38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11089.38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9085.3700000000008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9085.3700000000008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21962.7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21962.7</v>
      </c>
      <c r="M36" s="2"/>
      <c r="N36" s="7">
        <f t="shared" si="11"/>
        <v>0</v>
      </c>
      <c r="O36" s="11"/>
      <c r="P36" s="6">
        <v>132407.99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86268.739999999991</v>
      </c>
      <c r="Y36" s="2"/>
      <c r="Z36" s="7">
        <f t="shared" si="15"/>
        <v>1.8697473409299021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1160.25</v>
      </c>
      <c r="E37" s="2"/>
      <c r="F37" s="7">
        <f t="shared" si="8"/>
        <v>0</v>
      </c>
      <c r="G37" s="2"/>
      <c r="H37" s="6">
        <v>21855.75</v>
      </c>
      <c r="I37" s="2"/>
      <c r="J37" s="7">
        <f t="shared" si="9"/>
        <v>0</v>
      </c>
      <c r="K37" s="2"/>
      <c r="L37" s="6">
        <f t="shared" si="10"/>
        <v>-20695.5</v>
      </c>
      <c r="M37" s="2"/>
      <c r="N37" s="7">
        <f t="shared" si="11"/>
        <v>-0.94691328368964689</v>
      </c>
      <c r="O37" s="11"/>
      <c r="P37" s="6">
        <v>5696.25</v>
      </c>
      <c r="Q37" s="2"/>
      <c r="R37" s="7">
        <f t="shared" si="12"/>
        <v>0</v>
      </c>
      <c r="S37" s="2"/>
      <c r="T37" s="6">
        <v>108379.5</v>
      </c>
      <c r="U37" s="2"/>
      <c r="V37" s="7">
        <f t="shared" si="13"/>
        <v>0</v>
      </c>
      <c r="W37" s="2"/>
      <c r="X37" s="6">
        <f t="shared" si="14"/>
        <v>-102683.25</v>
      </c>
      <c r="Y37" s="2"/>
      <c r="Z37" s="7">
        <f t="shared" si="15"/>
        <v>-0.94744162872129878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36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36</v>
      </c>
      <c r="M40" s="1"/>
      <c r="N40" s="5">
        <f t="shared" ref="N40:N52" si="19">IF(H40=0,0,L40/H40)</f>
        <v>0</v>
      </c>
      <c r="O40" s="13"/>
      <c r="P40" s="1">
        <f>SUM(OSRRefP22_2x_0)</f>
        <v>186</v>
      </c>
      <c r="Q40" s="1"/>
      <c r="R40" s="5">
        <f t="shared" ref="R40:R52" si="20">IF(P$12=0,0,P40/P$12)</f>
        <v>0</v>
      </c>
      <c r="S40" s="1"/>
      <c r="T40" s="1">
        <f>SUM(OSRRefT22_2x_0)</f>
        <v>400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-214</v>
      </c>
      <c r="Y40" s="1"/>
      <c r="Z40" s="5">
        <f t="shared" ref="Z40:Z52" si="23">IF(T40=0,0,X40/T40)</f>
        <v>-0.53500000000000003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>
        <v>36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36</v>
      </c>
      <c r="M41" s="2"/>
      <c r="N41" s="7">
        <f t="shared" si="19"/>
        <v>0</v>
      </c>
      <c r="O41" s="11"/>
      <c r="P41" s="6">
        <v>186</v>
      </c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-214</v>
      </c>
      <c r="Y41" s="2"/>
      <c r="Z41" s="7">
        <f t="shared" si="23"/>
        <v>-0.53500000000000003</v>
      </c>
    </row>
    <row r="42" spans="1:26" s="25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300</v>
      </c>
      <c r="U42" s="1"/>
      <c r="V42" s="5">
        <f t="shared" si="21"/>
        <v>0</v>
      </c>
      <c r="W42" s="1"/>
      <c r="X42" s="1">
        <f t="shared" si="22"/>
        <v>-300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300</v>
      </c>
      <c r="U43" s="2"/>
      <c r="V43" s="7">
        <f t="shared" si="21"/>
        <v>0</v>
      </c>
      <c r="W43" s="2"/>
      <c r="X43" s="6">
        <f t="shared" si="22"/>
        <v>-300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-125</v>
      </c>
      <c r="M44" s="1"/>
      <c r="N44" s="5">
        <f t="shared" si="19"/>
        <v>-1</v>
      </c>
      <c r="O44" s="13"/>
      <c r="P44" s="1">
        <f>SUM(OSRRefP22_4x_0)</f>
        <v>610.41999999999996</v>
      </c>
      <c r="Q44" s="1"/>
      <c r="R44" s="5">
        <f t="shared" si="20"/>
        <v>0</v>
      </c>
      <c r="S44" s="1"/>
      <c r="T44" s="1">
        <f>SUM(OSRRefT22_4x_0)</f>
        <v>750</v>
      </c>
      <c r="U44" s="1"/>
      <c r="V44" s="5">
        <f t="shared" si="21"/>
        <v>0</v>
      </c>
      <c r="W44" s="1"/>
      <c r="X44" s="1">
        <f t="shared" si="22"/>
        <v>-139.58000000000004</v>
      </c>
      <c r="Y44" s="1"/>
      <c r="Z44" s="5">
        <f t="shared" si="23"/>
        <v>-0.18610666666666673</v>
      </c>
    </row>
    <row r="45" spans="1:26" s="24" customFormat="1" hidden="1" outlineLevel="2" x14ac:dyDescent="0.25">
      <c r="A45" s="26"/>
      <c r="B45" s="11" t="str">
        <f>CONCATENATE("          ", "6351", " - ", "EQUIPMENT RENTAL")</f>
        <v xml:space="preserve">          6351 - EQUIPMENT RENTAL</v>
      </c>
      <c r="C45" s="11"/>
      <c r="D45" s="6"/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-125</v>
      </c>
      <c r="M45" s="2"/>
      <c r="N45" s="7">
        <f t="shared" si="19"/>
        <v>-1</v>
      </c>
      <c r="O45" s="11"/>
      <c r="P45" s="6">
        <v>610.41999999999996</v>
      </c>
      <c r="Q45" s="2"/>
      <c r="R45" s="7">
        <f t="shared" si="20"/>
        <v>0</v>
      </c>
      <c r="S45" s="2"/>
      <c r="T45" s="6">
        <v>750</v>
      </c>
      <c r="U45" s="2"/>
      <c r="V45" s="7">
        <f t="shared" si="21"/>
        <v>0</v>
      </c>
      <c r="W45" s="2"/>
      <c r="X45" s="6">
        <f t="shared" si="22"/>
        <v>-139.58000000000004</v>
      </c>
      <c r="Y45" s="2"/>
      <c r="Z45" s="7">
        <f t="shared" si="23"/>
        <v>-0.18610666666666673</v>
      </c>
    </row>
    <row r="46" spans="1:26" s="25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-10</v>
      </c>
      <c r="M46" s="1"/>
      <c r="N46" s="5">
        <f t="shared" si="19"/>
        <v>-1</v>
      </c>
      <c r="O46" s="13"/>
      <c r="P46" s="1">
        <f>SUM(OSRRefP22_5x_0)</f>
        <v>400</v>
      </c>
      <c r="Q46" s="1"/>
      <c r="R46" s="5">
        <f t="shared" si="20"/>
        <v>0</v>
      </c>
      <c r="S46" s="1"/>
      <c r="T46" s="1">
        <f>SUM(OSRRefT22_5x_0)</f>
        <v>60</v>
      </c>
      <c r="U46" s="1"/>
      <c r="V46" s="5">
        <f t="shared" si="21"/>
        <v>0</v>
      </c>
      <c r="W46" s="1"/>
      <c r="X46" s="1">
        <f t="shared" si="22"/>
        <v>340</v>
      </c>
      <c r="Y46" s="1"/>
      <c r="Z46" s="5">
        <f t="shared" si="23"/>
        <v>5.666666666666667</v>
      </c>
    </row>
    <row r="47" spans="1:26" s="24" customFormat="1" hidden="1" outlineLevel="2" x14ac:dyDescent="0.25">
      <c r="A47" s="26"/>
      <c r="B47" s="11" t="str">
        <f>CONCATENATE("          ", "6307", " - ", "POSTAGE")</f>
        <v xml:space="preserve">          6307 - POSTAGE</v>
      </c>
      <c r="C47" s="11"/>
      <c r="D47" s="6"/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-10</v>
      </c>
      <c r="M47" s="2"/>
      <c r="N47" s="7">
        <f t="shared" si="19"/>
        <v>-1</v>
      </c>
      <c r="O47" s="11"/>
      <c r="P47" s="6">
        <v>400</v>
      </c>
      <c r="Q47" s="2"/>
      <c r="R47" s="7">
        <f t="shared" si="20"/>
        <v>0</v>
      </c>
      <c r="S47" s="2"/>
      <c r="T47" s="6">
        <v>60</v>
      </c>
      <c r="U47" s="2"/>
      <c r="V47" s="7">
        <f t="shared" si="21"/>
        <v>0</v>
      </c>
      <c r="W47" s="2"/>
      <c r="X47" s="6">
        <f t="shared" si="22"/>
        <v>340</v>
      </c>
      <c r="Y47" s="2"/>
      <c r="Z47" s="7">
        <f t="shared" si="23"/>
        <v>5.666666666666667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5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9.14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-115.86</v>
      </c>
      <c r="M50" s="1"/>
      <c r="N50" s="5">
        <f t="shared" si="19"/>
        <v>-0.92688000000000004</v>
      </c>
      <c r="O50" s="13"/>
      <c r="P50" s="1">
        <f>SUM(OSRRefP22_7x_0)</f>
        <v>251.55</v>
      </c>
      <c r="Q50" s="1"/>
      <c r="R50" s="5">
        <f t="shared" si="20"/>
        <v>0</v>
      </c>
      <c r="S50" s="1"/>
      <c r="T50" s="1">
        <f>SUM(OSRRefT22_7x_0)</f>
        <v>750</v>
      </c>
      <c r="U50" s="1"/>
      <c r="V50" s="5">
        <f t="shared" si="21"/>
        <v>0</v>
      </c>
      <c r="W50" s="1"/>
      <c r="X50" s="1">
        <f t="shared" si="22"/>
        <v>-498.45</v>
      </c>
      <c r="Y50" s="1"/>
      <c r="Z50" s="5">
        <f t="shared" si="23"/>
        <v>-0.66459999999999997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6">
        <v>9.14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9.14</v>
      </c>
      <c r="M51" s="2"/>
      <c r="N51" s="7">
        <f t="shared" si="19"/>
        <v>0</v>
      </c>
      <c r="O51" s="11"/>
      <c r="P51" s="6">
        <v>59.22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59.22</v>
      </c>
      <c r="Y51" s="2"/>
      <c r="Z51" s="7">
        <f t="shared" si="23"/>
        <v>0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-125</v>
      </c>
      <c r="M52" s="2"/>
      <c r="N52" s="7">
        <f t="shared" si="19"/>
        <v>-1</v>
      </c>
      <c r="O52" s="11"/>
      <c r="P52" s="6">
        <v>192.33</v>
      </c>
      <c r="Q52" s="2"/>
      <c r="R52" s="7">
        <f t="shared" si="20"/>
        <v>0</v>
      </c>
      <c r="S52" s="2"/>
      <c r="T52" s="6">
        <v>750</v>
      </c>
      <c r="U52" s="2"/>
      <c r="V52" s="7">
        <f t="shared" si="21"/>
        <v>0</v>
      </c>
      <c r="W52" s="2"/>
      <c r="X52" s="6">
        <f t="shared" si="22"/>
        <v>-557.66999999999996</v>
      </c>
      <c r="Y52" s="2"/>
      <c r="Z52" s="7">
        <f t="shared" si="23"/>
        <v>-0.74356</v>
      </c>
    </row>
    <row r="53" spans="1:26" s="25" customFormat="1" outlineLevel="1" collapsed="1" x14ac:dyDescent="0.25">
      <c r="A53" s="27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1224.78</v>
      </c>
      <c r="E53" s="1"/>
      <c r="F53" s="5">
        <f t="shared" ref="F53:F57" si="24">IF(D$12=0,0,D53/D$12)</f>
        <v>0</v>
      </c>
      <c r="G53" s="1"/>
      <c r="H53" s="1">
        <f>SUM(OSRRefH22_8x_0)</f>
        <v>700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524.78</v>
      </c>
      <c r="M53" s="1"/>
      <c r="N53" s="5">
        <f t="shared" ref="N53:N57" si="27">IF(H53=0,0,L53/H53)</f>
        <v>0.74968571428571429</v>
      </c>
      <c r="O53" s="13"/>
      <c r="P53" s="1">
        <f>SUM(OSRRefP22_8x_0)</f>
        <v>2212.73</v>
      </c>
      <c r="Q53" s="1"/>
      <c r="R53" s="5">
        <f t="shared" ref="R53:R57" si="28">IF(P$12=0,0,P53/P$12)</f>
        <v>0</v>
      </c>
      <c r="S53" s="1"/>
      <c r="T53" s="1">
        <f>SUM(OSRRefT22_8x_0)</f>
        <v>3700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-1487.27</v>
      </c>
      <c r="Y53" s="1"/>
      <c r="Z53" s="5">
        <f t="shared" ref="Z53:Z57" si="31">IF(T53=0,0,X53/T53)</f>
        <v>-0.40196486486486488</v>
      </c>
    </row>
    <row r="54" spans="1:26" s="24" customFormat="1" hidden="1" outlineLevel="2" x14ac:dyDescent="0.25">
      <c r="A54" s="26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6"/>
      <c r="B55" s="11" t="str">
        <f>CONCATENATE("          ", "6241", " - ", "OFFICE EXPENSE")</f>
        <v xml:space="preserve">          6241 - OFFICE EXPENSE</v>
      </c>
      <c r="C55" s="11"/>
      <c r="D55" s="6">
        <v>1037.18</v>
      </c>
      <c r="E55" s="2"/>
      <c r="F55" s="7">
        <f t="shared" si="24"/>
        <v>0</v>
      </c>
      <c r="G55" s="2"/>
      <c r="H55" s="6">
        <v>400</v>
      </c>
      <c r="I55" s="2"/>
      <c r="J55" s="7">
        <f t="shared" si="25"/>
        <v>0</v>
      </c>
      <c r="K55" s="2"/>
      <c r="L55" s="6">
        <f t="shared" si="26"/>
        <v>637.18000000000006</v>
      </c>
      <c r="M55" s="2"/>
      <c r="N55" s="7">
        <f t="shared" si="27"/>
        <v>1.5929500000000001</v>
      </c>
      <c r="O55" s="11"/>
      <c r="P55" s="6">
        <v>1351.05</v>
      </c>
      <c r="Q55" s="2"/>
      <c r="R55" s="7">
        <f t="shared" si="28"/>
        <v>0</v>
      </c>
      <c r="S55" s="2"/>
      <c r="T55" s="6">
        <v>1400</v>
      </c>
      <c r="U55" s="2"/>
      <c r="V55" s="7">
        <f t="shared" si="29"/>
        <v>0</v>
      </c>
      <c r="W55" s="2"/>
      <c r="X55" s="6">
        <f t="shared" si="30"/>
        <v>-48.950000000000045</v>
      </c>
      <c r="Y55" s="2"/>
      <c r="Z55" s="7">
        <f t="shared" si="31"/>
        <v>-3.4964285714285746E-2</v>
      </c>
    </row>
    <row r="56" spans="1:26" s="24" customFormat="1" hidden="1" outlineLevel="2" x14ac:dyDescent="0.25">
      <c r="A56" s="26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500</v>
      </c>
      <c r="U56" s="2"/>
      <c r="V56" s="7">
        <f t="shared" si="29"/>
        <v>0</v>
      </c>
      <c r="W56" s="2"/>
      <c r="X56" s="6">
        <f t="shared" si="30"/>
        <v>-500</v>
      </c>
      <c r="Y56" s="2"/>
      <c r="Z56" s="7">
        <f t="shared" si="31"/>
        <v>-1</v>
      </c>
    </row>
    <row r="57" spans="1:26" s="24" customFormat="1" hidden="1" outlineLevel="2" x14ac:dyDescent="0.25">
      <c r="A57" s="26"/>
      <c r="B57" s="11" t="str">
        <f>CONCATENATE("          ", "6247", " - ", "STORE SUPPLIES")</f>
        <v xml:space="preserve">          6247 - STORE SUPPLIES</v>
      </c>
      <c r="C57" s="11"/>
      <c r="D57" s="6">
        <v>187.6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-112.4</v>
      </c>
      <c r="M57" s="2"/>
      <c r="N57" s="7">
        <f t="shared" si="27"/>
        <v>-0.3746666666666667</v>
      </c>
      <c r="O57" s="11"/>
      <c r="P57" s="6">
        <v>634.73</v>
      </c>
      <c r="Q57" s="2"/>
      <c r="R57" s="7">
        <f t="shared" si="28"/>
        <v>0</v>
      </c>
      <c r="S57" s="2"/>
      <c r="T57" s="6">
        <v>1800</v>
      </c>
      <c r="U57" s="2"/>
      <c r="V57" s="7">
        <f t="shared" si="29"/>
        <v>0</v>
      </c>
      <c r="W57" s="2"/>
      <c r="X57" s="6">
        <f t="shared" si="30"/>
        <v>-1165.27</v>
      </c>
      <c r="Y57" s="2"/>
      <c r="Z57" s="7">
        <f t="shared" si="31"/>
        <v>-0.64737222222222224</v>
      </c>
    </row>
    <row r="58" spans="1:26" s="25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159.69999999999999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-5.3000000000000114</v>
      </c>
      <c r="M58" s="1"/>
      <c r="N58" s="5">
        <f t="shared" ref="N58:N61" si="35">IF(H58=0,0,L58/H58)</f>
        <v>-3.2121212121212189E-2</v>
      </c>
      <c r="O58" s="13"/>
      <c r="P58" s="1">
        <f>SUM(OSRRefP22_9x_0)</f>
        <v>931.9</v>
      </c>
      <c r="Q58" s="1"/>
      <c r="R58" s="5">
        <f t="shared" ref="R58:R61" si="36">IF(P$12=0,0,P58/P$12)</f>
        <v>0</v>
      </c>
      <c r="S58" s="1"/>
      <c r="T58" s="1">
        <f>SUM(OSRRefT22_9x_0)</f>
        <v>990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-58.100000000000023</v>
      </c>
      <c r="Y58" s="1"/>
      <c r="Z58" s="5">
        <f t="shared" ref="Z58:Z61" si="39">IF(T58=0,0,X58/T58)</f>
        <v>-5.8686868686868711E-2</v>
      </c>
    </row>
    <row r="59" spans="1:26" s="24" customFormat="1" hidden="1" outlineLevel="2" x14ac:dyDescent="0.25">
      <c r="A59" s="26"/>
      <c r="B59" s="11" t="str">
        <f>CONCATENATE("          ", "6309", " - ", "TELEPHONE")</f>
        <v xml:space="preserve">          6309 - TELEPHONE</v>
      </c>
      <c r="C59" s="11"/>
      <c r="D59" s="6">
        <v>159.69999999999999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-5.3000000000000114</v>
      </c>
      <c r="M59" s="2"/>
      <c r="N59" s="7">
        <f t="shared" si="35"/>
        <v>-3.2121212121212189E-2</v>
      </c>
      <c r="O59" s="11"/>
      <c r="P59" s="6">
        <v>931.9</v>
      </c>
      <c r="Q59" s="2"/>
      <c r="R59" s="7">
        <f t="shared" si="36"/>
        <v>0</v>
      </c>
      <c r="S59" s="2"/>
      <c r="T59" s="6">
        <v>990</v>
      </c>
      <c r="U59" s="2"/>
      <c r="V59" s="7">
        <f t="shared" si="37"/>
        <v>0</v>
      </c>
      <c r="W59" s="2"/>
      <c r="X59" s="6">
        <f t="shared" si="38"/>
        <v>-58.100000000000023</v>
      </c>
      <c r="Y59" s="2"/>
      <c r="Z59" s="7">
        <f t="shared" si="39"/>
        <v>-5.8686868686868711E-2</v>
      </c>
    </row>
    <row r="60" spans="1:26" s="25" customFormat="1" outlineLevel="1" collapsed="1" x14ac:dyDescent="0.25">
      <c r="A60" s="27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750</v>
      </c>
      <c r="U60" s="1"/>
      <c r="V60" s="5">
        <f t="shared" si="37"/>
        <v>0</v>
      </c>
      <c r="W60" s="1"/>
      <c r="X60" s="1">
        <f t="shared" si="38"/>
        <v>-670</v>
      </c>
      <c r="Y60" s="1"/>
      <c r="Z60" s="5">
        <f t="shared" si="39"/>
        <v>-0.89333333333333331</v>
      </c>
    </row>
    <row r="61" spans="1:26" s="24" customFormat="1" hidden="1" outlineLevel="2" x14ac:dyDescent="0.25">
      <c r="A61" s="26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80</v>
      </c>
      <c r="Q61" s="2"/>
      <c r="R61" s="7">
        <f t="shared" si="36"/>
        <v>0</v>
      </c>
      <c r="S61" s="2"/>
      <c r="T61" s="6">
        <v>750</v>
      </c>
      <c r="U61" s="2"/>
      <c r="V61" s="7">
        <f t="shared" si="37"/>
        <v>0</v>
      </c>
      <c r="W61" s="2"/>
      <c r="X61" s="6">
        <f t="shared" si="38"/>
        <v>-670</v>
      </c>
      <c r="Y61" s="2"/>
      <c r="Z61" s="7">
        <f t="shared" si="39"/>
        <v>-0.89333333333333331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2">
        <f>+D16-D18+D63</f>
        <v>-38670.5</v>
      </c>
      <c r="E65" s="14"/>
      <c r="F65" s="20">
        <f>IF(D$12=0,0,D65/D$12)</f>
        <v>0</v>
      </c>
      <c r="G65" s="14"/>
      <c r="H65" s="22">
        <f>+H16-H18+H63</f>
        <v>-37849.286567635994</v>
      </c>
      <c r="I65" s="14"/>
      <c r="J65" s="20">
        <f>IF(H$12=0,0,H65/H$12)</f>
        <v>0</v>
      </c>
      <c r="K65" s="16"/>
      <c r="L65" s="22">
        <f>+D65-H65</f>
        <v>-821.21343236400571</v>
      </c>
      <c r="M65" s="16"/>
      <c r="N65" s="20">
        <f>IF(H65=0,0,L65/H65)</f>
        <v>2.1696932936807464E-2</v>
      </c>
      <c r="O65" s="28"/>
      <c r="P65" s="22">
        <f>+P16-P18+P63</f>
        <v>-251135.78</v>
      </c>
      <c r="Q65" s="14"/>
      <c r="R65" s="20">
        <f>IF(P$12=0,0,P65/P$12)</f>
        <v>0</v>
      </c>
      <c r="S65" s="14"/>
      <c r="T65" s="22">
        <f>+T16-T18+T63</f>
        <v>-262132.395942134</v>
      </c>
      <c r="U65" s="14"/>
      <c r="V65" s="20">
        <f>IF(T$12=0,0,T65/T$12)</f>
        <v>0</v>
      </c>
      <c r="W65" s="16"/>
      <c r="X65" s="22">
        <f>+P65-T65</f>
        <v>10996.615942133998</v>
      </c>
      <c r="Y65" s="16"/>
      <c r="Z65" s="20">
        <f>IF(T65=0,0,X65/T65)</f>
        <v>-4.1950617750281853E-2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1">
        <f>+D65-D67</f>
        <v>-38670.5</v>
      </c>
      <c r="E69" s="14"/>
      <c r="F69" s="32">
        <f>IF(D$12=0,0,D69/D$12)</f>
        <v>0</v>
      </c>
      <c r="G69" s="14"/>
      <c r="H69" s="31">
        <f>+H65-H67</f>
        <v>-37849.286567635994</v>
      </c>
      <c r="I69" s="14"/>
      <c r="J69" s="32">
        <f>IF(H$12=0,0,H69/H$12)</f>
        <v>0</v>
      </c>
      <c r="K69" s="16"/>
      <c r="L69" s="31">
        <f>D69-H69</f>
        <v>-821.21343236400571</v>
      </c>
      <c r="M69" s="16"/>
      <c r="N69" s="32">
        <f>IF(H69=0,0,L69/H69)</f>
        <v>2.1696932936807464E-2</v>
      </c>
      <c r="O69" s="28"/>
      <c r="P69" s="31">
        <f>+P65-P67</f>
        <v>-251135.78</v>
      </c>
      <c r="Q69" s="14"/>
      <c r="R69" s="32">
        <f>IF(P$12=0,0,P69/P$12)</f>
        <v>0</v>
      </c>
      <c r="S69" s="14"/>
      <c r="T69" s="31">
        <f>+T65-T67</f>
        <v>-262132.395942134</v>
      </c>
      <c r="U69" s="14"/>
      <c r="V69" s="32">
        <f>IF(T$12=0,0,T69/T$12)</f>
        <v>0</v>
      </c>
      <c r="W69" s="16"/>
      <c r="X69" s="31">
        <f>P69-T69</f>
        <v>10996.615942133998</v>
      </c>
      <c r="Y69" s="16"/>
      <c r="Z69" s="32">
        <f>IF(T69=0,0,X69/T69)</f>
        <v>-4.1950617750281853E-2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5">
        <f>SUM(D69:D71)</f>
        <v>-38670.5</v>
      </c>
      <c r="E72" s="14"/>
      <c r="F72" s="34">
        <f>IF(D$12=0,0,D72/D$12)</f>
        <v>0</v>
      </c>
      <c r="G72" s="14"/>
      <c r="H72" s="35">
        <f>SUM(H69:H71)</f>
        <v>-37849.286567635994</v>
      </c>
      <c r="I72" s="14"/>
      <c r="J72" s="34">
        <f>IF(H$12=0,0,H72/H$12)</f>
        <v>0</v>
      </c>
      <c r="K72" s="16"/>
      <c r="L72" s="35">
        <f>+D72-H72</f>
        <v>-821.21343236400571</v>
      </c>
      <c r="M72" s="16"/>
      <c r="N72" s="34">
        <f>IF(H72=0,0,L72/H72)</f>
        <v>2.1696932936807464E-2</v>
      </c>
      <c r="O72" s="28"/>
      <c r="P72" s="35">
        <f>SUM(P69:P71)</f>
        <v>-251135.78</v>
      </c>
      <c r="Q72" s="14"/>
      <c r="R72" s="34">
        <f>IF(P$12=0,0,P72/P$12)</f>
        <v>0</v>
      </c>
      <c r="S72" s="14"/>
      <c r="T72" s="35">
        <f>SUM(T69:T71)</f>
        <v>-262132.395942134</v>
      </c>
      <c r="U72" s="14"/>
      <c r="V72" s="34">
        <f>IF(T$12=0,0,T72/T$12)</f>
        <v>0</v>
      </c>
      <c r="W72" s="16"/>
      <c r="X72" s="35">
        <f>+P72-T72</f>
        <v>10996.615942133998</v>
      </c>
      <c r="Y72" s="16"/>
      <c r="Z72" s="34">
        <f>IF(T72=0,0,X72/T72)</f>
        <v>-4.1950617750281853E-2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63">
        <v>43847.445856828701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5" t="s">
        <v>314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6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306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44196.45</v>
      </c>
      <c r="E12" s="4"/>
      <c r="F12" s="12"/>
      <c r="G12" s="4"/>
      <c r="H12" s="4">
        <f>SUM(OSRRefH13x_0)</f>
        <v>52546</v>
      </c>
      <c r="I12" s="4"/>
      <c r="J12" s="12"/>
      <c r="K12" s="4"/>
      <c r="L12" s="4">
        <f t="shared" ref="L12:L48" si="0">+D12-H12</f>
        <v>-8349.5500000000029</v>
      </c>
      <c r="M12" s="4"/>
      <c r="N12" s="12">
        <f t="shared" ref="N12:N48" si="1">IF(H12=0,0,L12/H12)</f>
        <v>-0.15889982110912348</v>
      </c>
      <c r="O12" s="10"/>
      <c r="P12" s="4">
        <f>SUM(OSRRefP13x_0)</f>
        <v>515977.31000000017</v>
      </c>
      <c r="Q12" s="4"/>
      <c r="R12" s="12"/>
      <c r="S12" s="4"/>
      <c r="T12" s="4">
        <f>SUM(OSRRefT13x_0)</f>
        <v>564403</v>
      </c>
      <c r="U12" s="4"/>
      <c r="V12" s="12"/>
      <c r="W12" s="4"/>
      <c r="X12" s="4">
        <f t="shared" ref="X12:X48" si="2">+P12-T12</f>
        <v>-48425.689999999828</v>
      </c>
      <c r="Y12" s="4"/>
      <c r="Z12" s="12">
        <f t="shared" ref="Z12:Z48" si="3">IF(T12=0,0,X12/T12)</f>
        <v>-8.5799845146109832E-2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41185</v>
      </c>
      <c r="I13" s="2"/>
      <c r="J13" s="19"/>
      <c r="K13" s="2"/>
      <c r="L13" s="2">
        <f t="shared" si="0"/>
        <v>-41185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473845.99999999994</v>
      </c>
      <c r="U13" s="2"/>
      <c r="V13" s="19"/>
      <c r="W13" s="2"/>
      <c r="X13" s="2">
        <f t="shared" si="2"/>
        <v>-473845.99999999994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/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--242.14</f>
        <v>242.14</v>
      </c>
      <c r="Q14" s="2"/>
      <c r="R14" s="19"/>
      <c r="S14" s="2"/>
      <c r="T14" s="2"/>
      <c r="U14" s="2"/>
      <c r="V14" s="19"/>
      <c r="W14" s="2"/>
      <c r="X14" s="2">
        <f t="shared" si="2"/>
        <v>242.14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--5588.38</f>
        <v>5588.38</v>
      </c>
      <c r="E16" s="2"/>
      <c r="F16" s="19"/>
      <c r="G16" s="2"/>
      <c r="H16" s="2"/>
      <c r="I16" s="2"/>
      <c r="J16" s="19"/>
      <c r="K16" s="2"/>
      <c r="L16" s="2">
        <f t="shared" si="0"/>
        <v>5588.38</v>
      </c>
      <c r="M16" s="2"/>
      <c r="N16" s="19">
        <f t="shared" si="1"/>
        <v>0</v>
      </c>
      <c r="O16" s="11"/>
      <c r="P16" s="2">
        <f>--35133.1</f>
        <v>35133.1</v>
      </c>
      <c r="Q16" s="2"/>
      <c r="R16" s="19"/>
      <c r="S16" s="2"/>
      <c r="T16" s="2"/>
      <c r="U16" s="2"/>
      <c r="V16" s="19"/>
      <c r="W16" s="2"/>
      <c r="X16" s="2">
        <f t="shared" si="2"/>
        <v>35133.1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--6227.76</f>
        <v>6227.76</v>
      </c>
      <c r="E17" s="2"/>
      <c r="F17" s="19"/>
      <c r="G17" s="2"/>
      <c r="H17" s="2"/>
      <c r="I17" s="2"/>
      <c r="J17" s="19"/>
      <c r="K17" s="2"/>
      <c r="L17" s="2">
        <f t="shared" si="0"/>
        <v>6227.76</v>
      </c>
      <c r="M17" s="2"/>
      <c r="N17" s="19">
        <f t="shared" si="1"/>
        <v>0</v>
      </c>
      <c r="O17" s="11"/>
      <c r="P17" s="2">
        <f>--49778.52</f>
        <v>49778.52</v>
      </c>
      <c r="Q17" s="2"/>
      <c r="R17" s="19"/>
      <c r="S17" s="2"/>
      <c r="T17" s="2"/>
      <c r="U17" s="2"/>
      <c r="V17" s="19"/>
      <c r="W17" s="2"/>
      <c r="X17" s="2">
        <f t="shared" si="2"/>
        <v>49778.52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--10568.39</f>
        <v>10568.39</v>
      </c>
      <c r="E18" s="2"/>
      <c r="F18" s="19"/>
      <c r="G18" s="2"/>
      <c r="H18" s="2"/>
      <c r="I18" s="2"/>
      <c r="J18" s="19"/>
      <c r="K18" s="2"/>
      <c r="L18" s="2">
        <f t="shared" si="0"/>
        <v>10568.39</v>
      </c>
      <c r="M18" s="2"/>
      <c r="N18" s="19">
        <f t="shared" si="1"/>
        <v>0</v>
      </c>
      <c r="O18" s="11"/>
      <c r="P18" s="2">
        <f>--165309.56</f>
        <v>165309.56</v>
      </c>
      <c r="Q18" s="2"/>
      <c r="R18" s="19"/>
      <c r="S18" s="2"/>
      <c r="T18" s="2"/>
      <c r="U18" s="2"/>
      <c r="V18" s="19"/>
      <c r="W18" s="2"/>
      <c r="X18" s="2">
        <f t="shared" si="2"/>
        <v>165309.56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--13684.86</f>
        <v>13684.86</v>
      </c>
      <c r="E19" s="2"/>
      <c r="F19" s="19"/>
      <c r="G19" s="2"/>
      <c r="H19" s="2"/>
      <c r="I19" s="2"/>
      <c r="J19" s="19"/>
      <c r="K19" s="2"/>
      <c r="L19" s="2">
        <f t="shared" si="0"/>
        <v>13684.86</v>
      </c>
      <c r="M19" s="2"/>
      <c r="N19" s="19">
        <f t="shared" si="1"/>
        <v>0</v>
      </c>
      <c r="O19" s="11"/>
      <c r="P19" s="2">
        <f>--189637.57</f>
        <v>189637.57</v>
      </c>
      <c r="Q19" s="2"/>
      <c r="R19" s="19"/>
      <c r="S19" s="2"/>
      <c r="T19" s="2"/>
      <c r="U19" s="2"/>
      <c r="V19" s="19"/>
      <c r="W19" s="2"/>
      <c r="X19" s="2">
        <f t="shared" si="2"/>
        <v>189637.57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--26.89</f>
        <v>26.89</v>
      </c>
      <c r="E20" s="2"/>
      <c r="F20" s="19"/>
      <c r="G20" s="2"/>
      <c r="H20" s="2"/>
      <c r="I20" s="2"/>
      <c r="J20" s="19"/>
      <c r="K20" s="2"/>
      <c r="L20" s="2">
        <f t="shared" si="0"/>
        <v>26.89</v>
      </c>
      <c r="M20" s="2"/>
      <c r="N20" s="19">
        <f t="shared" si="1"/>
        <v>0</v>
      </c>
      <c r="O20" s="11"/>
      <c r="P20" s="2">
        <f>--306.94</f>
        <v>306.94</v>
      </c>
      <c r="Q20" s="2"/>
      <c r="R20" s="19"/>
      <c r="S20" s="2"/>
      <c r="T20" s="2"/>
      <c r="U20" s="2"/>
      <c r="V20" s="19"/>
      <c r="W20" s="2"/>
      <c r="X20" s="2">
        <f t="shared" si="2"/>
        <v>306.94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--203.26</f>
        <v>203.26</v>
      </c>
      <c r="E21" s="2"/>
      <c r="F21" s="19"/>
      <c r="G21" s="2"/>
      <c r="H21" s="2"/>
      <c r="I21" s="2"/>
      <c r="J21" s="19"/>
      <c r="K21" s="2"/>
      <c r="L21" s="2">
        <f t="shared" si="0"/>
        <v>203.26</v>
      </c>
      <c r="M21" s="2"/>
      <c r="N21" s="19">
        <f t="shared" si="1"/>
        <v>0</v>
      </c>
      <c r="O21" s="11"/>
      <c r="P21" s="2">
        <f>--866.34</f>
        <v>866.34</v>
      </c>
      <c r="Q21" s="2"/>
      <c r="R21" s="19"/>
      <c r="S21" s="2"/>
      <c r="T21" s="2"/>
      <c r="U21" s="2"/>
      <c r="V21" s="19"/>
      <c r="W21" s="2"/>
      <c r="X21" s="2">
        <f t="shared" si="2"/>
        <v>866.34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--22.41</f>
        <v>22.41</v>
      </c>
      <c r="E22" s="2"/>
      <c r="F22" s="19"/>
      <c r="G22" s="2"/>
      <c r="H22" s="2"/>
      <c r="I22" s="2"/>
      <c r="J22" s="19"/>
      <c r="K22" s="2"/>
      <c r="L22" s="2">
        <f t="shared" si="0"/>
        <v>22.41</v>
      </c>
      <c r="M22" s="2"/>
      <c r="N22" s="19">
        <f t="shared" si="1"/>
        <v>0</v>
      </c>
      <c r="O22" s="11"/>
      <c r="P22" s="2">
        <f>--131.02</f>
        <v>131.02000000000001</v>
      </c>
      <c r="Q22" s="2"/>
      <c r="R22" s="19"/>
      <c r="S22" s="2"/>
      <c r="T22" s="2"/>
      <c r="U22" s="2"/>
      <c r="V22" s="19"/>
      <c r="W22" s="2"/>
      <c r="X22" s="2">
        <f t="shared" si="2"/>
        <v>131.02000000000001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--547.26</f>
        <v>547.26</v>
      </c>
      <c r="E23" s="2"/>
      <c r="F23" s="19"/>
      <c r="G23" s="2"/>
      <c r="H23" s="2"/>
      <c r="I23" s="2"/>
      <c r="J23" s="19"/>
      <c r="K23" s="2"/>
      <c r="L23" s="2">
        <f t="shared" si="0"/>
        <v>547.26</v>
      </c>
      <c r="M23" s="2"/>
      <c r="N23" s="19">
        <f t="shared" si="1"/>
        <v>0</v>
      </c>
      <c r="O23" s="11"/>
      <c r="P23" s="2">
        <f>--5271.51</f>
        <v>5271.51</v>
      </c>
      <c r="Q23" s="2"/>
      <c r="R23" s="19"/>
      <c r="S23" s="2"/>
      <c r="T23" s="2"/>
      <c r="U23" s="2"/>
      <c r="V23" s="19"/>
      <c r="W23" s="2"/>
      <c r="X23" s="2">
        <f t="shared" si="2"/>
        <v>5271.51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--133.49</f>
        <v>133.49</v>
      </c>
      <c r="E24" s="2"/>
      <c r="F24" s="19"/>
      <c r="G24" s="2"/>
      <c r="H24" s="2"/>
      <c r="I24" s="2"/>
      <c r="J24" s="19"/>
      <c r="K24" s="2"/>
      <c r="L24" s="2">
        <f t="shared" si="0"/>
        <v>133.49</v>
      </c>
      <c r="M24" s="2"/>
      <c r="N24" s="19">
        <f t="shared" si="1"/>
        <v>0</v>
      </c>
      <c r="O24" s="11"/>
      <c r="P24" s="2">
        <f>--1267.09</f>
        <v>1267.0899999999999</v>
      </c>
      <c r="Q24" s="2"/>
      <c r="R24" s="19"/>
      <c r="S24" s="2"/>
      <c r="T24" s="2"/>
      <c r="U24" s="2"/>
      <c r="V24" s="19"/>
      <c r="W24" s="2"/>
      <c r="X24" s="2">
        <f t="shared" si="2"/>
        <v>1267.0899999999999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--19.09</f>
        <v>19.09</v>
      </c>
      <c r="E25" s="2"/>
      <c r="F25" s="19"/>
      <c r="G25" s="2"/>
      <c r="H25" s="2"/>
      <c r="I25" s="2"/>
      <c r="J25" s="19"/>
      <c r="K25" s="2"/>
      <c r="L25" s="2">
        <f t="shared" si="0"/>
        <v>19.09</v>
      </c>
      <c r="M25" s="2"/>
      <c r="N25" s="19">
        <f t="shared" si="1"/>
        <v>0</v>
      </c>
      <c r="O25" s="11"/>
      <c r="P25" s="2">
        <f>--396.26</f>
        <v>396.26</v>
      </c>
      <c r="Q25" s="2"/>
      <c r="R25" s="19"/>
      <c r="S25" s="2"/>
      <c r="T25" s="2"/>
      <c r="U25" s="2"/>
      <c r="V25" s="19"/>
      <c r="W25" s="2"/>
      <c r="X25" s="2">
        <f t="shared" si="2"/>
        <v>396.26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--310.76</f>
        <v>310.76</v>
      </c>
      <c r="E26" s="2"/>
      <c r="F26" s="19"/>
      <c r="G26" s="2"/>
      <c r="H26" s="2"/>
      <c r="I26" s="2"/>
      <c r="J26" s="19"/>
      <c r="K26" s="2"/>
      <c r="L26" s="2">
        <f t="shared" si="0"/>
        <v>310.76</v>
      </c>
      <c r="M26" s="2"/>
      <c r="N26" s="19">
        <f t="shared" si="1"/>
        <v>0</v>
      </c>
      <c r="O26" s="11"/>
      <c r="P26" s="2">
        <f>--2534.43</f>
        <v>2534.4299999999998</v>
      </c>
      <c r="Q26" s="2"/>
      <c r="R26" s="19"/>
      <c r="S26" s="2"/>
      <c r="T26" s="2"/>
      <c r="U26" s="2"/>
      <c r="V26" s="19"/>
      <c r="W26" s="2"/>
      <c r="X26" s="2">
        <f t="shared" si="2"/>
        <v>2534.4299999999998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--19</f>
        <v>19</v>
      </c>
      <c r="E27" s="2"/>
      <c r="F27" s="19"/>
      <c r="G27" s="2"/>
      <c r="H27" s="2"/>
      <c r="I27" s="2"/>
      <c r="J27" s="19"/>
      <c r="K27" s="2"/>
      <c r="L27" s="2">
        <f t="shared" si="0"/>
        <v>19</v>
      </c>
      <c r="M27" s="2"/>
      <c r="N27" s="19">
        <f t="shared" si="1"/>
        <v>0</v>
      </c>
      <c r="O27" s="11"/>
      <c r="P27" s="2">
        <f>--181</f>
        <v>181</v>
      </c>
      <c r="Q27" s="2"/>
      <c r="R27" s="19"/>
      <c r="S27" s="2"/>
      <c r="T27" s="2"/>
      <c r="U27" s="2"/>
      <c r="V27" s="19"/>
      <c r="W27" s="2"/>
      <c r="X27" s="2">
        <f t="shared" si="2"/>
        <v>181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--129.88</f>
        <v>129.88</v>
      </c>
      <c r="E28" s="2"/>
      <c r="F28" s="19"/>
      <c r="G28" s="2"/>
      <c r="H28" s="2"/>
      <c r="I28" s="2"/>
      <c r="J28" s="19"/>
      <c r="K28" s="2"/>
      <c r="L28" s="2">
        <f t="shared" si="0"/>
        <v>129.88</v>
      </c>
      <c r="M28" s="2"/>
      <c r="N28" s="19">
        <f t="shared" si="1"/>
        <v>0</v>
      </c>
      <c r="O28" s="11"/>
      <c r="P28" s="2">
        <f>--699.48</f>
        <v>699.48</v>
      </c>
      <c r="Q28" s="2"/>
      <c r="R28" s="19"/>
      <c r="S28" s="2"/>
      <c r="T28" s="2"/>
      <c r="U28" s="2"/>
      <c r="V28" s="19"/>
      <c r="W28" s="2"/>
      <c r="X28" s="2">
        <f t="shared" si="2"/>
        <v>699.48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--58.98</f>
        <v>58.98</v>
      </c>
      <c r="E29" s="2"/>
      <c r="F29" s="19"/>
      <c r="G29" s="2"/>
      <c r="H29" s="2"/>
      <c r="I29" s="2"/>
      <c r="J29" s="19"/>
      <c r="K29" s="2"/>
      <c r="L29" s="2">
        <f t="shared" si="0"/>
        <v>58.98</v>
      </c>
      <c r="M29" s="2"/>
      <c r="N29" s="19">
        <f t="shared" si="1"/>
        <v>0</v>
      </c>
      <c r="O29" s="11"/>
      <c r="P29" s="2">
        <f>--698.77</f>
        <v>698.77</v>
      </c>
      <c r="Q29" s="2"/>
      <c r="R29" s="19"/>
      <c r="S29" s="2"/>
      <c r="T29" s="2"/>
      <c r="U29" s="2"/>
      <c r="V29" s="19"/>
      <c r="W29" s="2"/>
      <c r="X29" s="2">
        <f t="shared" si="2"/>
        <v>698.77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"4100", " - ", "NON-TAXABLE SALES")</f>
        <v xml:space="preserve">          4100 - NON-TAXABLE SALES</v>
      </c>
      <c r="C30" s="11"/>
      <c r="D30" s="2">
        <f t="shared" ref="D30:D31" si="4">0</f>
        <v>0</v>
      </c>
      <c r="E30" s="2"/>
      <c r="F30" s="19"/>
      <c r="G30" s="2"/>
      <c r="H30" s="2">
        <v>11361</v>
      </c>
      <c r="I30" s="2"/>
      <c r="J30" s="19"/>
      <c r="K30" s="2"/>
      <c r="L30" s="2">
        <f t="shared" si="0"/>
        <v>-11361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v>90557</v>
      </c>
      <c r="U30" s="2"/>
      <c r="V30" s="19"/>
      <c r="W30" s="2"/>
      <c r="X30" s="2">
        <f t="shared" si="2"/>
        <v>-90557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--124.18</f>
        <v>124.18</v>
      </c>
      <c r="Q31" s="2"/>
      <c r="R31" s="19"/>
      <c r="S31" s="2"/>
      <c r="T31" s="2"/>
      <c r="U31" s="2"/>
      <c r="V31" s="19"/>
      <c r="W31" s="2"/>
      <c r="X31" s="2">
        <f t="shared" si="2"/>
        <v>124.18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--38.73</f>
        <v>38.729999999999997</v>
      </c>
      <c r="E32" s="2"/>
      <c r="F32" s="19"/>
      <c r="G32" s="2"/>
      <c r="H32" s="2"/>
      <c r="I32" s="2"/>
      <c r="J32" s="19"/>
      <c r="K32" s="2"/>
      <c r="L32" s="2">
        <f t="shared" si="0"/>
        <v>38.729999999999997</v>
      </c>
      <c r="M32" s="2"/>
      <c r="N32" s="19">
        <f t="shared" si="1"/>
        <v>0</v>
      </c>
      <c r="O32" s="11"/>
      <c r="P32" s="2">
        <f>--1509.11</f>
        <v>1509.11</v>
      </c>
      <c r="Q32" s="2"/>
      <c r="R32" s="19"/>
      <c r="S32" s="2"/>
      <c r="T32" s="2"/>
      <c r="U32" s="2"/>
      <c r="V32" s="19"/>
      <c r="W32" s="2"/>
      <c r="X32" s="2">
        <f t="shared" si="2"/>
        <v>1509.11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--2603.4</f>
        <v>2603.4</v>
      </c>
      <c r="Q33" s="2"/>
      <c r="R33" s="19"/>
      <c r="S33" s="2"/>
      <c r="T33" s="2"/>
      <c r="U33" s="2"/>
      <c r="V33" s="19"/>
      <c r="W33" s="2"/>
      <c r="X33" s="2">
        <f t="shared" si="2"/>
        <v>2603.4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--348.72</f>
        <v>348.72</v>
      </c>
      <c r="Q34" s="2"/>
      <c r="R34" s="19"/>
      <c r="S34" s="2"/>
      <c r="T34" s="2"/>
      <c r="U34" s="2"/>
      <c r="V34" s="19"/>
      <c r="W34" s="2"/>
      <c r="X34" s="2">
        <f t="shared" si="2"/>
        <v>348.72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--4058.22</f>
        <v>4058.22</v>
      </c>
      <c r="E35" s="2"/>
      <c r="F35" s="19"/>
      <c r="G35" s="2"/>
      <c r="H35" s="2"/>
      <c r="I35" s="2"/>
      <c r="J35" s="19"/>
      <c r="K35" s="2"/>
      <c r="L35" s="2">
        <f t="shared" si="0"/>
        <v>4058.22</v>
      </c>
      <c r="M35" s="2"/>
      <c r="N35" s="19">
        <f t="shared" si="1"/>
        <v>0</v>
      </c>
      <c r="O35" s="11"/>
      <c r="P35" s="2">
        <f>--39085.73</f>
        <v>39085.730000000003</v>
      </c>
      <c r="Q35" s="2"/>
      <c r="R35" s="19"/>
      <c r="S35" s="2"/>
      <c r="T35" s="2"/>
      <c r="U35" s="2"/>
      <c r="V35" s="19"/>
      <c r="W35" s="2"/>
      <c r="X35" s="2">
        <f t="shared" si="2"/>
        <v>39085.730000000003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--1170.81</f>
        <v>1170.81</v>
      </c>
      <c r="E36" s="2"/>
      <c r="F36" s="19"/>
      <c r="G36" s="2"/>
      <c r="H36" s="2"/>
      <c r="I36" s="2"/>
      <c r="J36" s="19"/>
      <c r="K36" s="2"/>
      <c r="L36" s="2">
        <f t="shared" si="0"/>
        <v>1170.81</v>
      </c>
      <c r="M36" s="2"/>
      <c r="N36" s="19">
        <f t="shared" si="1"/>
        <v>0</v>
      </c>
      <c r="O36" s="11"/>
      <c r="P36" s="2">
        <f>--11445.2</f>
        <v>11445.2</v>
      </c>
      <c r="Q36" s="2"/>
      <c r="R36" s="19"/>
      <c r="S36" s="2"/>
      <c r="T36" s="2"/>
      <c r="U36" s="2"/>
      <c r="V36" s="19"/>
      <c r="W36" s="2"/>
      <c r="X36" s="2">
        <f t="shared" si="2"/>
        <v>11445.2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--1305.22</f>
        <v>1305.22</v>
      </c>
      <c r="E37" s="2"/>
      <c r="F37" s="19"/>
      <c r="G37" s="2"/>
      <c r="H37" s="2"/>
      <c r="I37" s="2"/>
      <c r="J37" s="19"/>
      <c r="K37" s="2"/>
      <c r="L37" s="2">
        <f t="shared" si="0"/>
        <v>1305.22</v>
      </c>
      <c r="M37" s="2"/>
      <c r="N37" s="19">
        <f t="shared" si="1"/>
        <v>0</v>
      </c>
      <c r="O37" s="11"/>
      <c r="P37" s="2">
        <f>--12121.78</f>
        <v>12121.78</v>
      </c>
      <c r="Q37" s="2"/>
      <c r="R37" s="19"/>
      <c r="S37" s="2"/>
      <c r="T37" s="2"/>
      <c r="U37" s="2"/>
      <c r="V37" s="19"/>
      <c r="W37" s="2"/>
      <c r="X37" s="2">
        <f t="shared" si="2"/>
        <v>12121.78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--3.59</f>
        <v>3.59</v>
      </c>
      <c r="E38" s="2"/>
      <c r="F38" s="19"/>
      <c r="G38" s="2"/>
      <c r="H38" s="2"/>
      <c r="I38" s="2"/>
      <c r="J38" s="19"/>
      <c r="K38" s="2"/>
      <c r="L38" s="2">
        <f t="shared" si="0"/>
        <v>3.59</v>
      </c>
      <c r="M38" s="2"/>
      <c r="N38" s="19">
        <f t="shared" si="1"/>
        <v>0</v>
      </c>
      <c r="O38" s="11"/>
      <c r="P38" s="2">
        <f>--118.32</f>
        <v>118.32</v>
      </c>
      <c r="Q38" s="2"/>
      <c r="R38" s="19"/>
      <c r="S38" s="2"/>
      <c r="T38" s="2"/>
      <c r="U38" s="2"/>
      <c r="V38" s="19"/>
      <c r="W38" s="2"/>
      <c r="X38" s="2">
        <f t="shared" si="2"/>
        <v>118.32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--617.73</f>
        <v>617.73</v>
      </c>
      <c r="E39" s="2"/>
      <c r="F39" s="19"/>
      <c r="G39" s="2"/>
      <c r="H39" s="2"/>
      <c r="I39" s="2"/>
      <c r="J39" s="19"/>
      <c r="K39" s="2"/>
      <c r="L39" s="2">
        <f t="shared" si="0"/>
        <v>617.73</v>
      </c>
      <c r="M39" s="2"/>
      <c r="N39" s="19">
        <f t="shared" si="1"/>
        <v>0</v>
      </c>
      <c r="O39" s="11"/>
      <c r="P39" s="2">
        <f>--5820.07</f>
        <v>5820.07</v>
      </c>
      <c r="Q39" s="2"/>
      <c r="R39" s="19"/>
      <c r="S39" s="2"/>
      <c r="T39" s="2"/>
      <c r="U39" s="2"/>
      <c r="V39" s="19"/>
      <c r="W39" s="2"/>
      <c r="X39" s="2">
        <f t="shared" si="2"/>
        <v>5820.07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ref="D40:D41" si="6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-30.97</f>
        <v>-30.97</v>
      </c>
      <c r="Q40" s="2"/>
      <c r="R40" s="19"/>
      <c r="S40" s="2"/>
      <c r="T40" s="2"/>
      <c r="U40" s="2"/>
      <c r="V40" s="19"/>
      <c r="W40" s="2"/>
      <c r="X40" s="2">
        <f t="shared" si="2"/>
        <v>-30.97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 t="shared" si="6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-2.98</f>
        <v>-2.98</v>
      </c>
      <c r="Q41" s="2"/>
      <c r="R41" s="19"/>
      <c r="S41" s="2"/>
      <c r="T41" s="2"/>
      <c r="U41" s="2"/>
      <c r="V41" s="19"/>
      <c r="W41" s="2"/>
      <c r="X41" s="2">
        <f t="shared" si="2"/>
        <v>-2.98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-15.51</f>
        <v>-15.51</v>
      </c>
      <c r="E42" s="2"/>
      <c r="F42" s="19"/>
      <c r="G42" s="2"/>
      <c r="H42" s="2"/>
      <c r="I42" s="2"/>
      <c r="J42" s="19"/>
      <c r="K42" s="2"/>
      <c r="L42" s="2">
        <f t="shared" si="0"/>
        <v>-15.51</v>
      </c>
      <c r="M42" s="2"/>
      <c r="N42" s="19">
        <f t="shared" si="1"/>
        <v>0</v>
      </c>
      <c r="O42" s="11"/>
      <c r="P42" s="2">
        <f>-80.97</f>
        <v>-80.97</v>
      </c>
      <c r="Q42" s="2"/>
      <c r="R42" s="19"/>
      <c r="S42" s="2"/>
      <c r="T42" s="2"/>
      <c r="U42" s="2"/>
      <c r="V42" s="19"/>
      <c r="W42" s="2"/>
      <c r="X42" s="2">
        <f t="shared" si="2"/>
        <v>-80.97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-41.65</f>
        <v>-41.65</v>
      </c>
      <c r="E43" s="2"/>
      <c r="F43" s="19"/>
      <c r="G43" s="2"/>
      <c r="H43" s="2"/>
      <c r="I43" s="2"/>
      <c r="J43" s="19"/>
      <c r="K43" s="2"/>
      <c r="L43" s="2">
        <f t="shared" si="0"/>
        <v>-41.65</v>
      </c>
      <c r="M43" s="2"/>
      <c r="N43" s="19">
        <f t="shared" si="1"/>
        <v>0</v>
      </c>
      <c r="O43" s="11"/>
      <c r="P43" s="2">
        <f>-396.56</f>
        <v>-396.56</v>
      </c>
      <c r="Q43" s="2"/>
      <c r="R43" s="19"/>
      <c r="S43" s="2"/>
      <c r="T43" s="2"/>
      <c r="U43" s="2"/>
      <c r="V43" s="19"/>
      <c r="W43" s="2"/>
      <c r="X43" s="2">
        <f t="shared" si="2"/>
        <v>-396.56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-204.76</f>
        <v>-204.76</v>
      </c>
      <c r="E44" s="2"/>
      <c r="F44" s="19"/>
      <c r="G44" s="2"/>
      <c r="H44" s="2"/>
      <c r="I44" s="2"/>
      <c r="J44" s="19"/>
      <c r="K44" s="2"/>
      <c r="L44" s="2">
        <f t="shared" si="0"/>
        <v>-204.76</v>
      </c>
      <c r="M44" s="2"/>
      <c r="N44" s="19">
        <f t="shared" si="1"/>
        <v>0</v>
      </c>
      <c r="O44" s="11"/>
      <c r="P44" s="2">
        <f>-5948.58</f>
        <v>-5948.58</v>
      </c>
      <c r="Q44" s="2"/>
      <c r="R44" s="19"/>
      <c r="S44" s="2"/>
      <c r="T44" s="2"/>
      <c r="U44" s="2"/>
      <c r="V44" s="19"/>
      <c r="W44" s="2"/>
      <c r="X44" s="2">
        <f t="shared" si="2"/>
        <v>-5948.58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-277.33</f>
        <v>-277.33</v>
      </c>
      <c r="E45" s="2"/>
      <c r="F45" s="19"/>
      <c r="G45" s="2"/>
      <c r="H45" s="2"/>
      <c r="I45" s="2"/>
      <c r="J45" s="19"/>
      <c r="K45" s="2"/>
      <c r="L45" s="2">
        <f t="shared" si="0"/>
        <v>-277.33</v>
      </c>
      <c r="M45" s="2"/>
      <c r="N45" s="19">
        <f t="shared" si="1"/>
        <v>0</v>
      </c>
      <c r="O45" s="11"/>
      <c r="P45" s="2">
        <f>-3148.62</f>
        <v>-3148.62</v>
      </c>
      <c r="Q45" s="2"/>
      <c r="R45" s="19"/>
      <c r="S45" s="2"/>
      <c r="T45" s="2"/>
      <c r="U45" s="2"/>
      <c r="V45" s="19"/>
      <c r="W45" s="2"/>
      <c r="X45" s="2">
        <f t="shared" si="2"/>
        <v>-3148.62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"4233", " - ", "SALES RETURN TAXABLE-CANDY")</f>
        <v xml:space="preserve">          4233 - SALES RETURN TAXABLE-CANDY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-1.29</f>
        <v>-1.29</v>
      </c>
      <c r="Q46" s="2"/>
      <c r="R46" s="19"/>
      <c r="S46" s="2"/>
      <c r="T46" s="2"/>
      <c r="U46" s="2"/>
      <c r="V46" s="19"/>
      <c r="W46" s="2"/>
      <c r="X46" s="2">
        <f t="shared" si="2"/>
        <v>-1.29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"4281", " - ", "SALES RETURN TAXABLE-ELECTRONI")</f>
        <v xml:space="preserve">          4281 - SALES RETURN TAXABLE-ELECTRONI</v>
      </c>
      <c r="C47" s="11"/>
      <c r="D47" s="2">
        <f>-9.99</f>
        <v>-9.99</v>
      </c>
      <c r="E47" s="2"/>
      <c r="F47" s="19"/>
      <c r="G47" s="2"/>
      <c r="H47" s="2"/>
      <c r="I47" s="2"/>
      <c r="J47" s="19"/>
      <c r="K47" s="2"/>
      <c r="L47" s="2">
        <f t="shared" si="0"/>
        <v>-9.99</v>
      </c>
      <c r="M47" s="2"/>
      <c r="N47" s="19">
        <f t="shared" si="1"/>
        <v>0</v>
      </c>
      <c r="O47" s="11"/>
      <c r="P47" s="2">
        <f>-54.97</f>
        <v>-54.97</v>
      </c>
      <c r="Q47" s="2"/>
      <c r="R47" s="19"/>
      <c r="S47" s="2"/>
      <c r="T47" s="2"/>
      <c r="U47" s="2"/>
      <c r="V47" s="19"/>
      <c r="W47" s="2"/>
      <c r="X47" s="2">
        <f t="shared" si="2"/>
        <v>-54.97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-21.87</f>
        <v>-21.87</v>
      </c>
      <c r="Q48" s="2"/>
      <c r="R48" s="19"/>
      <c r="S48" s="2"/>
      <c r="T48" s="2"/>
      <c r="U48" s="2"/>
      <c r="V48" s="19"/>
      <c r="W48" s="2"/>
      <c r="X48" s="2">
        <f t="shared" si="2"/>
        <v>-21.87</v>
      </c>
      <c r="Y48" s="2"/>
      <c r="Z48" s="19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8" t="s">
        <v>8</v>
      </c>
      <c r="C50" s="10"/>
      <c r="D50" s="4">
        <f>SUM(OSRRefD16x_0)</f>
        <v>22262.880000000001</v>
      </c>
      <c r="E50" s="4"/>
      <c r="F50" s="12">
        <f t="shared" ref="F50:F74" si="7">IF(D$12=0,0,D50/D$12)</f>
        <v>0.50372552546641192</v>
      </c>
      <c r="G50" s="4"/>
      <c r="H50" s="4">
        <f>SUM(OSRRefH16x_0)</f>
        <v>24938</v>
      </c>
      <c r="I50" s="4"/>
      <c r="J50" s="12">
        <f t="shared" ref="J50:J74" si="8">IF(H$12=0,0,H50/H$12)</f>
        <v>0.47459368933886498</v>
      </c>
      <c r="K50" s="4"/>
      <c r="L50" s="4">
        <f t="shared" ref="L50:L74" si="9">+D50-H50</f>
        <v>-2675.119999999999</v>
      </c>
      <c r="M50" s="4"/>
      <c r="N50" s="12">
        <f t="shared" ref="N50:N74" si="10">IF(H50=0,0,L50/H50)</f>
        <v>-0.10727083166252302</v>
      </c>
      <c r="O50" s="10"/>
      <c r="P50" s="4">
        <f>SUM(OSRRefP16x_0)</f>
        <v>256592.71000000005</v>
      </c>
      <c r="Q50" s="4"/>
      <c r="R50" s="12">
        <f t="shared" ref="R50:R74" si="11">IF(P$12=0,0,P50/P$12)</f>
        <v>0.49729456126665716</v>
      </c>
      <c r="S50" s="4"/>
      <c r="T50" s="4">
        <f>SUM(OSRRefT16x_0)</f>
        <v>267038</v>
      </c>
      <c r="U50" s="4"/>
      <c r="V50" s="12">
        <f t="shared" ref="V50:V74" si="12">IF(T$12=0,0,T50/T$12)</f>
        <v>0.47313355882233088</v>
      </c>
      <c r="W50" s="4"/>
      <c r="X50" s="4">
        <f t="shared" ref="X50:X74" si="13">+P50-T50</f>
        <v>-10445.28999999995</v>
      </c>
      <c r="Y50" s="4"/>
      <c r="Z50" s="12">
        <f t="shared" ref="Z50:Z74" si="14">IF(T50=0,0,X50/T50)</f>
        <v>-3.9115369348182466E-2</v>
      </c>
    </row>
    <row r="51" spans="1:26" s="24" customFormat="1" hidden="1" outlineLevel="1" x14ac:dyDescent="0.25">
      <c r="A51" s="44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19">
        <f t="shared" si="7"/>
        <v>0</v>
      </c>
      <c r="G51" s="2"/>
      <c r="H51" s="2">
        <v>24938</v>
      </c>
      <c r="I51" s="2"/>
      <c r="J51" s="19">
        <f t="shared" si="8"/>
        <v>0.47459368933886498</v>
      </c>
      <c r="K51" s="2"/>
      <c r="L51" s="2">
        <f t="shared" si="9"/>
        <v>-24938</v>
      </c>
      <c r="M51" s="2"/>
      <c r="N51" s="19">
        <f t="shared" si="10"/>
        <v>-1</v>
      </c>
      <c r="O51" s="11"/>
      <c r="P51" s="2"/>
      <c r="Q51" s="2"/>
      <c r="R51" s="19">
        <f t="shared" si="11"/>
        <v>0</v>
      </c>
      <c r="S51" s="2"/>
      <c r="T51" s="2">
        <v>267038</v>
      </c>
      <c r="U51" s="2"/>
      <c r="V51" s="19">
        <f t="shared" si="12"/>
        <v>0.47313355882233088</v>
      </c>
      <c r="W51" s="2"/>
      <c r="X51" s="2">
        <f t="shared" si="13"/>
        <v>-267038</v>
      </c>
      <c r="Y51" s="2"/>
      <c r="Z51" s="19">
        <f t="shared" si="14"/>
        <v>-1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14.46</v>
      </c>
      <c r="Q52" s="2"/>
      <c r="R52" s="19">
        <f t="shared" si="11"/>
        <v>2.8024488131076918E-5</v>
      </c>
      <c r="S52" s="2"/>
      <c r="T52" s="2"/>
      <c r="U52" s="2"/>
      <c r="V52" s="19">
        <f t="shared" si="12"/>
        <v>0</v>
      </c>
      <c r="W52" s="2"/>
      <c r="X52" s="2">
        <f t="shared" si="13"/>
        <v>14.46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"5017", " - ", "PURCHASES @ COST-DORM/HOUSEWAR")</f>
        <v xml:space="preserve">          5017 - PURCHASES @ COST-DORM/HOUSEWAR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0</v>
      </c>
      <c r="Q53" s="2"/>
      <c r="R53" s="19">
        <f t="shared" si="11"/>
        <v>0</v>
      </c>
      <c r="S53" s="2"/>
      <c r="T53" s="2"/>
      <c r="U53" s="2"/>
      <c r="V53" s="19">
        <f t="shared" si="12"/>
        <v>0</v>
      </c>
      <c r="W53" s="2"/>
      <c r="X53" s="2">
        <f t="shared" si="13"/>
        <v>0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>
        <v>0</v>
      </c>
      <c r="E54" s="2"/>
      <c r="F54" s="19">
        <f t="shared" si="7"/>
        <v>0</v>
      </c>
      <c r="G54" s="2"/>
      <c r="H54" s="2"/>
      <c r="I54" s="2"/>
      <c r="J54" s="19">
        <f t="shared" si="8"/>
        <v>0</v>
      </c>
      <c r="K54" s="2"/>
      <c r="L54" s="2">
        <f t="shared" si="9"/>
        <v>0</v>
      </c>
      <c r="M54" s="2"/>
      <c r="N54" s="19">
        <f t="shared" si="10"/>
        <v>0</v>
      </c>
      <c r="O54" s="11"/>
      <c r="P54" s="2">
        <v>22098.390000000003</v>
      </c>
      <c r="Q54" s="2"/>
      <c r="R54" s="19">
        <f t="shared" si="11"/>
        <v>4.2828220488997849E-2</v>
      </c>
      <c r="S54" s="2"/>
      <c r="T54" s="2"/>
      <c r="U54" s="2"/>
      <c r="V54" s="19">
        <f t="shared" si="12"/>
        <v>0</v>
      </c>
      <c r="W54" s="2"/>
      <c r="X54" s="2">
        <f t="shared" si="13"/>
        <v>22098.390000000003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4328.17</v>
      </c>
      <c r="E55" s="2"/>
      <c r="F55" s="19">
        <f t="shared" si="7"/>
        <v>9.7930263629771183E-2</v>
      </c>
      <c r="G55" s="2"/>
      <c r="H55" s="2"/>
      <c r="I55" s="2"/>
      <c r="J55" s="19">
        <f t="shared" si="8"/>
        <v>0</v>
      </c>
      <c r="K55" s="2"/>
      <c r="L55" s="2">
        <f t="shared" si="9"/>
        <v>4328.17</v>
      </c>
      <c r="M55" s="2"/>
      <c r="N55" s="19">
        <f t="shared" si="10"/>
        <v>0</v>
      </c>
      <c r="O55" s="11"/>
      <c r="P55" s="2">
        <v>34316.009999999995</v>
      </c>
      <c r="Q55" s="2"/>
      <c r="R55" s="19">
        <f t="shared" si="11"/>
        <v>6.6506819844461731E-2</v>
      </c>
      <c r="S55" s="2"/>
      <c r="T55" s="2"/>
      <c r="U55" s="2"/>
      <c r="V55" s="19">
        <f t="shared" si="12"/>
        <v>0</v>
      </c>
      <c r="W55" s="2"/>
      <c r="X55" s="2">
        <f t="shared" si="13"/>
        <v>34316.009999999995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2493.64</v>
      </c>
      <c r="E56" s="2"/>
      <c r="F56" s="19">
        <f t="shared" si="7"/>
        <v>5.6421726179365084E-2</v>
      </c>
      <c r="G56" s="2"/>
      <c r="H56" s="2"/>
      <c r="I56" s="2"/>
      <c r="J56" s="19">
        <f t="shared" si="8"/>
        <v>0</v>
      </c>
      <c r="K56" s="2"/>
      <c r="L56" s="2">
        <f t="shared" si="9"/>
        <v>2493.64</v>
      </c>
      <c r="M56" s="2"/>
      <c r="N56" s="19">
        <f t="shared" si="10"/>
        <v>0</v>
      </c>
      <c r="O56" s="11"/>
      <c r="P56" s="2">
        <v>77948.710000000006</v>
      </c>
      <c r="Q56" s="2"/>
      <c r="R56" s="19">
        <f t="shared" si="11"/>
        <v>0.15107003445558484</v>
      </c>
      <c r="S56" s="2"/>
      <c r="T56" s="2"/>
      <c r="U56" s="2"/>
      <c r="V56" s="19">
        <f t="shared" si="12"/>
        <v>0</v>
      </c>
      <c r="W56" s="2"/>
      <c r="X56" s="2">
        <f t="shared" si="13"/>
        <v>77948.710000000006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7730.31</v>
      </c>
      <c r="E57" s="2"/>
      <c r="F57" s="19">
        <f t="shared" si="7"/>
        <v>0.17490793943857483</v>
      </c>
      <c r="G57" s="2"/>
      <c r="H57" s="2"/>
      <c r="I57" s="2"/>
      <c r="J57" s="19">
        <f t="shared" si="8"/>
        <v>0</v>
      </c>
      <c r="K57" s="2"/>
      <c r="L57" s="2">
        <f t="shared" si="9"/>
        <v>7730.31</v>
      </c>
      <c r="M57" s="2"/>
      <c r="N57" s="19">
        <f t="shared" si="10"/>
        <v>0</v>
      </c>
      <c r="O57" s="11"/>
      <c r="P57" s="2">
        <v>103000.81999999999</v>
      </c>
      <c r="Q57" s="2"/>
      <c r="R57" s="19">
        <f t="shared" si="11"/>
        <v>0.19962277023383054</v>
      </c>
      <c r="S57" s="2"/>
      <c r="T57" s="2"/>
      <c r="U57" s="2"/>
      <c r="V57" s="19">
        <f t="shared" si="12"/>
        <v>0</v>
      </c>
      <c r="W57" s="2"/>
      <c r="X57" s="2">
        <f t="shared" si="13"/>
        <v>103000.81999999999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>
        <v>1695.24</v>
      </c>
      <c r="E58" s="2"/>
      <c r="F58" s="19">
        <f t="shared" si="7"/>
        <v>3.8356926857247585E-2</v>
      </c>
      <c r="G58" s="2"/>
      <c r="H58" s="2"/>
      <c r="I58" s="2"/>
      <c r="J58" s="19">
        <f t="shared" si="8"/>
        <v>0</v>
      </c>
      <c r="K58" s="2"/>
      <c r="L58" s="2">
        <f t="shared" si="9"/>
        <v>1695.24</v>
      </c>
      <c r="M58" s="2"/>
      <c r="N58" s="19">
        <f t="shared" si="10"/>
        <v>0</v>
      </c>
      <c r="O58" s="11"/>
      <c r="P58" s="2">
        <v>22509.73</v>
      </c>
      <c r="Q58" s="2"/>
      <c r="R58" s="19">
        <f t="shared" si="11"/>
        <v>4.3625426087050209E-2</v>
      </c>
      <c r="S58" s="2"/>
      <c r="T58" s="2"/>
      <c r="U58" s="2"/>
      <c r="V58" s="19">
        <f t="shared" si="12"/>
        <v>0</v>
      </c>
      <c r="W58" s="2"/>
      <c r="X58" s="2">
        <f t="shared" si="13"/>
        <v>22509.73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"5032", " - ", "PURCHASES @ COST-JUICE")</f>
        <v xml:space="preserve">          5032 - PURCHASES @ COST-JUICE</v>
      </c>
      <c r="C59" s="11"/>
      <c r="D59" s="2">
        <v>358.99</v>
      </c>
      <c r="E59" s="2"/>
      <c r="F59" s="19">
        <f t="shared" si="7"/>
        <v>8.1225980819726474E-3</v>
      </c>
      <c r="G59" s="2"/>
      <c r="H59" s="2"/>
      <c r="I59" s="2"/>
      <c r="J59" s="19">
        <f t="shared" si="8"/>
        <v>0</v>
      </c>
      <c r="K59" s="2"/>
      <c r="L59" s="2">
        <f t="shared" si="9"/>
        <v>358.99</v>
      </c>
      <c r="M59" s="2"/>
      <c r="N59" s="19">
        <f t="shared" si="10"/>
        <v>0</v>
      </c>
      <c r="O59" s="11"/>
      <c r="P59" s="2">
        <v>5021.4799999999996</v>
      </c>
      <c r="Q59" s="2"/>
      <c r="R59" s="19">
        <f t="shared" si="11"/>
        <v>9.7319783305975169E-3</v>
      </c>
      <c r="S59" s="2"/>
      <c r="T59" s="2"/>
      <c r="U59" s="2"/>
      <c r="V59" s="19">
        <f t="shared" si="12"/>
        <v>0</v>
      </c>
      <c r="W59" s="2"/>
      <c r="X59" s="2">
        <f t="shared" si="13"/>
        <v>5021.4799999999996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"5033", " - ", "PURCHASES @ COST-CANDY")</f>
        <v xml:space="preserve">          5033 - PURCHASES @ COST-CANDY</v>
      </c>
      <c r="C60" s="11"/>
      <c r="D60" s="2">
        <v>260.19</v>
      </c>
      <c r="E60" s="2"/>
      <c r="F60" s="19">
        <f t="shared" si="7"/>
        <v>5.8871244183639187E-3</v>
      </c>
      <c r="G60" s="2"/>
      <c r="H60" s="2"/>
      <c r="I60" s="2"/>
      <c r="J60" s="19">
        <f t="shared" si="8"/>
        <v>0</v>
      </c>
      <c r="K60" s="2"/>
      <c r="L60" s="2">
        <f t="shared" si="9"/>
        <v>260.19</v>
      </c>
      <c r="M60" s="2"/>
      <c r="N60" s="19">
        <f t="shared" si="10"/>
        <v>0</v>
      </c>
      <c r="O60" s="11"/>
      <c r="P60" s="2">
        <v>6197.93</v>
      </c>
      <c r="Q60" s="2"/>
      <c r="R60" s="19">
        <f t="shared" si="11"/>
        <v>1.2012020451054328E-2</v>
      </c>
      <c r="S60" s="2"/>
      <c r="T60" s="2"/>
      <c r="U60" s="2"/>
      <c r="V60" s="19">
        <f t="shared" si="12"/>
        <v>0</v>
      </c>
      <c r="W60" s="2"/>
      <c r="X60" s="2">
        <f t="shared" si="13"/>
        <v>6197.93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"5034", " - ", "PURCHASES @ COST-SODA")</f>
        <v xml:space="preserve">          5034 - PURCHASES @ COST-SODA</v>
      </c>
      <c r="C61" s="11"/>
      <c r="D61" s="2">
        <v>42.24</v>
      </c>
      <c r="E61" s="2"/>
      <c r="F61" s="19">
        <f t="shared" si="7"/>
        <v>9.5573286994769953E-4</v>
      </c>
      <c r="G61" s="2"/>
      <c r="H61" s="2"/>
      <c r="I61" s="2"/>
      <c r="J61" s="19">
        <f t="shared" si="8"/>
        <v>0</v>
      </c>
      <c r="K61" s="2"/>
      <c r="L61" s="2">
        <f t="shared" si="9"/>
        <v>42.24</v>
      </c>
      <c r="M61" s="2"/>
      <c r="N61" s="19">
        <f t="shared" si="10"/>
        <v>0</v>
      </c>
      <c r="O61" s="11"/>
      <c r="P61" s="2">
        <v>2124.16</v>
      </c>
      <c r="Q61" s="2"/>
      <c r="R61" s="19">
        <f t="shared" si="11"/>
        <v>4.1167701734791387E-3</v>
      </c>
      <c r="S61" s="2"/>
      <c r="T61" s="2"/>
      <c r="U61" s="2"/>
      <c r="V61" s="19">
        <f t="shared" si="12"/>
        <v>0</v>
      </c>
      <c r="W61" s="2"/>
      <c r="X61" s="2">
        <f t="shared" si="13"/>
        <v>2124.16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"5035", " - ", "PURCHASES @ COST-HEALTH &amp; BEAU")</f>
        <v xml:space="preserve">          5035 - PURCHASES @ COST-HEALTH &amp; BEAU</v>
      </c>
      <c r="C62" s="11"/>
      <c r="D62" s="2">
        <v>23.17</v>
      </c>
      <c r="E62" s="2"/>
      <c r="F62" s="19">
        <f t="shared" si="7"/>
        <v>5.2425025086856526E-4</v>
      </c>
      <c r="G62" s="2"/>
      <c r="H62" s="2"/>
      <c r="I62" s="2"/>
      <c r="J62" s="19">
        <f t="shared" si="8"/>
        <v>0</v>
      </c>
      <c r="K62" s="2"/>
      <c r="L62" s="2">
        <f t="shared" si="9"/>
        <v>23.17</v>
      </c>
      <c r="M62" s="2"/>
      <c r="N62" s="19">
        <f t="shared" si="10"/>
        <v>0</v>
      </c>
      <c r="O62" s="11"/>
      <c r="P62" s="2">
        <v>824.38</v>
      </c>
      <c r="Q62" s="2"/>
      <c r="R62" s="19">
        <f t="shared" si="11"/>
        <v>1.5977059146263617E-3</v>
      </c>
      <c r="S62" s="2"/>
      <c r="T62" s="2"/>
      <c r="U62" s="2"/>
      <c r="V62" s="19">
        <f t="shared" si="12"/>
        <v>0</v>
      </c>
      <c r="W62" s="2"/>
      <c r="X62" s="2">
        <f t="shared" si="13"/>
        <v>824.38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"5037", " - ", "PURCHASES @ COST-WATER")</f>
        <v xml:space="preserve">          5037 - PURCHASES @ COST-WATER</v>
      </c>
      <c r="C63" s="11"/>
      <c r="D63" s="2">
        <v>235.9</v>
      </c>
      <c r="E63" s="2"/>
      <c r="F63" s="19">
        <f t="shared" si="7"/>
        <v>5.3375327656406801E-3</v>
      </c>
      <c r="G63" s="2"/>
      <c r="H63" s="2"/>
      <c r="I63" s="2"/>
      <c r="J63" s="19">
        <f t="shared" si="8"/>
        <v>0</v>
      </c>
      <c r="K63" s="2"/>
      <c r="L63" s="2">
        <f t="shared" si="9"/>
        <v>235.9</v>
      </c>
      <c r="M63" s="2"/>
      <c r="N63" s="19">
        <f t="shared" si="10"/>
        <v>0</v>
      </c>
      <c r="O63" s="11"/>
      <c r="P63" s="2">
        <v>3729.51</v>
      </c>
      <c r="Q63" s="2"/>
      <c r="R63" s="19">
        <f t="shared" si="11"/>
        <v>7.2280503962470731E-3</v>
      </c>
      <c r="S63" s="2"/>
      <c r="T63" s="2"/>
      <c r="U63" s="2"/>
      <c r="V63" s="19">
        <f t="shared" si="12"/>
        <v>0</v>
      </c>
      <c r="W63" s="2"/>
      <c r="X63" s="2">
        <f t="shared" si="13"/>
        <v>3729.51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"5081", " - ", "PURCHASES @ COST-ELECTRONICS")</f>
        <v xml:space="preserve">          5081 - PURCHASES @ COST-ELECTRONICS</v>
      </c>
      <c r="C64" s="11"/>
      <c r="D64" s="2">
        <v>526.74</v>
      </c>
      <c r="E64" s="2"/>
      <c r="F64" s="19">
        <f t="shared" si="7"/>
        <v>1.1918151797259736E-2</v>
      </c>
      <c r="G64" s="2"/>
      <c r="H64" s="2"/>
      <c r="I64" s="2"/>
      <c r="J64" s="19">
        <f t="shared" si="8"/>
        <v>0</v>
      </c>
      <c r="K64" s="2"/>
      <c r="L64" s="2">
        <f t="shared" si="9"/>
        <v>526.74</v>
      </c>
      <c r="M64" s="2"/>
      <c r="N64" s="19">
        <f t="shared" si="10"/>
        <v>0</v>
      </c>
      <c r="O64" s="11"/>
      <c r="P64" s="2">
        <v>1771.55</v>
      </c>
      <c r="Q64" s="2"/>
      <c r="R64" s="19">
        <f t="shared" si="11"/>
        <v>3.4333874100006441E-3</v>
      </c>
      <c r="S64" s="2"/>
      <c r="T64" s="2"/>
      <c r="U64" s="2"/>
      <c r="V64" s="19">
        <f t="shared" si="12"/>
        <v>0</v>
      </c>
      <c r="W64" s="2"/>
      <c r="X64" s="2">
        <f t="shared" si="13"/>
        <v>1771.55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"5082", " - ", "PURCHASES @ COST-COMPUTER HARD")</f>
        <v xml:space="preserve">          5082 - PURCHASES @ COST-COMPUTER HARD</v>
      </c>
      <c r="C65" s="11"/>
      <c r="D65" s="2">
        <v>105</v>
      </c>
      <c r="E65" s="2"/>
      <c r="F65" s="19">
        <f t="shared" si="7"/>
        <v>2.3757564238756734E-3</v>
      </c>
      <c r="G65" s="2"/>
      <c r="H65" s="2"/>
      <c r="I65" s="2"/>
      <c r="J65" s="19">
        <f t="shared" si="8"/>
        <v>0</v>
      </c>
      <c r="K65" s="2"/>
      <c r="L65" s="2">
        <f t="shared" si="9"/>
        <v>105</v>
      </c>
      <c r="M65" s="2"/>
      <c r="N65" s="19">
        <f t="shared" si="10"/>
        <v>0</v>
      </c>
      <c r="O65" s="11"/>
      <c r="P65" s="2">
        <v>349.6</v>
      </c>
      <c r="Q65" s="2"/>
      <c r="R65" s="19">
        <f t="shared" si="11"/>
        <v>6.7754917362548351E-4</v>
      </c>
      <c r="S65" s="2"/>
      <c r="T65" s="2"/>
      <c r="U65" s="2"/>
      <c r="V65" s="19">
        <f t="shared" si="12"/>
        <v>0</v>
      </c>
      <c r="W65" s="2"/>
      <c r="X65" s="2">
        <f t="shared" si="13"/>
        <v>349.6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"5083", " - ", "PURCHASES @ COST-COMPUTER EQUI")</f>
        <v xml:space="preserve">          5083 - PURCHASES @ COST-COMPUTER EQUI</v>
      </c>
      <c r="C66" s="11"/>
      <c r="D66" s="2">
        <v>147.19999999999999</v>
      </c>
      <c r="E66" s="2"/>
      <c r="F66" s="19">
        <f t="shared" si="7"/>
        <v>3.3305842437571344E-3</v>
      </c>
      <c r="G66" s="2"/>
      <c r="H66" s="2"/>
      <c r="I66" s="2"/>
      <c r="J66" s="19">
        <f t="shared" si="8"/>
        <v>0</v>
      </c>
      <c r="K66" s="2"/>
      <c r="L66" s="2">
        <f t="shared" si="9"/>
        <v>147.19999999999999</v>
      </c>
      <c r="M66" s="2"/>
      <c r="N66" s="19">
        <f t="shared" si="10"/>
        <v>0</v>
      </c>
      <c r="O66" s="11"/>
      <c r="P66" s="2">
        <v>339.4</v>
      </c>
      <c r="Q66" s="2"/>
      <c r="R66" s="19">
        <f t="shared" si="11"/>
        <v>6.5778086249567813E-4</v>
      </c>
      <c r="S66" s="2"/>
      <c r="T66" s="2"/>
      <c r="U66" s="2"/>
      <c r="V66" s="19">
        <f t="shared" si="12"/>
        <v>0</v>
      </c>
      <c r="W66" s="2"/>
      <c r="X66" s="2">
        <f t="shared" si="13"/>
        <v>339.4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"5086", " - ", "PURCHASES @ COST-COMPUTER SUPP")</f>
        <v xml:space="preserve">          5086 - PURCHASES @ COST-COMPUTER SUPP</v>
      </c>
      <c r="C67" s="11"/>
      <c r="D67" s="2">
        <v>151.26</v>
      </c>
      <c r="E67" s="2"/>
      <c r="F67" s="19">
        <f t="shared" si="7"/>
        <v>3.4224468254803269E-3</v>
      </c>
      <c r="G67" s="2"/>
      <c r="H67" s="2"/>
      <c r="I67" s="2"/>
      <c r="J67" s="19">
        <f t="shared" si="8"/>
        <v>0</v>
      </c>
      <c r="K67" s="2"/>
      <c r="L67" s="2">
        <f t="shared" si="9"/>
        <v>151.26</v>
      </c>
      <c r="M67" s="2"/>
      <c r="N67" s="19">
        <f t="shared" si="10"/>
        <v>0</v>
      </c>
      <c r="O67" s="11"/>
      <c r="P67" s="2">
        <v>379.26</v>
      </c>
      <c r="Q67" s="2"/>
      <c r="R67" s="19">
        <f t="shared" si="11"/>
        <v>7.3503232147940738E-4</v>
      </c>
      <c r="S67" s="2"/>
      <c r="T67" s="2"/>
      <c r="U67" s="2"/>
      <c r="V67" s="19">
        <f t="shared" si="12"/>
        <v>0</v>
      </c>
      <c r="W67" s="2"/>
      <c r="X67" s="2">
        <f t="shared" si="13"/>
        <v>379.26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"5200", " - ", "PURCHASES OFFSET")</f>
        <v xml:space="preserve">          5200 - PURCHASES OFFSET</v>
      </c>
      <c r="C68" s="11"/>
      <c r="D68" s="2">
        <v>-18600</v>
      </c>
      <c r="E68" s="2"/>
      <c r="F68" s="19">
        <f t="shared" si="7"/>
        <v>-0.42084828080083359</v>
      </c>
      <c r="G68" s="2"/>
      <c r="H68" s="2"/>
      <c r="I68" s="2"/>
      <c r="J68" s="19">
        <f t="shared" si="8"/>
        <v>0</v>
      </c>
      <c r="K68" s="2"/>
      <c r="L68" s="2">
        <f t="shared" si="9"/>
        <v>-18600</v>
      </c>
      <c r="M68" s="2"/>
      <c r="N68" s="19">
        <f t="shared" si="10"/>
        <v>0</v>
      </c>
      <c r="O68" s="11"/>
      <c r="P68" s="2">
        <v>-283520</v>
      </c>
      <c r="Q68" s="2"/>
      <c r="R68" s="19">
        <f t="shared" si="11"/>
        <v>-0.54948152661984284</v>
      </c>
      <c r="S68" s="2"/>
      <c r="T68" s="2"/>
      <c r="U68" s="2"/>
      <c r="V68" s="19">
        <f t="shared" si="12"/>
        <v>0</v>
      </c>
      <c r="W68" s="2"/>
      <c r="X68" s="2">
        <f t="shared" si="13"/>
        <v>-283520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"5300", " - ", "COG$ OFFSET")</f>
        <v xml:space="preserve">          5300 - COG$ OFFSET</v>
      </c>
      <c r="C69" s="11"/>
      <c r="D69" s="2">
        <v>22182</v>
      </c>
      <c r="E69" s="2"/>
      <c r="F69" s="19">
        <f t="shared" si="7"/>
        <v>0.50189551423247802</v>
      </c>
      <c r="G69" s="2"/>
      <c r="H69" s="2"/>
      <c r="I69" s="2"/>
      <c r="J69" s="19">
        <f t="shared" si="8"/>
        <v>0</v>
      </c>
      <c r="K69" s="2"/>
      <c r="L69" s="2">
        <f t="shared" si="9"/>
        <v>22182</v>
      </c>
      <c r="M69" s="2"/>
      <c r="N69" s="19">
        <f t="shared" si="10"/>
        <v>0</v>
      </c>
      <c r="O69" s="11"/>
      <c r="P69" s="2">
        <v>256510</v>
      </c>
      <c r="Q69" s="2"/>
      <c r="R69" s="19">
        <f t="shared" si="11"/>
        <v>0.49713426352023099</v>
      </c>
      <c r="S69" s="2"/>
      <c r="T69" s="2"/>
      <c r="U69" s="2"/>
      <c r="V69" s="19">
        <f t="shared" si="12"/>
        <v>0</v>
      </c>
      <c r="W69" s="2"/>
      <c r="X69" s="2">
        <f t="shared" si="13"/>
        <v>256510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"5500", " - ", "FREIGHT-IN")</f>
        <v xml:space="preserve">          5500 - FREIGHT-IN</v>
      </c>
      <c r="C70" s="11"/>
      <c r="D70" s="2">
        <v>80</v>
      </c>
      <c r="E70" s="2"/>
      <c r="F70" s="19">
        <f t="shared" si="7"/>
        <v>1.8101001324767035E-3</v>
      </c>
      <c r="G70" s="2"/>
      <c r="H70" s="2"/>
      <c r="I70" s="2"/>
      <c r="J70" s="19">
        <f t="shared" si="8"/>
        <v>0</v>
      </c>
      <c r="K70" s="2"/>
      <c r="L70" s="2">
        <f t="shared" si="9"/>
        <v>80</v>
      </c>
      <c r="M70" s="2"/>
      <c r="N70" s="19">
        <f t="shared" si="10"/>
        <v>0</v>
      </c>
      <c r="O70" s="11"/>
      <c r="P70" s="2">
        <v>86</v>
      </c>
      <c r="Q70" s="2"/>
      <c r="R70" s="19">
        <f t="shared" si="11"/>
        <v>1.6667399580031915E-4</v>
      </c>
      <c r="S70" s="2"/>
      <c r="T70" s="2"/>
      <c r="U70" s="2"/>
      <c r="V70" s="19">
        <f t="shared" si="12"/>
        <v>0</v>
      </c>
      <c r="W70" s="2"/>
      <c r="X70" s="2">
        <f t="shared" si="13"/>
        <v>86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"5525", " - ", "FREIGHT-IN-TEST FORMS")</f>
        <v xml:space="preserve">          5525 - FREIGHT-IN-TEST FORMS</v>
      </c>
      <c r="C71" s="11"/>
      <c r="D71" s="2">
        <v>247.49</v>
      </c>
      <c r="E71" s="2"/>
      <c r="F71" s="19">
        <f t="shared" si="7"/>
        <v>5.5997710223332419E-3</v>
      </c>
      <c r="G71" s="2"/>
      <c r="H71" s="2"/>
      <c r="I71" s="2"/>
      <c r="J71" s="19">
        <f t="shared" si="8"/>
        <v>0</v>
      </c>
      <c r="K71" s="2"/>
      <c r="L71" s="2">
        <f t="shared" si="9"/>
        <v>247.49</v>
      </c>
      <c r="M71" s="2"/>
      <c r="N71" s="19">
        <f t="shared" si="10"/>
        <v>0</v>
      </c>
      <c r="O71" s="11"/>
      <c r="P71" s="2">
        <v>622.41</v>
      </c>
      <c r="Q71" s="2"/>
      <c r="R71" s="19">
        <f t="shared" si="11"/>
        <v>1.2062739735590306E-3</v>
      </c>
      <c r="S71" s="2"/>
      <c r="T71" s="2"/>
      <c r="U71" s="2"/>
      <c r="V71" s="19">
        <f t="shared" si="12"/>
        <v>0</v>
      </c>
      <c r="W71" s="2"/>
      <c r="X71" s="2">
        <f t="shared" si="13"/>
        <v>622.41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"5526", " - ", "FREIGHT-IN-WRITING INSTRUMENTS")</f>
        <v xml:space="preserve">          5526 - FREIGHT-IN-WRITING INSTRUMENTS</v>
      </c>
      <c r="C72" s="11"/>
      <c r="D72" s="2">
        <v>42.86</v>
      </c>
      <c r="E72" s="2"/>
      <c r="F72" s="19">
        <f t="shared" si="7"/>
        <v>9.697611459743939E-4</v>
      </c>
      <c r="G72" s="2"/>
      <c r="H72" s="2"/>
      <c r="I72" s="2"/>
      <c r="J72" s="19">
        <f t="shared" si="8"/>
        <v>0</v>
      </c>
      <c r="K72" s="2"/>
      <c r="L72" s="2">
        <f t="shared" si="9"/>
        <v>42.86</v>
      </c>
      <c r="M72" s="2"/>
      <c r="N72" s="19">
        <f t="shared" si="10"/>
        <v>0</v>
      </c>
      <c r="O72" s="11"/>
      <c r="P72" s="2">
        <v>260.35000000000002</v>
      </c>
      <c r="Q72" s="2"/>
      <c r="R72" s="19">
        <f t="shared" si="11"/>
        <v>5.0457645123968718E-4</v>
      </c>
      <c r="S72" s="2"/>
      <c r="T72" s="2"/>
      <c r="U72" s="2"/>
      <c r="V72" s="19">
        <f t="shared" si="12"/>
        <v>0</v>
      </c>
      <c r="W72" s="2"/>
      <c r="X72" s="2">
        <f t="shared" si="13"/>
        <v>260.35000000000002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>
        <v>25.34</v>
      </c>
      <c r="E73" s="2"/>
      <c r="F73" s="19">
        <f t="shared" si="7"/>
        <v>5.733492169619958E-4</v>
      </c>
      <c r="G73" s="2"/>
      <c r="H73" s="2"/>
      <c r="I73" s="2"/>
      <c r="J73" s="19">
        <f t="shared" si="8"/>
        <v>0</v>
      </c>
      <c r="K73" s="2"/>
      <c r="L73" s="2">
        <f t="shared" si="9"/>
        <v>25.34</v>
      </c>
      <c r="M73" s="2"/>
      <c r="N73" s="19">
        <f t="shared" si="10"/>
        <v>0</v>
      </c>
      <c r="O73" s="11"/>
      <c r="P73" s="2">
        <v>897.92</v>
      </c>
      <c r="Q73" s="2"/>
      <c r="R73" s="19">
        <f t="shared" si="11"/>
        <v>1.7402315617328205E-3</v>
      </c>
      <c r="S73" s="2"/>
      <c r="T73" s="2"/>
      <c r="U73" s="2"/>
      <c r="V73" s="19">
        <f t="shared" si="12"/>
        <v>0</v>
      </c>
      <c r="W73" s="2"/>
      <c r="X73" s="2">
        <f t="shared" si="13"/>
        <v>897.92</v>
      </c>
      <c r="Y73" s="2"/>
      <c r="Z73" s="19">
        <f t="shared" si="14"/>
        <v>0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187.14</v>
      </c>
      <c r="E74" s="2"/>
      <c r="F74" s="19">
        <f t="shared" si="7"/>
        <v>4.2342767348961287E-3</v>
      </c>
      <c r="G74" s="2"/>
      <c r="H74" s="2"/>
      <c r="I74" s="2"/>
      <c r="J74" s="19">
        <f t="shared" si="8"/>
        <v>0</v>
      </c>
      <c r="K74" s="2"/>
      <c r="L74" s="2">
        <f t="shared" si="9"/>
        <v>187.14</v>
      </c>
      <c r="M74" s="2"/>
      <c r="N74" s="19">
        <f t="shared" si="10"/>
        <v>0</v>
      </c>
      <c r="O74" s="11"/>
      <c r="P74" s="2">
        <v>1110.6400000000001</v>
      </c>
      <c r="Q74" s="2"/>
      <c r="R74" s="19">
        <f t="shared" si="11"/>
        <v>2.1524977522751915E-3</v>
      </c>
      <c r="S74" s="2"/>
      <c r="T74" s="2"/>
      <c r="U74" s="2"/>
      <c r="V74" s="19">
        <f t="shared" si="12"/>
        <v>0</v>
      </c>
      <c r="W74" s="2"/>
      <c r="X74" s="2">
        <f t="shared" si="13"/>
        <v>1110.6400000000001</v>
      </c>
      <c r="Y74" s="2"/>
      <c r="Z74" s="19">
        <f t="shared" si="14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6</v>
      </c>
      <c r="C76" s="29"/>
      <c r="D76" s="22">
        <f>D12-D50</f>
        <v>21933.569999999996</v>
      </c>
      <c r="E76" s="14"/>
      <c r="F76" s="20">
        <f>IF(D$12=0,0,D76/D$12)</f>
        <v>0.49627447453358803</v>
      </c>
      <c r="G76" s="14"/>
      <c r="H76" s="22">
        <f>H12-H50</f>
        <v>27608</v>
      </c>
      <c r="I76" s="14"/>
      <c r="J76" s="20">
        <f>IF(H$12=0,0,H76/H$12)</f>
        <v>0.52540631066113497</v>
      </c>
      <c r="K76" s="16"/>
      <c r="L76" s="22">
        <f>+D76-H76</f>
        <v>-5674.4300000000039</v>
      </c>
      <c r="M76" s="16"/>
      <c r="N76" s="20">
        <f>IF(H76=0,0,L76/H76)</f>
        <v>-0.20553571428571443</v>
      </c>
      <c r="O76" s="28"/>
      <c r="P76" s="22">
        <f>P12-P50</f>
        <v>259384.60000000012</v>
      </c>
      <c r="Q76" s="14"/>
      <c r="R76" s="20">
        <f>IF(P$12=0,0,P76/P$12)</f>
        <v>0.50270543873334284</v>
      </c>
      <c r="S76" s="14"/>
      <c r="T76" s="22">
        <f>T12-T50</f>
        <v>297365</v>
      </c>
      <c r="U76" s="14"/>
      <c r="V76" s="20">
        <f>IF(T$12=0,0,T76/T$12)</f>
        <v>0.52686644117766912</v>
      </c>
      <c r="W76" s="16"/>
      <c r="X76" s="22">
        <f>+P76-T76</f>
        <v>-37980.399999999878</v>
      </c>
      <c r="Y76" s="16"/>
      <c r="Z76" s="20">
        <f>IF(T76=0,0,X76/T76)</f>
        <v>-0.12772316849662832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9</v>
      </c>
      <c r="C78" s="10"/>
      <c r="D78" s="21">
        <f>SUM(OSRRefD22x_0)</f>
        <v>18784.78</v>
      </c>
      <c r="E78" s="21"/>
      <c r="F78" s="30">
        <f t="shared" ref="F78:F88" si="15">IF(D$12=0,0,D78/D$12)</f>
        <v>0.42502915958182164</v>
      </c>
      <c r="G78" s="21"/>
      <c r="H78" s="21">
        <f>SUM(OSRRefH22x_0)</f>
        <v>19398.444157544611</v>
      </c>
      <c r="I78" s="21"/>
      <c r="J78" s="30">
        <f t="shared" ref="J78:J88" si="16">IF(H$12=0,0,H78/H$12)</f>
        <v>0.36917071056873235</v>
      </c>
      <c r="K78" s="4"/>
      <c r="L78" s="21">
        <f t="shared" ref="L78:L88" si="17">+D78-H78</f>
        <v>-613.66415754461195</v>
      </c>
      <c r="M78" s="4"/>
      <c r="N78" s="30">
        <f t="shared" ref="N78:N88" si="18">IF(H78=0,0,L78/H78)</f>
        <v>-3.1634710111838549E-2</v>
      </c>
      <c r="O78" s="10"/>
      <c r="P78" s="21">
        <f>SUM(OSRRefP22x_0)</f>
        <v>130249.16000000002</v>
      </c>
      <c r="Q78" s="21"/>
      <c r="R78" s="30">
        <f t="shared" ref="R78:R88" si="19">IF(P$12=0,0,P78/P$12)</f>
        <v>0.25243195287017556</v>
      </c>
      <c r="S78" s="21"/>
      <c r="T78" s="21">
        <f>SUM(OSRRefT22x_0)</f>
        <v>129938.56766903997</v>
      </c>
      <c r="U78" s="21"/>
      <c r="V78" s="30">
        <f t="shared" ref="V78:V88" si="20">IF(T$12=0,0,T78/T$12)</f>
        <v>0.23022302799425229</v>
      </c>
      <c r="W78" s="4"/>
      <c r="X78" s="21">
        <f t="shared" ref="X78:X88" si="21">+P78-T78</f>
        <v>310.59233096004755</v>
      </c>
      <c r="Y78" s="4"/>
      <c r="Z78" s="30">
        <f t="shared" ref="Z78:Z88" si="22">IF(T78=0,0,X78/T78)</f>
        <v>2.3903013287874756E-3</v>
      </c>
    </row>
    <row r="79" spans="1:26" s="25" customFormat="1" outlineLevel="1" collapsed="1" x14ac:dyDescent="0.25">
      <c r="A79" s="27"/>
      <c r="B79" s="13" t="str">
        <f>CONCATENATE("     ","*Benefits                                         ")</f>
        <v xml:space="preserve">     *Benefits                                         </v>
      </c>
      <c r="C79" s="13"/>
      <c r="D79" s="1">
        <f>SUM(OSRRefD22_0x_0)</f>
        <v>4145.38</v>
      </c>
      <c r="E79" s="1"/>
      <c r="F79" s="5">
        <f t="shared" si="15"/>
        <v>9.3794411089578464E-2</v>
      </c>
      <c r="G79" s="1"/>
      <c r="H79" s="1">
        <f>SUM(OSRRefH22_0x_0)</f>
        <v>3217.4565636984607</v>
      </c>
      <c r="I79" s="1"/>
      <c r="J79" s="5">
        <f t="shared" si="16"/>
        <v>6.1231236701146816E-2</v>
      </c>
      <c r="K79" s="1"/>
      <c r="L79" s="1">
        <f t="shared" si="17"/>
        <v>927.92343630153937</v>
      </c>
      <c r="M79" s="1"/>
      <c r="N79" s="5">
        <f t="shared" si="18"/>
        <v>0.28840278584363949</v>
      </c>
      <c r="O79" s="13"/>
      <c r="P79" s="1">
        <f>SUM(OSRRefP22_0x_0)</f>
        <v>22243.99</v>
      </c>
      <c r="Q79" s="1"/>
      <c r="R79" s="5">
        <f t="shared" si="19"/>
        <v>4.3110403440027228E-2</v>
      </c>
      <c r="S79" s="1"/>
      <c r="T79" s="1">
        <f>SUM(OSRRefT22_0x_0)</f>
        <v>21173.433309039996</v>
      </c>
      <c r="U79" s="1"/>
      <c r="V79" s="5">
        <f t="shared" si="20"/>
        <v>3.7514742673302577E-2</v>
      </c>
      <c r="W79" s="1"/>
      <c r="X79" s="1">
        <f t="shared" si="21"/>
        <v>1070.5566909600057</v>
      </c>
      <c r="Y79" s="1"/>
      <c r="Z79" s="5">
        <f t="shared" si="22"/>
        <v>5.0561317823828389E-2</v>
      </c>
    </row>
    <row r="80" spans="1:26" s="24" customFormat="1" hidden="1" outlineLevel="2" x14ac:dyDescent="0.25">
      <c r="A80" s="26"/>
      <c r="B80" s="11" t="str">
        <f>CONCATENATE("          ", "6111", " - ", "F.I.C.A.")</f>
        <v xml:space="preserve">          6111 - F.I.C.A.</v>
      </c>
      <c r="C80" s="11"/>
      <c r="D80" s="6">
        <v>509.28</v>
      </c>
      <c r="E80" s="2"/>
      <c r="F80" s="7">
        <f t="shared" si="15"/>
        <v>1.1523097443346694E-2</v>
      </c>
      <c r="G80" s="2"/>
      <c r="H80" s="6">
        <v>710.93671434461498</v>
      </c>
      <c r="I80" s="2"/>
      <c r="J80" s="7">
        <f t="shared" si="16"/>
        <v>1.3529797022506279E-2</v>
      </c>
      <c r="K80" s="2"/>
      <c r="L80" s="6">
        <f t="shared" si="17"/>
        <v>-201.65671434461501</v>
      </c>
      <c r="M80" s="2"/>
      <c r="N80" s="7">
        <f t="shared" si="18"/>
        <v>-0.28364931825263029</v>
      </c>
      <c r="O80" s="11"/>
      <c r="P80" s="6">
        <v>3447.1</v>
      </c>
      <c r="Q80" s="2"/>
      <c r="R80" s="7">
        <f t="shared" si="19"/>
        <v>6.680720127014885E-3</v>
      </c>
      <c r="S80" s="2"/>
      <c r="T80" s="6">
        <v>5329.4885882399985</v>
      </c>
      <c r="U80" s="2"/>
      <c r="V80" s="7">
        <f t="shared" si="20"/>
        <v>9.4427006735258289E-3</v>
      </c>
      <c r="W80" s="2"/>
      <c r="X80" s="6">
        <f t="shared" si="21"/>
        <v>-1882.3885882399986</v>
      </c>
      <c r="Y80" s="2"/>
      <c r="Z80" s="7">
        <f t="shared" si="22"/>
        <v>-0.35320248032684792</v>
      </c>
    </row>
    <row r="81" spans="1:26" s="24" customFormat="1" hidden="1" outlineLevel="2" x14ac:dyDescent="0.25">
      <c r="A81" s="26"/>
      <c r="B81" s="11" t="str">
        <f>CONCATENATE("          ", "6112", " - ", "COMPENSATION INSURANCE")</f>
        <v xml:space="preserve">          6112 - COMPENSATION INSURANCE</v>
      </c>
      <c r="C81" s="11"/>
      <c r="D81" s="6">
        <v>404.73</v>
      </c>
      <c r="E81" s="2"/>
      <c r="F81" s="7">
        <f t="shared" si="15"/>
        <v>9.1575228327162028E-3</v>
      </c>
      <c r="G81" s="2"/>
      <c r="H81" s="6">
        <v>245.47330030769197</v>
      </c>
      <c r="I81" s="2"/>
      <c r="J81" s="7">
        <f t="shared" si="16"/>
        <v>4.6715887090871232E-3</v>
      </c>
      <c r="K81" s="2"/>
      <c r="L81" s="6">
        <f t="shared" si="17"/>
        <v>159.25669969230805</v>
      </c>
      <c r="M81" s="2"/>
      <c r="N81" s="7">
        <f t="shared" si="18"/>
        <v>0.64877401938494117</v>
      </c>
      <c r="O81" s="11"/>
      <c r="P81" s="6">
        <v>1515.85</v>
      </c>
      <c r="Q81" s="2"/>
      <c r="R81" s="7">
        <f t="shared" si="19"/>
        <v>2.9378229829524856E-3</v>
      </c>
      <c r="S81" s="2"/>
      <c r="T81" s="6">
        <v>1698.333201999998</v>
      </c>
      <c r="U81" s="2"/>
      <c r="V81" s="7">
        <f t="shared" si="20"/>
        <v>3.0090789772556099E-3</v>
      </c>
      <c r="W81" s="2"/>
      <c r="X81" s="6">
        <f t="shared" si="21"/>
        <v>-182.48320199999807</v>
      </c>
      <c r="Y81" s="2"/>
      <c r="Z81" s="7">
        <f t="shared" si="22"/>
        <v>-0.10744840987922834</v>
      </c>
    </row>
    <row r="82" spans="1:26" s="24" customFormat="1" hidden="1" outlineLevel="2" x14ac:dyDescent="0.25">
      <c r="A82" s="26"/>
      <c r="B82" s="11" t="str">
        <f>CONCATENATE("          ", "6113", " - ", "GROUP INSURANCE")</f>
        <v xml:space="preserve">          6113 - GROUP INSURANCE</v>
      </c>
      <c r="C82" s="11"/>
      <c r="D82" s="6">
        <v>2104.73</v>
      </c>
      <c r="E82" s="2"/>
      <c r="F82" s="7">
        <f t="shared" si="15"/>
        <v>4.7622150647846154E-2</v>
      </c>
      <c r="G82" s="2"/>
      <c r="H82" s="6">
        <v>1288.05</v>
      </c>
      <c r="I82" s="2"/>
      <c r="J82" s="7">
        <f t="shared" si="16"/>
        <v>2.4512807825524303E-2</v>
      </c>
      <c r="K82" s="2"/>
      <c r="L82" s="6">
        <f t="shared" si="17"/>
        <v>816.68000000000006</v>
      </c>
      <c r="M82" s="2"/>
      <c r="N82" s="7">
        <f t="shared" si="18"/>
        <v>0.63404370948332756</v>
      </c>
      <c r="O82" s="11"/>
      <c r="P82" s="6">
        <v>10080.24</v>
      </c>
      <c r="Q82" s="2"/>
      <c r="R82" s="7">
        <f t="shared" si="19"/>
        <v>1.9536207900304758E-2</v>
      </c>
      <c r="S82" s="2"/>
      <c r="T82" s="6">
        <v>7728.3</v>
      </c>
      <c r="U82" s="2"/>
      <c r="V82" s="7">
        <f t="shared" si="20"/>
        <v>1.3692875480817785E-2</v>
      </c>
      <c r="W82" s="2"/>
      <c r="X82" s="6">
        <f t="shared" si="21"/>
        <v>2351.9399999999996</v>
      </c>
      <c r="Y82" s="2"/>
      <c r="Z82" s="7">
        <f t="shared" si="22"/>
        <v>0.30432824812701365</v>
      </c>
    </row>
    <row r="83" spans="1:26" s="24" customFormat="1" hidden="1" outlineLevel="2" x14ac:dyDescent="0.25">
      <c r="A83" s="26"/>
      <c r="B83" s="11" t="str">
        <f>CONCATENATE("          ", "6114", " - ", "STATE UNEMPLOYMENT INSURANCE")</f>
        <v xml:space="preserve">          6114 - STATE UNEMPLOYMENT INSURANCE</v>
      </c>
      <c r="C83" s="11"/>
      <c r="D83" s="6">
        <v>55.38</v>
      </c>
      <c r="E83" s="2"/>
      <c r="F83" s="7">
        <f t="shared" si="15"/>
        <v>1.2530418167069981E-3</v>
      </c>
      <c r="G83" s="2"/>
      <c r="H83" s="6">
        <v>33.5910832</v>
      </c>
      <c r="I83" s="2"/>
      <c r="J83" s="7">
        <f t="shared" si="16"/>
        <v>6.3927003387508085E-4</v>
      </c>
      <c r="K83" s="2"/>
      <c r="L83" s="6">
        <f t="shared" si="17"/>
        <v>21.788916800000003</v>
      </c>
      <c r="M83" s="2"/>
      <c r="N83" s="7">
        <f t="shared" si="18"/>
        <v>0.64865180650083953</v>
      </c>
      <c r="O83" s="11"/>
      <c r="P83" s="6">
        <v>249.4</v>
      </c>
      <c r="Q83" s="2"/>
      <c r="R83" s="7">
        <f t="shared" si="19"/>
        <v>4.8335458782092553E-4</v>
      </c>
      <c r="S83" s="2"/>
      <c r="T83" s="6">
        <v>232.40349079999999</v>
      </c>
      <c r="U83" s="2"/>
      <c r="V83" s="7">
        <f t="shared" si="20"/>
        <v>4.1176870215076816E-4</v>
      </c>
      <c r="W83" s="2"/>
      <c r="X83" s="6">
        <f t="shared" si="21"/>
        <v>16.99650920000002</v>
      </c>
      <c r="Y83" s="2"/>
      <c r="Z83" s="7">
        <f t="shared" si="22"/>
        <v>7.3133622655551012E-2</v>
      </c>
    </row>
    <row r="84" spans="1:26" s="24" customFormat="1" hidden="1" outlineLevel="2" x14ac:dyDescent="0.25">
      <c r="A84" s="26"/>
      <c r="B84" s="11" t="str">
        <f>CONCATENATE("          ", "6115", " - ", "P.E.R.S.")</f>
        <v xml:space="preserve">          6115 - P.E.R.S.</v>
      </c>
      <c r="C84" s="11"/>
      <c r="D84" s="6">
        <v>438.35</v>
      </c>
      <c r="E84" s="2"/>
      <c r="F84" s="7">
        <f t="shared" si="15"/>
        <v>9.9182174133895379E-3</v>
      </c>
      <c r="G84" s="2"/>
      <c r="H84" s="6">
        <v>451.12567507692296</v>
      </c>
      <c r="I84" s="2"/>
      <c r="J84" s="7">
        <f t="shared" si="16"/>
        <v>8.5853476016618385E-3</v>
      </c>
      <c r="K84" s="2"/>
      <c r="L84" s="6">
        <f t="shared" si="17"/>
        <v>-12.775675076922937</v>
      </c>
      <c r="M84" s="2"/>
      <c r="N84" s="7">
        <f t="shared" si="18"/>
        <v>-2.8319547706400248E-2</v>
      </c>
      <c r="O84" s="11"/>
      <c r="P84" s="6">
        <v>2270.64</v>
      </c>
      <c r="Q84" s="2"/>
      <c r="R84" s="7">
        <f t="shared" si="19"/>
        <v>4.4006586258608909E-3</v>
      </c>
      <c r="S84" s="2"/>
      <c r="T84" s="6">
        <v>2932.3168879999998</v>
      </c>
      <c r="U84" s="2"/>
      <c r="V84" s="7">
        <f t="shared" si="20"/>
        <v>5.1954310802742008E-3</v>
      </c>
      <c r="W84" s="2"/>
      <c r="X84" s="6">
        <f t="shared" si="21"/>
        <v>-661.67688799999996</v>
      </c>
      <c r="Y84" s="2"/>
      <c r="Z84" s="7">
        <f t="shared" si="22"/>
        <v>-0.22564985752658531</v>
      </c>
    </row>
    <row r="85" spans="1:26" s="24" customFormat="1" hidden="1" outlineLevel="2" x14ac:dyDescent="0.25">
      <c r="A85" s="26"/>
      <c r="B85" s="11" t="str">
        <f>CONCATENATE("          ", "6116", " - ", "EDUCATIONAL BENEFITS")</f>
        <v xml:space="preserve">          6116 - EDUCATIONAL BENEFITS</v>
      </c>
      <c r="C85" s="11"/>
      <c r="D85" s="6"/>
      <c r="E85" s="2"/>
      <c r="F85" s="7">
        <f t="shared" si="15"/>
        <v>0</v>
      </c>
      <c r="G85" s="2"/>
      <c r="H85" s="6">
        <v>0</v>
      </c>
      <c r="I85" s="2"/>
      <c r="J85" s="7">
        <f t="shared" si="16"/>
        <v>0</v>
      </c>
      <c r="K85" s="2"/>
      <c r="L85" s="6">
        <f t="shared" si="17"/>
        <v>0</v>
      </c>
      <c r="M85" s="2"/>
      <c r="N85" s="7">
        <f t="shared" si="18"/>
        <v>0</v>
      </c>
      <c r="O85" s="11"/>
      <c r="P85" s="6"/>
      <c r="Q85" s="2"/>
      <c r="R85" s="7">
        <f t="shared" si="19"/>
        <v>0</v>
      </c>
      <c r="S85" s="2"/>
      <c r="T85" s="6">
        <v>0</v>
      </c>
      <c r="U85" s="2"/>
      <c r="V85" s="7">
        <f t="shared" si="20"/>
        <v>0</v>
      </c>
      <c r="W85" s="2"/>
      <c r="X85" s="6">
        <f t="shared" si="21"/>
        <v>0</v>
      </c>
      <c r="Y85" s="2"/>
      <c r="Z85" s="7">
        <f t="shared" si="22"/>
        <v>0</v>
      </c>
    </row>
    <row r="86" spans="1:26" s="24" customFormat="1" hidden="1" outlineLevel="2" x14ac:dyDescent="0.25">
      <c r="A86" s="26"/>
      <c r="B86" s="11" t="str">
        <f>CONCATENATE("          ", "6118", " - ", "VACATION")</f>
        <v xml:space="preserve">          6118 - VACATION</v>
      </c>
      <c r="C86" s="11"/>
      <c r="D86" s="6">
        <v>208.6</v>
      </c>
      <c r="E86" s="2"/>
      <c r="F86" s="7">
        <f t="shared" si="15"/>
        <v>4.7198360954330042E-3</v>
      </c>
      <c r="G86" s="2"/>
      <c r="H86" s="6">
        <v>202.954369230769</v>
      </c>
      <c r="I86" s="2"/>
      <c r="J86" s="7">
        <f t="shared" si="16"/>
        <v>3.8624132994094507E-3</v>
      </c>
      <c r="K86" s="2"/>
      <c r="L86" s="6">
        <f t="shared" si="17"/>
        <v>5.6456307692309906</v>
      </c>
      <c r="M86" s="2"/>
      <c r="N86" s="7">
        <f t="shared" si="18"/>
        <v>2.7817241829426364E-2</v>
      </c>
      <c r="O86" s="11"/>
      <c r="P86" s="6">
        <v>2247.1799999999998</v>
      </c>
      <c r="Q86" s="2"/>
      <c r="R86" s="7">
        <f t="shared" si="19"/>
        <v>4.3551915102623389E-3</v>
      </c>
      <c r="S86" s="2"/>
      <c r="T86" s="6">
        <v>1319.2034000000001</v>
      </c>
      <c r="U86" s="2"/>
      <c r="V86" s="7">
        <f t="shared" si="20"/>
        <v>2.3373429978224779E-3</v>
      </c>
      <c r="W86" s="2"/>
      <c r="X86" s="6">
        <f t="shared" si="21"/>
        <v>927.97659999999973</v>
      </c>
      <c r="Y86" s="2"/>
      <c r="Z86" s="7">
        <f t="shared" si="22"/>
        <v>0.7034370893828803</v>
      </c>
    </row>
    <row r="87" spans="1:26" s="24" customFormat="1" hidden="1" outlineLevel="2" x14ac:dyDescent="0.25">
      <c r="A87" s="26"/>
      <c r="B87" s="11" t="str">
        <f>CONCATENATE("          ", "6119", " - ", "SICK LEAVE")</f>
        <v xml:space="preserve">          6119 - SICK LEAVE</v>
      </c>
      <c r="C87" s="11"/>
      <c r="D87" s="6">
        <v>256.25</v>
      </c>
      <c r="E87" s="2"/>
      <c r="F87" s="7">
        <f t="shared" si="15"/>
        <v>5.7979769868394407E-3</v>
      </c>
      <c r="G87" s="2"/>
      <c r="H87" s="6">
        <v>285.32542153846202</v>
      </c>
      <c r="I87" s="2"/>
      <c r="J87" s="7">
        <f t="shared" si="16"/>
        <v>5.4300122090827473E-3</v>
      </c>
      <c r="K87" s="2"/>
      <c r="L87" s="6">
        <f t="shared" si="17"/>
        <v>-29.075421538462024</v>
      </c>
      <c r="M87" s="2"/>
      <c r="N87" s="7">
        <f t="shared" si="18"/>
        <v>-0.10190266742335345</v>
      </c>
      <c r="O87" s="11"/>
      <c r="P87" s="6">
        <v>1481.52</v>
      </c>
      <c r="Q87" s="2"/>
      <c r="R87" s="7">
        <f t="shared" si="19"/>
        <v>2.8712890495126609E-3</v>
      </c>
      <c r="S87" s="2"/>
      <c r="T87" s="6">
        <v>1933.3877400000019</v>
      </c>
      <c r="U87" s="2"/>
      <c r="V87" s="7">
        <f t="shared" si="20"/>
        <v>3.4255447614559135E-3</v>
      </c>
      <c r="W87" s="2"/>
      <c r="X87" s="6">
        <f t="shared" si="21"/>
        <v>-451.86774000000196</v>
      </c>
      <c r="Y87" s="2"/>
      <c r="Z87" s="7">
        <f t="shared" si="22"/>
        <v>-0.23371811595329631</v>
      </c>
    </row>
    <row r="88" spans="1:26" s="24" customFormat="1" hidden="1" outlineLevel="2" x14ac:dyDescent="0.25">
      <c r="A88" s="26"/>
      <c r="B88" s="11" t="str">
        <f>CONCATENATE("          ", "6156", " - ", "EMPLOYEE MEALS")</f>
        <v xml:space="preserve">          6156 - EMPLOYEE MEALS</v>
      </c>
      <c r="C88" s="11"/>
      <c r="D88" s="6">
        <v>168.06</v>
      </c>
      <c r="E88" s="2"/>
      <c r="F88" s="7">
        <f t="shared" si="15"/>
        <v>3.8025678533004353E-3</v>
      </c>
      <c r="G88" s="2"/>
      <c r="H88" s="6"/>
      <c r="I88" s="2"/>
      <c r="J88" s="7">
        <f t="shared" si="16"/>
        <v>0</v>
      </c>
      <c r="K88" s="2"/>
      <c r="L88" s="6">
        <f t="shared" si="17"/>
        <v>168.06</v>
      </c>
      <c r="M88" s="2"/>
      <c r="N88" s="7">
        <f t="shared" si="18"/>
        <v>0</v>
      </c>
      <c r="O88" s="11"/>
      <c r="P88" s="6">
        <v>952.06</v>
      </c>
      <c r="Q88" s="2"/>
      <c r="R88" s="7">
        <f t="shared" si="19"/>
        <v>1.8451586562982772E-3</v>
      </c>
      <c r="S88" s="2"/>
      <c r="T88" s="6"/>
      <c r="U88" s="2"/>
      <c r="V88" s="7">
        <f t="shared" si="20"/>
        <v>0</v>
      </c>
      <c r="W88" s="2"/>
      <c r="X88" s="6">
        <f t="shared" si="21"/>
        <v>952.06</v>
      </c>
      <c r="Y88" s="2"/>
      <c r="Z88" s="7">
        <f t="shared" si="22"/>
        <v>0</v>
      </c>
    </row>
    <row r="89" spans="1:26" s="25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12863.720000000001</v>
      </c>
      <c r="E89" s="1"/>
      <c r="F89" s="5">
        <f t="shared" ref="F89:F99" si="23">IF(D$12=0,0,D89/D$12)</f>
        <v>0.29105776595179028</v>
      </c>
      <c r="G89" s="1"/>
      <c r="H89" s="1">
        <f>SUM(OSRRefH22_1x_0)</f>
        <v>12615.98759384615</v>
      </c>
      <c r="I89" s="1"/>
      <c r="J89" s="5">
        <f t="shared" ref="J89:J99" si="24">IF(H$12=0,0,H89/H$12)</f>
        <v>0.24009415738298157</v>
      </c>
      <c r="K89" s="1"/>
      <c r="L89" s="1">
        <f t="shared" ref="L89:L99" si="25">+D89-H89</f>
        <v>247.73240615385112</v>
      </c>
      <c r="M89" s="1"/>
      <c r="N89" s="5">
        <f t="shared" ref="N89:N99" si="26">IF(H89=0,0,L89/H89)</f>
        <v>1.9636386316255614E-2</v>
      </c>
      <c r="O89" s="13"/>
      <c r="P89" s="1">
        <f>SUM(OSRRefP22_1x_0)</f>
        <v>89547.99</v>
      </c>
      <c r="Q89" s="1"/>
      <c r="R89" s="5">
        <f t="shared" ref="R89:R99" si="27">IF(P$12=0,0,P89/P$12)</f>
        <v>0.17355024778124445</v>
      </c>
      <c r="S89" s="1"/>
      <c r="T89" s="1">
        <f>SUM(OSRRefT22_1x_0)</f>
        <v>87375.134359999967</v>
      </c>
      <c r="U89" s="1"/>
      <c r="V89" s="5">
        <f t="shared" ref="V89:V99" si="28">IF(T$12=0,0,T89/T$12)</f>
        <v>0.15480983332831322</v>
      </c>
      <c r="W89" s="1"/>
      <c r="X89" s="1">
        <f t="shared" ref="X89:X99" si="29">+P89-T89</f>
        <v>2172.855640000038</v>
      </c>
      <c r="Y89" s="1"/>
      <c r="Z89" s="5">
        <f t="shared" ref="Z89:Z99" si="30">IF(T89=0,0,X89/T89)</f>
        <v>2.4868123590488733E-2</v>
      </c>
    </row>
    <row r="90" spans="1:26" s="24" customFormat="1" hidden="1" outlineLevel="2" x14ac:dyDescent="0.25">
      <c r="A90" s="26"/>
      <c r="B90" s="11" t="str">
        <f>CONCATENATE("          ", "6001", " - ", "ADMINISTRATIVE SALARIES")</f>
        <v xml:space="preserve">          6001 - ADMINISTRATIVE SALARIES</v>
      </c>
      <c r="C90" s="11"/>
      <c r="D90" s="6"/>
      <c r="E90" s="2"/>
      <c r="F90" s="7">
        <f t="shared" si="23"/>
        <v>0</v>
      </c>
      <c r="G90" s="2"/>
      <c r="H90" s="6">
        <v>5063.3075938461498</v>
      </c>
      <c r="I90" s="2"/>
      <c r="J90" s="7">
        <f t="shared" si="24"/>
        <v>9.63595248705163E-2</v>
      </c>
      <c r="K90" s="2"/>
      <c r="L90" s="6">
        <f t="shared" si="25"/>
        <v>-5063.3075938461498</v>
      </c>
      <c r="M90" s="2"/>
      <c r="N90" s="7">
        <f t="shared" si="26"/>
        <v>-1</v>
      </c>
      <c r="O90" s="11"/>
      <c r="P90" s="6"/>
      <c r="Q90" s="2"/>
      <c r="R90" s="7">
        <f t="shared" si="27"/>
        <v>0</v>
      </c>
      <c r="S90" s="2"/>
      <c r="T90" s="6">
        <v>32911.49935999998</v>
      </c>
      <c r="U90" s="2"/>
      <c r="V90" s="7">
        <f t="shared" si="28"/>
        <v>5.8312056030885698E-2</v>
      </c>
      <c r="W90" s="2"/>
      <c r="X90" s="6">
        <f t="shared" si="29"/>
        <v>-32911.49935999998</v>
      </c>
      <c r="Y90" s="2"/>
      <c r="Z90" s="7">
        <f t="shared" si="30"/>
        <v>-1</v>
      </c>
    </row>
    <row r="91" spans="1:26" s="24" customFormat="1" hidden="1" outlineLevel="2" x14ac:dyDescent="0.25">
      <c r="A91" s="26"/>
      <c r="B91" s="11" t="str">
        <f>CONCATENATE("          ", "6002", " - ", "STAFF SALARIES")</f>
        <v xml:space="preserve">          6002 - STAFF SALARIES</v>
      </c>
      <c r="C91" s="11"/>
      <c r="D91" s="6">
        <v>5124.97</v>
      </c>
      <c r="E91" s="2"/>
      <c r="F91" s="7">
        <f t="shared" si="23"/>
        <v>0.11595886094923914</v>
      </c>
      <c r="G91" s="2"/>
      <c r="H91" s="6">
        <v>0</v>
      </c>
      <c r="I91" s="2"/>
      <c r="J91" s="7">
        <f t="shared" si="24"/>
        <v>0</v>
      </c>
      <c r="K91" s="2"/>
      <c r="L91" s="6">
        <f t="shared" si="25"/>
        <v>5124.97</v>
      </c>
      <c r="M91" s="2"/>
      <c r="N91" s="7">
        <f t="shared" si="26"/>
        <v>0</v>
      </c>
      <c r="O91" s="11"/>
      <c r="P91" s="6">
        <v>30061.73</v>
      </c>
      <c r="Q91" s="2"/>
      <c r="R91" s="7">
        <f t="shared" si="27"/>
        <v>5.8261728601980561E-2</v>
      </c>
      <c r="S91" s="2"/>
      <c r="T91" s="6">
        <v>0</v>
      </c>
      <c r="U91" s="2"/>
      <c r="V91" s="7">
        <f t="shared" si="28"/>
        <v>0</v>
      </c>
      <c r="W91" s="2"/>
      <c r="X91" s="6">
        <f t="shared" si="29"/>
        <v>30061.73</v>
      </c>
      <c r="Y91" s="2"/>
      <c r="Z91" s="7">
        <f t="shared" si="30"/>
        <v>0</v>
      </c>
    </row>
    <row r="92" spans="1:26" s="24" customFormat="1" hidden="1" outlineLevel="2" x14ac:dyDescent="0.25">
      <c r="A92" s="26"/>
      <c r="B92" s="11" t="str">
        <f>CONCATENATE("          ", "6003", " - ", "STAFF HOURLY-9 MONTH")</f>
        <v xml:space="preserve">          6003 - STAFF HOURLY-9 MONTH</v>
      </c>
      <c r="C92" s="11"/>
      <c r="D92" s="6"/>
      <c r="E92" s="2"/>
      <c r="F92" s="7">
        <f t="shared" si="23"/>
        <v>0</v>
      </c>
      <c r="G92" s="2"/>
      <c r="H92" s="6">
        <v>0</v>
      </c>
      <c r="I92" s="2"/>
      <c r="J92" s="7">
        <f t="shared" si="24"/>
        <v>0</v>
      </c>
      <c r="K92" s="2"/>
      <c r="L92" s="6">
        <f t="shared" si="25"/>
        <v>0</v>
      </c>
      <c r="M92" s="2"/>
      <c r="N92" s="7">
        <f t="shared" si="26"/>
        <v>0</v>
      </c>
      <c r="O92" s="11"/>
      <c r="P92" s="6"/>
      <c r="Q92" s="2"/>
      <c r="R92" s="7">
        <f t="shared" si="27"/>
        <v>0</v>
      </c>
      <c r="S92" s="2"/>
      <c r="T92" s="6">
        <v>0</v>
      </c>
      <c r="U92" s="2"/>
      <c r="V92" s="7">
        <f t="shared" si="28"/>
        <v>0</v>
      </c>
      <c r="W92" s="2"/>
      <c r="X92" s="6">
        <f t="shared" si="29"/>
        <v>0</v>
      </c>
      <c r="Y92" s="2"/>
      <c r="Z92" s="7">
        <f t="shared" si="30"/>
        <v>0</v>
      </c>
    </row>
    <row r="93" spans="1:26" s="24" customFormat="1" hidden="1" outlineLevel="2" x14ac:dyDescent="0.25">
      <c r="A93" s="26"/>
      <c r="B93" s="11" t="str">
        <f>CONCATENATE("          ", "6004", " - ", "STAFF HOURLY")</f>
        <v xml:space="preserve">          6004 - STAFF HOURLY</v>
      </c>
      <c r="C93" s="11"/>
      <c r="D93" s="6"/>
      <c r="E93" s="2"/>
      <c r="F93" s="7">
        <f t="shared" si="23"/>
        <v>0</v>
      </c>
      <c r="G93" s="2"/>
      <c r="H93" s="6">
        <v>0</v>
      </c>
      <c r="I93" s="2"/>
      <c r="J93" s="7">
        <f t="shared" si="24"/>
        <v>0</v>
      </c>
      <c r="K93" s="2"/>
      <c r="L93" s="6">
        <f t="shared" si="25"/>
        <v>0</v>
      </c>
      <c r="M93" s="2"/>
      <c r="N93" s="7">
        <f t="shared" si="26"/>
        <v>0</v>
      </c>
      <c r="O93" s="11"/>
      <c r="P93" s="6">
        <v>-48</v>
      </c>
      <c r="Q93" s="2"/>
      <c r="R93" s="7">
        <f t="shared" si="27"/>
        <v>-9.3027346493201388E-5</v>
      </c>
      <c r="S93" s="2"/>
      <c r="T93" s="6">
        <v>0</v>
      </c>
      <c r="U93" s="2"/>
      <c r="V93" s="7">
        <f t="shared" si="28"/>
        <v>0</v>
      </c>
      <c r="W93" s="2"/>
      <c r="X93" s="6">
        <f t="shared" si="29"/>
        <v>-48</v>
      </c>
      <c r="Y93" s="2"/>
      <c r="Z93" s="7">
        <f t="shared" si="30"/>
        <v>0</v>
      </c>
    </row>
    <row r="94" spans="1:26" s="24" customFormat="1" hidden="1" outlineLevel="2" x14ac:dyDescent="0.25">
      <c r="A94" s="26"/>
      <c r="B94" s="11" t="str">
        <f>CONCATENATE("          ", "6005", " - ", "TEMPORARY WAGES-HOURLY")</f>
        <v xml:space="preserve">          6005 - TEMPORARY WAGES-HOURLY</v>
      </c>
      <c r="C94" s="11"/>
      <c r="D94" s="6">
        <v>1094.76</v>
      </c>
      <c r="E94" s="2"/>
      <c r="F94" s="7">
        <f t="shared" si="23"/>
        <v>2.477031526287745E-2</v>
      </c>
      <c r="G94" s="2"/>
      <c r="H94" s="6">
        <v>0</v>
      </c>
      <c r="I94" s="2"/>
      <c r="J94" s="7">
        <f t="shared" si="24"/>
        <v>0</v>
      </c>
      <c r="K94" s="2"/>
      <c r="L94" s="6">
        <f t="shared" si="25"/>
        <v>1094.76</v>
      </c>
      <c r="M94" s="2"/>
      <c r="N94" s="7">
        <f t="shared" si="26"/>
        <v>0</v>
      </c>
      <c r="O94" s="11"/>
      <c r="P94" s="6">
        <v>2776.77</v>
      </c>
      <c r="Q94" s="2"/>
      <c r="R94" s="7">
        <f t="shared" si="27"/>
        <v>5.3815738525401415E-3</v>
      </c>
      <c r="S94" s="2"/>
      <c r="T94" s="6">
        <v>0</v>
      </c>
      <c r="U94" s="2"/>
      <c r="V94" s="7">
        <f t="shared" si="28"/>
        <v>0</v>
      </c>
      <c r="W94" s="2"/>
      <c r="X94" s="6">
        <f t="shared" si="29"/>
        <v>2776.77</v>
      </c>
      <c r="Y94" s="2"/>
      <c r="Z94" s="7">
        <f t="shared" si="30"/>
        <v>0</v>
      </c>
    </row>
    <row r="95" spans="1:26" s="24" customFormat="1" hidden="1" outlineLevel="2" x14ac:dyDescent="0.25">
      <c r="A95" s="26"/>
      <c r="B95" s="11" t="str">
        <f>CONCATENATE("          ", "6006", " - ", "TEMPORARY PART TIME")</f>
        <v xml:space="preserve">          6006 - TEMPORARY PART TIME</v>
      </c>
      <c r="C95" s="11"/>
      <c r="D95" s="6"/>
      <c r="E95" s="2"/>
      <c r="F95" s="7">
        <f t="shared" si="23"/>
        <v>0</v>
      </c>
      <c r="G95" s="2"/>
      <c r="H95" s="6">
        <v>0</v>
      </c>
      <c r="I95" s="2"/>
      <c r="J95" s="7">
        <f t="shared" si="24"/>
        <v>0</v>
      </c>
      <c r="K95" s="2"/>
      <c r="L95" s="6">
        <f t="shared" si="25"/>
        <v>0</v>
      </c>
      <c r="M95" s="2"/>
      <c r="N95" s="7">
        <f t="shared" si="26"/>
        <v>0</v>
      </c>
      <c r="O95" s="11"/>
      <c r="P95" s="6">
        <v>25.5</v>
      </c>
      <c r="Q95" s="2"/>
      <c r="R95" s="7">
        <f t="shared" si="27"/>
        <v>4.9420777824513238E-5</v>
      </c>
      <c r="S95" s="2"/>
      <c r="T95" s="6">
        <v>0</v>
      </c>
      <c r="U95" s="2"/>
      <c r="V95" s="7">
        <f t="shared" si="28"/>
        <v>0</v>
      </c>
      <c r="W95" s="2"/>
      <c r="X95" s="6">
        <f t="shared" si="29"/>
        <v>25.5</v>
      </c>
      <c r="Y95" s="2"/>
      <c r="Z95" s="7">
        <f t="shared" si="30"/>
        <v>0</v>
      </c>
    </row>
    <row r="96" spans="1:26" s="24" customFormat="1" hidden="1" outlineLevel="2" x14ac:dyDescent="0.25">
      <c r="A96" s="26"/>
      <c r="B96" s="11" t="str">
        <f>CONCATENATE("          ", "6007", " - ", "STUDENT HOURLY")</f>
        <v xml:space="preserve">          6007 - STUDENT HOURLY</v>
      </c>
      <c r="C96" s="11"/>
      <c r="D96" s="6">
        <v>6643.99</v>
      </c>
      <c r="E96" s="2"/>
      <c r="F96" s="7">
        <f t="shared" si="23"/>
        <v>0.15032858973967367</v>
      </c>
      <c r="G96" s="2"/>
      <c r="H96" s="6">
        <v>3922.68</v>
      </c>
      <c r="I96" s="2"/>
      <c r="J96" s="7">
        <f t="shared" si="24"/>
        <v>7.4652304647356602E-2</v>
      </c>
      <c r="K96" s="2"/>
      <c r="L96" s="6">
        <f t="shared" si="25"/>
        <v>2721.31</v>
      </c>
      <c r="M96" s="2"/>
      <c r="N96" s="7">
        <f t="shared" si="26"/>
        <v>0.69373744480814137</v>
      </c>
      <c r="O96" s="11"/>
      <c r="P96" s="6">
        <v>56731.990000000005</v>
      </c>
      <c r="Q96" s="2"/>
      <c r="R96" s="7">
        <f t="shared" si="27"/>
        <v>0.10995055189539243</v>
      </c>
      <c r="S96" s="2"/>
      <c r="T96" s="6">
        <v>34768.049999999996</v>
      </c>
      <c r="U96" s="2"/>
      <c r="V96" s="7">
        <f t="shared" si="28"/>
        <v>6.1601462075857136E-2</v>
      </c>
      <c r="W96" s="2"/>
      <c r="X96" s="6">
        <f t="shared" si="29"/>
        <v>21963.94000000001</v>
      </c>
      <c r="Y96" s="2"/>
      <c r="Z96" s="7">
        <f t="shared" si="30"/>
        <v>0.63172769252230176</v>
      </c>
    </row>
    <row r="97" spans="1:26" s="24" customFormat="1" hidden="1" outlineLevel="2" x14ac:dyDescent="0.25">
      <c r="A97" s="26"/>
      <c r="B97" s="11" t="str">
        <f>CONCATENATE("          ", "6008", " - ", "STUDENT HOURLY-FICA EXEMPT")</f>
        <v xml:space="preserve">          6008 - STUDENT HOURLY-FICA EXEMPT</v>
      </c>
      <c r="C97" s="11"/>
      <c r="D97" s="6"/>
      <c r="E97" s="2"/>
      <c r="F97" s="7">
        <f t="shared" si="23"/>
        <v>0</v>
      </c>
      <c r="G97" s="2"/>
      <c r="H97" s="6">
        <v>3630</v>
      </c>
      <c r="I97" s="2"/>
      <c r="J97" s="7">
        <f t="shared" si="24"/>
        <v>6.9082327865108664E-2</v>
      </c>
      <c r="K97" s="2"/>
      <c r="L97" s="6">
        <f t="shared" si="25"/>
        <v>-3630</v>
      </c>
      <c r="M97" s="2"/>
      <c r="N97" s="7">
        <f t="shared" si="26"/>
        <v>-1</v>
      </c>
      <c r="O97" s="11"/>
      <c r="P97" s="6"/>
      <c r="Q97" s="2"/>
      <c r="R97" s="7">
        <f t="shared" si="27"/>
        <v>0</v>
      </c>
      <c r="S97" s="2"/>
      <c r="T97" s="6">
        <v>19695.584999999999</v>
      </c>
      <c r="U97" s="2"/>
      <c r="V97" s="7">
        <f t="shared" si="28"/>
        <v>3.4896315221570398E-2</v>
      </c>
      <c r="W97" s="2"/>
      <c r="X97" s="6">
        <f t="shared" si="29"/>
        <v>-19695.584999999999</v>
      </c>
      <c r="Y97" s="2"/>
      <c r="Z97" s="7">
        <f t="shared" si="30"/>
        <v>-1</v>
      </c>
    </row>
    <row r="98" spans="1:26" s="24" customFormat="1" hidden="1" outlineLevel="2" x14ac:dyDescent="0.25">
      <c r="A98" s="26"/>
      <c r="B98" s="11" t="str">
        <f>CONCATENATE("          ", "6009", " - ", "TEMPORARY-SEASONAL")</f>
        <v xml:space="preserve">          6009 - TEMPORARY-SEASONAL</v>
      </c>
      <c r="C98" s="11"/>
      <c r="D98" s="6"/>
      <c r="E98" s="2"/>
      <c r="F98" s="7">
        <f t="shared" si="23"/>
        <v>0</v>
      </c>
      <c r="G98" s="2"/>
      <c r="H98" s="6">
        <v>0</v>
      </c>
      <c r="I98" s="2"/>
      <c r="J98" s="7">
        <f t="shared" si="24"/>
        <v>0</v>
      </c>
      <c r="K98" s="2"/>
      <c r="L98" s="6">
        <f t="shared" si="25"/>
        <v>0</v>
      </c>
      <c r="M98" s="2"/>
      <c r="N98" s="7">
        <f t="shared" si="26"/>
        <v>0</v>
      </c>
      <c r="O98" s="11"/>
      <c r="P98" s="6"/>
      <c r="Q98" s="2"/>
      <c r="R98" s="7">
        <f t="shared" si="27"/>
        <v>0</v>
      </c>
      <c r="S98" s="2"/>
      <c r="T98" s="6">
        <v>0</v>
      </c>
      <c r="U98" s="2"/>
      <c r="V98" s="7">
        <f t="shared" si="28"/>
        <v>0</v>
      </c>
      <c r="W98" s="2"/>
      <c r="X98" s="6">
        <f t="shared" si="29"/>
        <v>0</v>
      </c>
      <c r="Y98" s="2"/>
      <c r="Z98" s="7">
        <f t="shared" si="30"/>
        <v>0</v>
      </c>
    </row>
    <row r="99" spans="1:26" s="24" customFormat="1" hidden="1" outlineLevel="2" x14ac:dyDescent="0.25">
      <c r="A99" s="26"/>
      <c r="B99" s="11" t="str">
        <f>CONCATENATE("          ", "6010", " - ", "GRATUITY")</f>
        <v xml:space="preserve">          6010 - GRATUITY</v>
      </c>
      <c r="C99" s="11"/>
      <c r="D99" s="6"/>
      <c r="E99" s="2"/>
      <c r="F99" s="7">
        <f t="shared" si="23"/>
        <v>0</v>
      </c>
      <c r="G99" s="2"/>
      <c r="H99" s="6">
        <v>0</v>
      </c>
      <c r="I99" s="2"/>
      <c r="J99" s="7">
        <f t="shared" si="24"/>
        <v>0</v>
      </c>
      <c r="K99" s="2"/>
      <c r="L99" s="6">
        <f t="shared" si="25"/>
        <v>0</v>
      </c>
      <c r="M99" s="2"/>
      <c r="N99" s="7">
        <f t="shared" si="26"/>
        <v>0</v>
      </c>
      <c r="O99" s="11"/>
      <c r="P99" s="6"/>
      <c r="Q99" s="2"/>
      <c r="R99" s="7">
        <f t="shared" si="27"/>
        <v>0</v>
      </c>
      <c r="S99" s="2"/>
      <c r="T99" s="6">
        <v>0</v>
      </c>
      <c r="U99" s="2"/>
      <c r="V99" s="7">
        <f t="shared" si="28"/>
        <v>0</v>
      </c>
      <c r="W99" s="2"/>
      <c r="X99" s="6">
        <f t="shared" si="29"/>
        <v>0</v>
      </c>
      <c r="Y99" s="2"/>
      <c r="Z99" s="7">
        <f t="shared" si="30"/>
        <v>0</v>
      </c>
    </row>
    <row r="100" spans="1:26" s="25" customFormat="1" outlineLevel="1" collapsed="1" x14ac:dyDescent="0.25">
      <c r="A100" s="27"/>
      <c r="B100" s="13" t="str">
        <f>CONCATENATE("     ","Advertising/Promo                                 ")</f>
        <v xml:space="preserve">     Advertising/Promo                                 </v>
      </c>
      <c r="C100" s="13"/>
      <c r="D100" s="1">
        <f>SUM(OSRRefD22_2x_0)</f>
        <v>258.51</v>
      </c>
      <c r="E100" s="1"/>
      <c r="F100" s="5">
        <f t="shared" ref="F100:F106" si="31">IF(D$12=0,0,D100/D$12)</f>
        <v>5.8491123155819079E-3</v>
      </c>
      <c r="G100" s="1"/>
      <c r="H100" s="1">
        <f>SUM(OSRRefH22_2x_0)</f>
        <v>120</v>
      </c>
      <c r="I100" s="1"/>
      <c r="J100" s="5">
        <f t="shared" ref="J100:J106" si="32">IF(H$12=0,0,H100/H$12)</f>
        <v>2.283713317854832E-3</v>
      </c>
      <c r="K100" s="1"/>
      <c r="L100" s="1">
        <f t="shared" ref="L100:L106" si="33">+D100-H100</f>
        <v>138.51</v>
      </c>
      <c r="M100" s="1"/>
      <c r="N100" s="5">
        <f t="shared" ref="N100:N106" si="34">IF(H100=0,0,L100/H100)</f>
        <v>1.15425</v>
      </c>
      <c r="O100" s="13"/>
      <c r="P100" s="1">
        <f>SUM(OSRRefP22_2x_0)</f>
        <v>2103.9899999999998</v>
      </c>
      <c r="Q100" s="1"/>
      <c r="R100" s="5">
        <f t="shared" ref="R100:R106" si="35">IF(P$12=0,0,P100/P$12)</f>
        <v>4.0776793072548074E-3</v>
      </c>
      <c r="S100" s="1"/>
      <c r="T100" s="1">
        <f>SUM(OSRRefT22_2x_0)</f>
        <v>720</v>
      </c>
      <c r="U100" s="1"/>
      <c r="V100" s="5">
        <f t="shared" ref="V100:V106" si="36">IF(T$12=0,0,T100/T$12)</f>
        <v>1.275684218545968E-3</v>
      </c>
      <c r="W100" s="1"/>
      <c r="X100" s="1">
        <f t="shared" ref="X100:X106" si="37">+P100-T100</f>
        <v>1383.9899999999998</v>
      </c>
      <c r="Y100" s="1"/>
      <c r="Z100" s="5">
        <f t="shared" ref="Z100:Z106" si="38">IF(T100=0,0,X100/T100)</f>
        <v>1.9222083333333331</v>
      </c>
    </row>
    <row r="101" spans="1:26" s="24" customFormat="1" hidden="1" outlineLevel="2" x14ac:dyDescent="0.25">
      <c r="A101" s="26"/>
      <c r="B101" s="11" t="str">
        <f>CONCATENATE("          ", "6362", " - ", "ADVERTISING EXPENSE")</f>
        <v xml:space="preserve">          6362 - ADVERTISING EXPENSE</v>
      </c>
      <c r="C101" s="11"/>
      <c r="D101" s="6">
        <v>258.51</v>
      </c>
      <c r="E101" s="2"/>
      <c r="F101" s="7">
        <f t="shared" si="31"/>
        <v>5.8491123155819079E-3</v>
      </c>
      <c r="G101" s="2"/>
      <c r="H101" s="6">
        <v>120</v>
      </c>
      <c r="I101" s="2"/>
      <c r="J101" s="7">
        <f t="shared" si="32"/>
        <v>2.283713317854832E-3</v>
      </c>
      <c r="K101" s="2"/>
      <c r="L101" s="6">
        <f t="shared" si="33"/>
        <v>138.51</v>
      </c>
      <c r="M101" s="2"/>
      <c r="N101" s="7">
        <f t="shared" si="34"/>
        <v>1.15425</v>
      </c>
      <c r="O101" s="11"/>
      <c r="P101" s="6">
        <v>2103.9899999999998</v>
      </c>
      <c r="Q101" s="2"/>
      <c r="R101" s="7">
        <f t="shared" si="35"/>
        <v>4.0776793072548074E-3</v>
      </c>
      <c r="S101" s="2"/>
      <c r="T101" s="6">
        <v>720</v>
      </c>
      <c r="U101" s="2"/>
      <c r="V101" s="7">
        <f t="shared" si="36"/>
        <v>1.275684218545968E-3</v>
      </c>
      <c r="W101" s="2"/>
      <c r="X101" s="6">
        <f t="shared" si="37"/>
        <v>1383.9899999999998</v>
      </c>
      <c r="Y101" s="2"/>
      <c r="Z101" s="7">
        <f t="shared" si="38"/>
        <v>1.9222083333333331</v>
      </c>
    </row>
    <row r="102" spans="1:26" s="25" customFormat="1" outlineLevel="1" collapsed="1" x14ac:dyDescent="0.25">
      <c r="A102" s="27"/>
      <c r="B102" s="13" t="str">
        <f>CONCATENATE("     ","Bad Debts/Over/Short                              ")</f>
        <v xml:space="preserve">     Bad Debts/Over/Short                              </v>
      </c>
      <c r="C102" s="13"/>
      <c r="D102" s="1">
        <f>SUM(OSRRefD22_3x_0)</f>
        <v>0.23</v>
      </c>
      <c r="E102" s="1"/>
      <c r="F102" s="5">
        <f t="shared" si="31"/>
        <v>5.2040378808705227E-6</v>
      </c>
      <c r="G102" s="1"/>
      <c r="H102" s="1">
        <f>SUM(OSRRefH22_3x_0)</f>
        <v>0</v>
      </c>
      <c r="I102" s="1"/>
      <c r="J102" s="5">
        <f t="shared" si="32"/>
        <v>0</v>
      </c>
      <c r="K102" s="1"/>
      <c r="L102" s="1">
        <f t="shared" si="33"/>
        <v>0.23</v>
      </c>
      <c r="M102" s="1"/>
      <c r="N102" s="5">
        <f t="shared" si="34"/>
        <v>0</v>
      </c>
      <c r="O102" s="13"/>
      <c r="P102" s="1">
        <f>SUM(OSRRefP22_3x_0)</f>
        <v>-46.98</v>
      </c>
      <c r="Q102" s="1"/>
      <c r="R102" s="5">
        <f t="shared" si="35"/>
        <v>-9.1050515380220845E-5</v>
      </c>
      <c r="S102" s="1"/>
      <c r="T102" s="1">
        <f>SUM(OSRRefT22_3x_0)</f>
        <v>0</v>
      </c>
      <c r="U102" s="1"/>
      <c r="V102" s="5">
        <f t="shared" si="36"/>
        <v>0</v>
      </c>
      <c r="W102" s="1"/>
      <c r="X102" s="1">
        <f t="shared" si="37"/>
        <v>-46.98</v>
      </c>
      <c r="Y102" s="1"/>
      <c r="Z102" s="5">
        <f t="shared" si="38"/>
        <v>0</v>
      </c>
    </row>
    <row r="103" spans="1:26" s="24" customFormat="1" hidden="1" outlineLevel="2" x14ac:dyDescent="0.25">
      <c r="A103" s="26"/>
      <c r="B103" s="11" t="str">
        <f>CONCATENATE("          ", "6272", " - ", "CASH (OVER/SHORT)")</f>
        <v xml:space="preserve">          6272 - CASH (OVER/SHORT)</v>
      </c>
      <c r="C103" s="11"/>
      <c r="D103" s="6">
        <v>0.23</v>
      </c>
      <c r="E103" s="2"/>
      <c r="F103" s="7">
        <f t="shared" si="31"/>
        <v>5.2040378808705227E-6</v>
      </c>
      <c r="G103" s="2"/>
      <c r="H103" s="6"/>
      <c r="I103" s="2"/>
      <c r="J103" s="7">
        <f t="shared" si="32"/>
        <v>0</v>
      </c>
      <c r="K103" s="2"/>
      <c r="L103" s="6">
        <f t="shared" si="33"/>
        <v>0.23</v>
      </c>
      <c r="M103" s="2"/>
      <c r="N103" s="7">
        <f t="shared" si="34"/>
        <v>0</v>
      </c>
      <c r="O103" s="11"/>
      <c r="P103" s="6">
        <v>-46.98</v>
      </c>
      <c r="Q103" s="2"/>
      <c r="R103" s="7">
        <f t="shared" si="35"/>
        <v>-9.1050515380220845E-5</v>
      </c>
      <c r="S103" s="2"/>
      <c r="T103" s="6"/>
      <c r="U103" s="2"/>
      <c r="V103" s="7">
        <f t="shared" si="36"/>
        <v>0</v>
      </c>
      <c r="W103" s="2"/>
      <c r="X103" s="6">
        <f t="shared" si="37"/>
        <v>-46.98</v>
      </c>
      <c r="Y103" s="2"/>
      <c r="Z103" s="7">
        <f t="shared" si="38"/>
        <v>0</v>
      </c>
    </row>
    <row r="104" spans="1:26" s="25" customFormat="1" outlineLevel="1" collapsed="1" x14ac:dyDescent="0.25">
      <c r="A104" s="27"/>
      <c r="B104" s="13" t="str">
        <f>CONCATENATE("     ","Discounts and Markdowns                           ")</f>
        <v xml:space="preserve">     Discounts and Markdowns                           </v>
      </c>
      <c r="C104" s="13"/>
      <c r="D104" s="1">
        <f>SUM(OSRRefD22_4x_0)</f>
        <v>1149.53</v>
      </c>
      <c r="E104" s="1"/>
      <c r="F104" s="5">
        <f t="shared" si="31"/>
        <v>2.6009555066074313E-2</v>
      </c>
      <c r="G104" s="1"/>
      <c r="H104" s="1">
        <f>SUM(OSRRefH22_4x_0)</f>
        <v>2500</v>
      </c>
      <c r="I104" s="1"/>
      <c r="J104" s="5">
        <f t="shared" si="32"/>
        <v>4.7577360788642331E-2</v>
      </c>
      <c r="K104" s="1"/>
      <c r="L104" s="1">
        <f t="shared" si="33"/>
        <v>-1350.47</v>
      </c>
      <c r="M104" s="1"/>
      <c r="N104" s="5">
        <f t="shared" si="34"/>
        <v>-0.540188</v>
      </c>
      <c r="O104" s="13"/>
      <c r="P104" s="1">
        <f>SUM(OSRRefP22_4x_0)</f>
        <v>11374.71</v>
      </c>
      <c r="Q104" s="1"/>
      <c r="R104" s="5">
        <f t="shared" si="35"/>
        <v>2.2044981008951723E-2</v>
      </c>
      <c r="S104" s="1"/>
      <c r="T104" s="1">
        <f>SUM(OSRRefT22_4x_0)</f>
        <v>15000</v>
      </c>
      <c r="U104" s="1"/>
      <c r="V104" s="5">
        <f t="shared" si="36"/>
        <v>2.6576754553040999E-2</v>
      </c>
      <c r="W104" s="1"/>
      <c r="X104" s="1">
        <f t="shared" si="37"/>
        <v>-3625.2900000000009</v>
      </c>
      <c r="Y104" s="1"/>
      <c r="Z104" s="5">
        <f t="shared" si="38"/>
        <v>-0.24168600000000007</v>
      </c>
    </row>
    <row r="105" spans="1:26" s="24" customFormat="1" hidden="1" outlineLevel="2" x14ac:dyDescent="0.25">
      <c r="A105" s="26"/>
      <c r="B105" s="11" t="str">
        <f>CONCATENATE("          ", "6382", " - ", "DISCOUNTS/MARK DOWNS")</f>
        <v xml:space="preserve">          6382 - DISCOUNTS/MARK DOWNS</v>
      </c>
      <c r="C105" s="11"/>
      <c r="D105" s="6">
        <v>1149.53</v>
      </c>
      <c r="E105" s="2"/>
      <c r="F105" s="7">
        <f t="shared" si="31"/>
        <v>2.6009555066074313E-2</v>
      </c>
      <c r="G105" s="2"/>
      <c r="H105" s="6">
        <v>2500</v>
      </c>
      <c r="I105" s="2"/>
      <c r="J105" s="7">
        <f t="shared" si="32"/>
        <v>4.7577360788642331E-2</v>
      </c>
      <c r="K105" s="2"/>
      <c r="L105" s="6">
        <f t="shared" si="33"/>
        <v>-1350.47</v>
      </c>
      <c r="M105" s="2"/>
      <c r="N105" s="7">
        <f t="shared" si="34"/>
        <v>-0.540188</v>
      </c>
      <c r="O105" s="11"/>
      <c r="P105" s="6">
        <v>11374.71</v>
      </c>
      <c r="Q105" s="2"/>
      <c r="R105" s="7">
        <f t="shared" si="35"/>
        <v>2.2044981008951723E-2</v>
      </c>
      <c r="S105" s="2"/>
      <c r="T105" s="6">
        <v>15000</v>
      </c>
      <c r="U105" s="2"/>
      <c r="V105" s="7">
        <f t="shared" si="36"/>
        <v>2.6576754553040999E-2</v>
      </c>
      <c r="W105" s="2"/>
      <c r="X105" s="6">
        <f t="shared" si="37"/>
        <v>-3625.2900000000009</v>
      </c>
      <c r="Y105" s="2"/>
      <c r="Z105" s="7">
        <f t="shared" si="38"/>
        <v>-0.24168600000000007</v>
      </c>
    </row>
    <row r="106" spans="1:26" s="24" customFormat="1" hidden="1" outlineLevel="2" x14ac:dyDescent="0.25">
      <c r="A106" s="26"/>
      <c r="B106" s="11" t="str">
        <f>CONCATENATE("          ", "9175", " - ", "EARNED DISCOUNTS")</f>
        <v xml:space="preserve">          9175 - EARNED DISCOUNTS</v>
      </c>
      <c r="C106" s="11"/>
      <c r="D106" s="6"/>
      <c r="E106" s="2"/>
      <c r="F106" s="7">
        <f t="shared" si="31"/>
        <v>0</v>
      </c>
      <c r="G106" s="2"/>
      <c r="H106" s="6"/>
      <c r="I106" s="2"/>
      <c r="J106" s="7">
        <f t="shared" si="32"/>
        <v>0</v>
      </c>
      <c r="K106" s="2"/>
      <c r="L106" s="6">
        <f t="shared" si="33"/>
        <v>0</v>
      </c>
      <c r="M106" s="2"/>
      <c r="N106" s="7">
        <f t="shared" si="34"/>
        <v>0</v>
      </c>
      <c r="O106" s="11"/>
      <c r="P106" s="6">
        <v>0</v>
      </c>
      <c r="Q106" s="2"/>
      <c r="R106" s="7">
        <f t="shared" si="35"/>
        <v>0</v>
      </c>
      <c r="S106" s="2"/>
      <c r="T106" s="6"/>
      <c r="U106" s="2"/>
      <c r="V106" s="7">
        <f t="shared" si="36"/>
        <v>0</v>
      </c>
      <c r="W106" s="2"/>
      <c r="X106" s="6">
        <f t="shared" si="37"/>
        <v>0</v>
      </c>
      <c r="Y106" s="2"/>
      <c r="Z106" s="7">
        <f t="shared" si="38"/>
        <v>0</v>
      </c>
    </row>
    <row r="107" spans="1:26" s="25" customFormat="1" outlineLevel="1" collapsed="1" x14ac:dyDescent="0.25">
      <c r="A107" s="27"/>
      <c r="B107" s="13" t="str">
        <f>CONCATENATE("     ","Employees' Appreciation                           ")</f>
        <v xml:space="preserve">     Employees' Appreciation                           </v>
      </c>
      <c r="C107" s="13"/>
      <c r="D107" s="1">
        <f>SUM(OSRRefD22_5x_0)</f>
        <v>0</v>
      </c>
      <c r="E107" s="1"/>
      <c r="F107" s="5">
        <f t="shared" ref="F107:F117" si="39">IF(D$12=0,0,D107/D$12)</f>
        <v>0</v>
      </c>
      <c r="G107" s="1"/>
      <c r="H107" s="1">
        <f>SUM(OSRRefH22_5x_0)</f>
        <v>50</v>
      </c>
      <c r="I107" s="1"/>
      <c r="J107" s="5">
        <f t="shared" ref="J107:J117" si="40">IF(H$12=0,0,H107/H$12)</f>
        <v>9.515472157728466E-4</v>
      </c>
      <c r="K107" s="1"/>
      <c r="L107" s="1">
        <f t="shared" ref="L107:L117" si="41">+D107-H107</f>
        <v>-50</v>
      </c>
      <c r="M107" s="1"/>
      <c r="N107" s="5">
        <f t="shared" ref="N107:N117" si="42">IF(H107=0,0,L107/H107)</f>
        <v>-1</v>
      </c>
      <c r="O107" s="13"/>
      <c r="P107" s="1">
        <f>SUM(OSRRefP22_5x_0)</f>
        <v>0</v>
      </c>
      <c r="Q107" s="1"/>
      <c r="R107" s="5">
        <f t="shared" ref="R107:R117" si="43">IF(P$12=0,0,P107/P$12)</f>
        <v>0</v>
      </c>
      <c r="S107" s="1"/>
      <c r="T107" s="1">
        <f>SUM(OSRRefT22_5x_0)</f>
        <v>300</v>
      </c>
      <c r="U107" s="1"/>
      <c r="V107" s="5">
        <f t="shared" ref="V107:V117" si="44">IF(T$12=0,0,T107/T$12)</f>
        <v>5.3153509106081999E-4</v>
      </c>
      <c r="W107" s="1"/>
      <c r="X107" s="1">
        <f t="shared" ref="X107:X117" si="45">+P107-T107</f>
        <v>-300</v>
      </c>
      <c r="Y107" s="1"/>
      <c r="Z107" s="5">
        <f t="shared" ref="Z107:Z117" si="46">IF(T107=0,0,X107/T107)</f>
        <v>-1</v>
      </c>
    </row>
    <row r="108" spans="1:26" s="24" customFormat="1" hidden="1" outlineLevel="2" x14ac:dyDescent="0.25">
      <c r="A108" s="26"/>
      <c r="B108" s="11" t="str">
        <f>CONCATENATE("          ", "6277", " - ", "EMPLOYEE APPRECIATION")</f>
        <v xml:space="preserve">          6277 - EMPLOYEE APPRECIATION</v>
      </c>
      <c r="C108" s="11"/>
      <c r="D108" s="6"/>
      <c r="E108" s="2"/>
      <c r="F108" s="7">
        <f t="shared" si="39"/>
        <v>0</v>
      </c>
      <c r="G108" s="2"/>
      <c r="H108" s="6">
        <v>50</v>
      </c>
      <c r="I108" s="2"/>
      <c r="J108" s="7">
        <f t="shared" si="40"/>
        <v>9.515472157728466E-4</v>
      </c>
      <c r="K108" s="2"/>
      <c r="L108" s="6">
        <f t="shared" si="41"/>
        <v>-50</v>
      </c>
      <c r="M108" s="2"/>
      <c r="N108" s="7">
        <f t="shared" si="42"/>
        <v>-1</v>
      </c>
      <c r="O108" s="11"/>
      <c r="P108" s="6"/>
      <c r="Q108" s="2"/>
      <c r="R108" s="7">
        <f t="shared" si="43"/>
        <v>0</v>
      </c>
      <c r="S108" s="2"/>
      <c r="T108" s="6">
        <v>300</v>
      </c>
      <c r="U108" s="2"/>
      <c r="V108" s="7">
        <f t="shared" si="44"/>
        <v>5.3153509106081999E-4</v>
      </c>
      <c r="W108" s="2"/>
      <c r="X108" s="6">
        <f t="shared" si="45"/>
        <v>-300</v>
      </c>
      <c r="Y108" s="2"/>
      <c r="Z108" s="7">
        <f t="shared" si="46"/>
        <v>-1</v>
      </c>
    </row>
    <row r="109" spans="1:26" s="25" customFormat="1" outlineLevel="1" collapsed="1" x14ac:dyDescent="0.25">
      <c r="A109" s="27"/>
      <c r="B109" s="13" t="str">
        <f>CONCATENATE("     ","Freight out/Postage                               ")</f>
        <v xml:space="preserve">     Freight out/Postage                               </v>
      </c>
      <c r="C109" s="13"/>
      <c r="D109" s="1">
        <f>SUM(OSRRefD22_6x_0)</f>
        <v>0</v>
      </c>
      <c r="E109" s="1"/>
      <c r="F109" s="5">
        <f t="shared" si="39"/>
        <v>0</v>
      </c>
      <c r="G109" s="1"/>
      <c r="H109" s="1">
        <f>SUM(OSRRefH22_6x_0)</f>
        <v>0</v>
      </c>
      <c r="I109" s="1"/>
      <c r="J109" s="5">
        <f t="shared" si="40"/>
        <v>0</v>
      </c>
      <c r="K109" s="1"/>
      <c r="L109" s="1">
        <f t="shared" si="41"/>
        <v>0</v>
      </c>
      <c r="M109" s="1"/>
      <c r="N109" s="5">
        <f t="shared" si="42"/>
        <v>0</v>
      </c>
      <c r="O109" s="13"/>
      <c r="P109" s="1">
        <f>SUM(OSRRefP22_6x_0)</f>
        <v>15.81</v>
      </c>
      <c r="Q109" s="1"/>
      <c r="R109" s="5">
        <f t="shared" si="43"/>
        <v>3.0640882251198209E-5</v>
      </c>
      <c r="S109" s="1"/>
      <c r="T109" s="1">
        <f>SUM(OSRRefT22_6x_0)</f>
        <v>0</v>
      </c>
      <c r="U109" s="1"/>
      <c r="V109" s="5">
        <f t="shared" si="44"/>
        <v>0</v>
      </c>
      <c r="W109" s="1"/>
      <c r="X109" s="1">
        <f t="shared" si="45"/>
        <v>15.81</v>
      </c>
      <c r="Y109" s="1"/>
      <c r="Z109" s="5">
        <f t="shared" si="46"/>
        <v>0</v>
      </c>
    </row>
    <row r="110" spans="1:26" s="24" customFormat="1" hidden="1" outlineLevel="2" x14ac:dyDescent="0.25">
      <c r="A110" s="26"/>
      <c r="B110" s="11" t="str">
        <f>CONCATENATE("          ", "6305", " - ", "FREIGHT OUT")</f>
        <v xml:space="preserve">          6305 - FREIGHT OUT</v>
      </c>
      <c r="C110" s="11"/>
      <c r="D110" s="6"/>
      <c r="E110" s="2"/>
      <c r="F110" s="7">
        <f t="shared" si="39"/>
        <v>0</v>
      </c>
      <c r="G110" s="2"/>
      <c r="H110" s="6"/>
      <c r="I110" s="2"/>
      <c r="J110" s="7">
        <f t="shared" si="40"/>
        <v>0</v>
      </c>
      <c r="K110" s="2"/>
      <c r="L110" s="6">
        <f t="shared" si="41"/>
        <v>0</v>
      </c>
      <c r="M110" s="2"/>
      <c r="N110" s="7">
        <f t="shared" si="42"/>
        <v>0</v>
      </c>
      <c r="O110" s="11"/>
      <c r="P110" s="6">
        <v>15.81</v>
      </c>
      <c r="Q110" s="2"/>
      <c r="R110" s="7">
        <f t="shared" si="43"/>
        <v>3.0640882251198209E-5</v>
      </c>
      <c r="S110" s="2"/>
      <c r="T110" s="6"/>
      <c r="U110" s="2"/>
      <c r="V110" s="7">
        <f t="shared" si="44"/>
        <v>0</v>
      </c>
      <c r="W110" s="2"/>
      <c r="X110" s="6">
        <f t="shared" si="45"/>
        <v>15.81</v>
      </c>
      <c r="Y110" s="2"/>
      <c r="Z110" s="7">
        <f t="shared" si="46"/>
        <v>0</v>
      </c>
    </row>
    <row r="111" spans="1:26" s="25" customFormat="1" outlineLevel="1" collapsed="1" x14ac:dyDescent="0.25">
      <c r="A111" s="27"/>
      <c r="B111" s="13" t="str">
        <f>CONCATENATE("     ","General                                           ")</f>
        <v xml:space="preserve">     General                                           </v>
      </c>
      <c r="C111" s="13"/>
      <c r="D111" s="1">
        <f>SUM(OSRRefD22_7x_0)</f>
        <v>160</v>
      </c>
      <c r="E111" s="1"/>
      <c r="F111" s="5">
        <f t="shared" si="39"/>
        <v>3.6202002649534069E-3</v>
      </c>
      <c r="G111" s="1"/>
      <c r="H111" s="1">
        <f>SUM(OSRRefH22_7x_0)</f>
        <v>80</v>
      </c>
      <c r="I111" s="1"/>
      <c r="J111" s="5">
        <f t="shared" si="40"/>
        <v>1.5224755452365546E-3</v>
      </c>
      <c r="K111" s="1"/>
      <c r="L111" s="1">
        <f t="shared" si="41"/>
        <v>80</v>
      </c>
      <c r="M111" s="1"/>
      <c r="N111" s="5">
        <f t="shared" si="42"/>
        <v>1</v>
      </c>
      <c r="O111" s="13"/>
      <c r="P111" s="1">
        <f>SUM(OSRRefP22_7x_0)</f>
        <v>954.05</v>
      </c>
      <c r="Q111" s="1"/>
      <c r="R111" s="5">
        <f t="shared" si="43"/>
        <v>1.8490154150383078E-3</v>
      </c>
      <c r="S111" s="1"/>
      <c r="T111" s="1">
        <f>SUM(OSRRefT22_7x_0)</f>
        <v>480</v>
      </c>
      <c r="U111" s="1"/>
      <c r="V111" s="5">
        <f t="shared" si="44"/>
        <v>8.5045614569731205E-4</v>
      </c>
      <c r="W111" s="1"/>
      <c r="X111" s="1">
        <f t="shared" si="45"/>
        <v>474.04999999999995</v>
      </c>
      <c r="Y111" s="1"/>
      <c r="Z111" s="5">
        <f t="shared" si="46"/>
        <v>0.98760416666666662</v>
      </c>
    </row>
    <row r="112" spans="1:26" s="24" customFormat="1" hidden="1" outlineLevel="2" x14ac:dyDescent="0.25">
      <c r="A112" s="26"/>
      <c r="B112" s="11" t="str">
        <f>CONCATENATE("          ", "6279", " - ", "GENERAL EXPENSE")</f>
        <v xml:space="preserve">          6279 - GENERAL EXPENSE</v>
      </c>
      <c r="C112" s="11"/>
      <c r="D112" s="6">
        <v>160</v>
      </c>
      <c r="E112" s="2"/>
      <c r="F112" s="7">
        <f t="shared" si="39"/>
        <v>3.6202002649534069E-3</v>
      </c>
      <c r="G112" s="2"/>
      <c r="H112" s="6">
        <v>80</v>
      </c>
      <c r="I112" s="2"/>
      <c r="J112" s="7">
        <f t="shared" si="40"/>
        <v>1.5224755452365546E-3</v>
      </c>
      <c r="K112" s="2"/>
      <c r="L112" s="6">
        <f t="shared" si="41"/>
        <v>80</v>
      </c>
      <c r="M112" s="2"/>
      <c r="N112" s="7">
        <f t="shared" si="42"/>
        <v>1</v>
      </c>
      <c r="O112" s="11"/>
      <c r="P112" s="6">
        <v>954.05</v>
      </c>
      <c r="Q112" s="2"/>
      <c r="R112" s="7">
        <f t="shared" si="43"/>
        <v>1.8490154150383078E-3</v>
      </c>
      <c r="S112" s="2"/>
      <c r="T112" s="6">
        <v>480</v>
      </c>
      <c r="U112" s="2"/>
      <c r="V112" s="7">
        <f t="shared" si="44"/>
        <v>8.5045614569731205E-4</v>
      </c>
      <c r="W112" s="2"/>
      <c r="X112" s="6">
        <f t="shared" si="45"/>
        <v>474.04999999999995</v>
      </c>
      <c r="Y112" s="2"/>
      <c r="Z112" s="7">
        <f t="shared" si="46"/>
        <v>0.98760416666666662</v>
      </c>
    </row>
    <row r="113" spans="1:26" s="25" customFormat="1" outlineLevel="1" collapsed="1" x14ac:dyDescent="0.25">
      <c r="A113" s="27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SUM(OSRRefD22_8x_0)</f>
        <v>41.15</v>
      </c>
      <c r="E113" s="1"/>
      <c r="F113" s="5">
        <f t="shared" si="39"/>
        <v>9.3107025564270437E-4</v>
      </c>
      <c r="G113" s="1"/>
      <c r="H113" s="1">
        <f>SUM(OSRRefH22_8x_0)</f>
        <v>115</v>
      </c>
      <c r="I113" s="1"/>
      <c r="J113" s="5">
        <f t="shared" si="40"/>
        <v>2.1885585962775475E-3</v>
      </c>
      <c r="K113" s="1"/>
      <c r="L113" s="1">
        <f t="shared" si="41"/>
        <v>-73.849999999999994</v>
      </c>
      <c r="M113" s="1"/>
      <c r="N113" s="5">
        <f t="shared" si="42"/>
        <v>-0.64217391304347826</v>
      </c>
      <c r="O113" s="13"/>
      <c r="P113" s="1">
        <f>SUM(OSRRefP22_8x_0)</f>
        <v>791.15</v>
      </c>
      <c r="Q113" s="1"/>
      <c r="R113" s="5">
        <f t="shared" si="43"/>
        <v>1.5333038578770057E-3</v>
      </c>
      <c r="S113" s="1"/>
      <c r="T113" s="1">
        <f>SUM(OSRRefT22_8x_0)</f>
        <v>690</v>
      </c>
      <c r="U113" s="1"/>
      <c r="V113" s="5">
        <f t="shared" si="44"/>
        <v>1.2225307094398861E-3</v>
      </c>
      <c r="W113" s="1"/>
      <c r="X113" s="1">
        <f t="shared" si="45"/>
        <v>101.14999999999998</v>
      </c>
      <c r="Y113" s="1"/>
      <c r="Z113" s="5">
        <f t="shared" si="46"/>
        <v>0.14659420289855069</v>
      </c>
    </row>
    <row r="114" spans="1:26" s="24" customFormat="1" hidden="1" outlineLevel="2" x14ac:dyDescent="0.25">
      <c r="A114" s="26"/>
      <c r="B114" s="11" t="str">
        <f>CONCATENATE("          ", "6336", " - ", "PROFESSIONAL SERVICES")</f>
        <v xml:space="preserve">          6336 - PROFESSIONAL SERVICES</v>
      </c>
      <c r="C114" s="11"/>
      <c r="D114" s="6">
        <v>41.15</v>
      </c>
      <c r="E114" s="2"/>
      <c r="F114" s="7">
        <f t="shared" si="39"/>
        <v>9.3107025564270437E-4</v>
      </c>
      <c r="G114" s="2"/>
      <c r="H114" s="6">
        <v>115</v>
      </c>
      <c r="I114" s="2"/>
      <c r="J114" s="7">
        <f t="shared" si="40"/>
        <v>2.1885585962775475E-3</v>
      </c>
      <c r="K114" s="2"/>
      <c r="L114" s="6">
        <f t="shared" si="41"/>
        <v>-73.849999999999994</v>
      </c>
      <c r="M114" s="2"/>
      <c r="N114" s="7">
        <f t="shared" si="42"/>
        <v>-0.64217391304347826</v>
      </c>
      <c r="O114" s="11"/>
      <c r="P114" s="6">
        <v>791.15</v>
      </c>
      <c r="Q114" s="2"/>
      <c r="R114" s="7">
        <f t="shared" si="43"/>
        <v>1.5333038578770057E-3</v>
      </c>
      <c r="S114" s="2"/>
      <c r="T114" s="6">
        <v>690</v>
      </c>
      <c r="U114" s="2"/>
      <c r="V114" s="7">
        <f t="shared" si="44"/>
        <v>1.2225307094398861E-3</v>
      </c>
      <c r="W114" s="2"/>
      <c r="X114" s="6">
        <f t="shared" si="45"/>
        <v>101.14999999999998</v>
      </c>
      <c r="Y114" s="2"/>
      <c r="Z114" s="7">
        <f t="shared" si="46"/>
        <v>0.14659420289855069</v>
      </c>
    </row>
    <row r="115" spans="1:26" s="25" customFormat="1" outlineLevel="1" collapsed="1" x14ac:dyDescent="0.25">
      <c r="A115" s="27"/>
      <c r="B115" s="13" t="str">
        <f>CONCATENATE("     ","Repair and Maintenance                            ")</f>
        <v xml:space="preserve">     Repair and Maintenance                            </v>
      </c>
      <c r="C115" s="13"/>
      <c r="D115" s="1">
        <f>SUM(OSRRefD22_9x_0)</f>
        <v>61.11</v>
      </c>
      <c r="E115" s="1"/>
      <c r="F115" s="5">
        <f t="shared" si="39"/>
        <v>1.3826902386956418E-3</v>
      </c>
      <c r="G115" s="1"/>
      <c r="H115" s="1">
        <f>SUM(OSRRefH22_9x_0)</f>
        <v>125</v>
      </c>
      <c r="I115" s="1"/>
      <c r="J115" s="5">
        <f t="shared" si="40"/>
        <v>2.3788680394321166E-3</v>
      </c>
      <c r="K115" s="1"/>
      <c r="L115" s="1">
        <f t="shared" si="41"/>
        <v>-63.89</v>
      </c>
      <c r="M115" s="1"/>
      <c r="N115" s="5">
        <f t="shared" si="42"/>
        <v>-0.51112000000000002</v>
      </c>
      <c r="O115" s="13"/>
      <c r="P115" s="1">
        <f>SUM(OSRRefP22_9x_0)</f>
        <v>129.53</v>
      </c>
      <c r="Q115" s="1"/>
      <c r="R115" s="5">
        <f t="shared" si="43"/>
        <v>2.5103817065134118E-4</v>
      </c>
      <c r="S115" s="1"/>
      <c r="T115" s="1">
        <f>SUM(OSRRefT22_9x_0)</f>
        <v>750</v>
      </c>
      <c r="U115" s="1"/>
      <c r="V115" s="5">
        <f t="shared" si="44"/>
        <v>1.32883772765205E-3</v>
      </c>
      <c r="W115" s="1"/>
      <c r="X115" s="1">
        <f t="shared" si="45"/>
        <v>-620.47</v>
      </c>
      <c r="Y115" s="1"/>
      <c r="Z115" s="5">
        <f t="shared" si="46"/>
        <v>-0.82729333333333333</v>
      </c>
    </row>
    <row r="116" spans="1:26" s="24" customFormat="1" hidden="1" outlineLevel="2" x14ac:dyDescent="0.25">
      <c r="A116" s="26"/>
      <c r="B116" s="11" t="str">
        <f>CONCATENATE("          ", "6373", " - ", "MAINTENANCE CONTRACTS")</f>
        <v xml:space="preserve">          6373 - MAINTENANCE CONTRACTS</v>
      </c>
      <c r="C116" s="11"/>
      <c r="D116" s="6">
        <v>61.11</v>
      </c>
      <c r="E116" s="2"/>
      <c r="F116" s="7">
        <f t="shared" si="39"/>
        <v>1.3826902386956418E-3</v>
      </c>
      <c r="G116" s="2"/>
      <c r="H116" s="6"/>
      <c r="I116" s="2"/>
      <c r="J116" s="7">
        <f t="shared" si="40"/>
        <v>0</v>
      </c>
      <c r="K116" s="2"/>
      <c r="L116" s="6">
        <f t="shared" si="41"/>
        <v>61.11</v>
      </c>
      <c r="M116" s="2"/>
      <c r="N116" s="7">
        <f t="shared" si="42"/>
        <v>0</v>
      </c>
      <c r="O116" s="11"/>
      <c r="P116" s="6">
        <v>119.73</v>
      </c>
      <c r="Q116" s="2"/>
      <c r="R116" s="7">
        <f t="shared" si="43"/>
        <v>2.320450874089792E-4</v>
      </c>
      <c r="S116" s="2"/>
      <c r="T116" s="6"/>
      <c r="U116" s="2"/>
      <c r="V116" s="7">
        <f t="shared" si="44"/>
        <v>0</v>
      </c>
      <c r="W116" s="2"/>
      <c r="X116" s="6">
        <f t="shared" si="45"/>
        <v>119.73</v>
      </c>
      <c r="Y116" s="2"/>
      <c r="Z116" s="7">
        <f t="shared" si="46"/>
        <v>0</v>
      </c>
    </row>
    <row r="117" spans="1:26" s="24" customFormat="1" hidden="1" outlineLevel="2" x14ac:dyDescent="0.25">
      <c r="A117" s="26"/>
      <c r="B117" s="11" t="str">
        <f>CONCATENATE("          ", "6375", " - ", "OUTSIDE REPAIRS &amp; MAINTENANCE")</f>
        <v xml:space="preserve">          6375 - OUTSIDE REPAIRS &amp; MAINTENANCE</v>
      </c>
      <c r="C117" s="11"/>
      <c r="D117" s="6"/>
      <c r="E117" s="2"/>
      <c r="F117" s="7">
        <f t="shared" si="39"/>
        <v>0</v>
      </c>
      <c r="G117" s="2"/>
      <c r="H117" s="6">
        <v>125</v>
      </c>
      <c r="I117" s="2"/>
      <c r="J117" s="7">
        <f t="shared" si="40"/>
        <v>2.3788680394321166E-3</v>
      </c>
      <c r="K117" s="2"/>
      <c r="L117" s="6">
        <f t="shared" si="41"/>
        <v>-125</v>
      </c>
      <c r="M117" s="2"/>
      <c r="N117" s="7">
        <f t="shared" si="42"/>
        <v>-1</v>
      </c>
      <c r="O117" s="11"/>
      <c r="P117" s="6">
        <v>9.8000000000000007</v>
      </c>
      <c r="Q117" s="2"/>
      <c r="R117" s="7">
        <f t="shared" si="43"/>
        <v>1.899308324236195E-5</v>
      </c>
      <c r="S117" s="2"/>
      <c r="T117" s="6">
        <v>750</v>
      </c>
      <c r="U117" s="2"/>
      <c r="V117" s="7">
        <f t="shared" si="44"/>
        <v>1.32883772765205E-3</v>
      </c>
      <c r="W117" s="2"/>
      <c r="X117" s="6">
        <f t="shared" si="45"/>
        <v>-740.2</v>
      </c>
      <c r="Y117" s="2"/>
      <c r="Z117" s="7">
        <f t="shared" si="46"/>
        <v>-0.98693333333333344</v>
      </c>
    </row>
    <row r="118" spans="1:26" s="25" customFormat="1" outlineLevel="1" collapsed="1" x14ac:dyDescent="0.25">
      <c r="A118" s="27"/>
      <c r="B118" s="13" t="str">
        <f>CONCATENATE("     ","Services                                          ")</f>
        <v xml:space="preserve">     Services                                          </v>
      </c>
      <c r="C118" s="13"/>
      <c r="D118" s="1">
        <f>SUM(OSRRefD22_10x_0)</f>
        <v>109.66</v>
      </c>
      <c r="E118" s="1"/>
      <c r="F118" s="5">
        <f t="shared" ref="F118:F120" si="47">IF(D$12=0,0,D118/D$12)</f>
        <v>2.4811947565924414E-3</v>
      </c>
      <c r="G118" s="1"/>
      <c r="H118" s="1">
        <f>SUM(OSRRefH22_10x_0)</f>
        <v>100</v>
      </c>
      <c r="I118" s="1"/>
      <c r="J118" s="5">
        <f t="shared" ref="J118:J120" si="48">IF(H$12=0,0,H118/H$12)</f>
        <v>1.9030944315456932E-3</v>
      </c>
      <c r="K118" s="1"/>
      <c r="L118" s="1">
        <f t="shared" ref="L118:L120" si="49">+D118-H118</f>
        <v>9.6599999999999966</v>
      </c>
      <c r="M118" s="1"/>
      <c r="N118" s="5">
        <f t="shared" ref="N118:N120" si="50">IF(H118=0,0,L118/H118)</f>
        <v>9.6599999999999964E-2</v>
      </c>
      <c r="O118" s="13"/>
      <c r="P118" s="1">
        <f>SUM(OSRRefP22_10x_0)</f>
        <v>1230.69</v>
      </c>
      <c r="Q118" s="1"/>
      <c r="R118" s="5">
        <f t="shared" ref="R118:R120" si="51">IF(P$12=0,0,P118/P$12)</f>
        <v>2.3851630219941253E-3</v>
      </c>
      <c r="S118" s="1"/>
      <c r="T118" s="1">
        <f>SUM(OSRRefT22_10x_0)</f>
        <v>600</v>
      </c>
      <c r="U118" s="1"/>
      <c r="V118" s="5">
        <f t="shared" ref="V118:V120" si="52">IF(T$12=0,0,T118/T$12)</f>
        <v>1.06307018212164E-3</v>
      </c>
      <c r="W118" s="1"/>
      <c r="X118" s="1">
        <f t="shared" ref="X118:X120" si="53">+P118-T118</f>
        <v>630.69000000000005</v>
      </c>
      <c r="Y118" s="1"/>
      <c r="Z118" s="5">
        <f t="shared" ref="Z118:Z120" si="54">IF(T118=0,0,X118/T118)</f>
        <v>1.05115</v>
      </c>
    </row>
    <row r="119" spans="1:26" s="24" customFormat="1" hidden="1" outlineLevel="2" x14ac:dyDescent="0.25">
      <c r="A119" s="26"/>
      <c r="B119" s="11" t="str">
        <f>CONCATENATE("          ", "6282", " - ", "JANITORIAL/EXTERMINATOR EXPENS")</f>
        <v xml:space="preserve">          6282 - JANITORIAL/EXTERMINATOR EXPENS</v>
      </c>
      <c r="C119" s="11"/>
      <c r="D119" s="6">
        <v>44</v>
      </c>
      <c r="E119" s="2"/>
      <c r="F119" s="7">
        <f t="shared" si="47"/>
        <v>9.9555507286218695E-4</v>
      </c>
      <c r="G119" s="2"/>
      <c r="H119" s="6">
        <v>50</v>
      </c>
      <c r="I119" s="2"/>
      <c r="J119" s="7">
        <f t="shared" si="48"/>
        <v>9.515472157728466E-4</v>
      </c>
      <c r="K119" s="2"/>
      <c r="L119" s="6">
        <f t="shared" si="49"/>
        <v>-6</v>
      </c>
      <c r="M119" s="2"/>
      <c r="N119" s="7">
        <f t="shared" si="50"/>
        <v>-0.12</v>
      </c>
      <c r="O119" s="11"/>
      <c r="P119" s="6">
        <v>264</v>
      </c>
      <c r="Q119" s="2"/>
      <c r="R119" s="7">
        <f t="shared" si="51"/>
        <v>5.116504057126076E-4</v>
      </c>
      <c r="S119" s="2"/>
      <c r="T119" s="6">
        <v>300</v>
      </c>
      <c r="U119" s="2"/>
      <c r="V119" s="7">
        <f t="shared" si="52"/>
        <v>5.3153509106081999E-4</v>
      </c>
      <c r="W119" s="2"/>
      <c r="X119" s="6">
        <f t="shared" si="53"/>
        <v>-36</v>
      </c>
      <c r="Y119" s="2"/>
      <c r="Z119" s="7">
        <f t="shared" si="54"/>
        <v>-0.12</v>
      </c>
    </row>
    <row r="120" spans="1:26" s="24" customFormat="1" hidden="1" outlineLevel="2" x14ac:dyDescent="0.25">
      <c r="A120" s="26"/>
      <c r="B120" s="11" t="str">
        <f>CONCATENATE("          ", "6285", " - ", "JANITORIAL SERVICES")</f>
        <v xml:space="preserve">          6285 - JANITORIAL SERVICES</v>
      </c>
      <c r="C120" s="11"/>
      <c r="D120" s="6">
        <v>65.66</v>
      </c>
      <c r="E120" s="2"/>
      <c r="F120" s="7">
        <f t="shared" si="47"/>
        <v>1.4856396837302545E-3</v>
      </c>
      <c r="G120" s="2"/>
      <c r="H120" s="6">
        <v>50</v>
      </c>
      <c r="I120" s="2"/>
      <c r="J120" s="7">
        <f t="shared" si="48"/>
        <v>9.515472157728466E-4</v>
      </c>
      <c r="K120" s="2"/>
      <c r="L120" s="6">
        <f t="shared" si="49"/>
        <v>15.659999999999997</v>
      </c>
      <c r="M120" s="2"/>
      <c r="N120" s="7">
        <f t="shared" si="50"/>
        <v>0.31319999999999992</v>
      </c>
      <c r="O120" s="11"/>
      <c r="P120" s="6">
        <v>966.69</v>
      </c>
      <c r="Q120" s="2"/>
      <c r="R120" s="7">
        <f t="shared" si="51"/>
        <v>1.8735126162815177E-3</v>
      </c>
      <c r="S120" s="2"/>
      <c r="T120" s="6">
        <v>300</v>
      </c>
      <c r="U120" s="2"/>
      <c r="V120" s="7">
        <f t="shared" si="52"/>
        <v>5.3153509106081999E-4</v>
      </c>
      <c r="W120" s="2"/>
      <c r="X120" s="6">
        <f t="shared" si="53"/>
        <v>666.69</v>
      </c>
      <c r="Y120" s="2"/>
      <c r="Z120" s="7">
        <f t="shared" si="54"/>
        <v>2.2223000000000002</v>
      </c>
    </row>
    <row r="121" spans="1:26" s="25" customFormat="1" outlineLevel="1" collapsed="1" x14ac:dyDescent="0.25">
      <c r="A121" s="27"/>
      <c r="B121" s="13" t="str">
        <f>CONCATENATE("     ","Subscriptions &amp; Dues                              ")</f>
        <v xml:space="preserve">     Subscriptions &amp; Dues                              </v>
      </c>
      <c r="C121" s="13"/>
      <c r="D121" s="1">
        <f>SUM(OSRRefD22_11x_0)</f>
        <v>0</v>
      </c>
      <c r="E121" s="1"/>
      <c r="F121" s="5">
        <f t="shared" ref="F121:F125" si="55">IF(D$12=0,0,D121/D$12)</f>
        <v>0</v>
      </c>
      <c r="G121" s="1"/>
      <c r="H121" s="1">
        <f>SUM(OSRRefH22_11x_0)</f>
        <v>0</v>
      </c>
      <c r="I121" s="1"/>
      <c r="J121" s="5">
        <f t="shared" ref="J121:J125" si="56">IF(H$12=0,0,H121/H$12)</f>
        <v>0</v>
      </c>
      <c r="K121" s="1"/>
      <c r="L121" s="1">
        <f t="shared" ref="L121:L125" si="57">+D121-H121</f>
        <v>0</v>
      </c>
      <c r="M121" s="1"/>
      <c r="N121" s="5">
        <f t="shared" ref="N121:N125" si="58">IF(H121=0,0,L121/H121)</f>
        <v>0</v>
      </c>
      <c r="O121" s="13"/>
      <c r="P121" s="1">
        <f>SUM(OSRRefP22_11x_0)</f>
        <v>120</v>
      </c>
      <c r="Q121" s="1"/>
      <c r="R121" s="5">
        <f t="shared" ref="R121:R125" si="59">IF(P$12=0,0,P121/P$12)</f>
        <v>2.3256836623300345E-4</v>
      </c>
      <c r="S121" s="1"/>
      <c r="T121" s="1">
        <f>SUM(OSRRefT22_11x_0)</f>
        <v>0</v>
      </c>
      <c r="U121" s="1"/>
      <c r="V121" s="5">
        <f t="shared" ref="V121:V125" si="60">IF(T$12=0,0,T121/T$12)</f>
        <v>0</v>
      </c>
      <c r="W121" s="1"/>
      <c r="X121" s="1">
        <f t="shared" ref="X121:X125" si="61">+P121-T121</f>
        <v>120</v>
      </c>
      <c r="Y121" s="1"/>
      <c r="Z121" s="5">
        <f t="shared" ref="Z121:Z125" si="62">IF(T121=0,0,X121/T121)</f>
        <v>0</v>
      </c>
    </row>
    <row r="122" spans="1:26" s="24" customFormat="1" hidden="1" outlineLevel="2" x14ac:dyDescent="0.25">
      <c r="A122" s="26"/>
      <c r="B122" s="11" t="str">
        <f>CONCATENATE("          ", "6258", " - ", "MEMBERSHIP DUES")</f>
        <v xml:space="preserve">          6258 - MEMBERSHIP DUES</v>
      </c>
      <c r="C122" s="11"/>
      <c r="D122" s="6"/>
      <c r="E122" s="2"/>
      <c r="F122" s="7">
        <f t="shared" si="55"/>
        <v>0</v>
      </c>
      <c r="G122" s="2"/>
      <c r="H122" s="6"/>
      <c r="I122" s="2"/>
      <c r="J122" s="7">
        <f t="shared" si="56"/>
        <v>0</v>
      </c>
      <c r="K122" s="2"/>
      <c r="L122" s="6">
        <f t="shared" si="57"/>
        <v>0</v>
      </c>
      <c r="M122" s="2"/>
      <c r="N122" s="7">
        <f t="shared" si="58"/>
        <v>0</v>
      </c>
      <c r="O122" s="11"/>
      <c r="P122" s="6">
        <v>120</v>
      </c>
      <c r="Q122" s="2"/>
      <c r="R122" s="7">
        <f t="shared" si="59"/>
        <v>2.3256836623300345E-4</v>
      </c>
      <c r="S122" s="2"/>
      <c r="T122" s="6"/>
      <c r="U122" s="2"/>
      <c r="V122" s="7">
        <f t="shared" si="60"/>
        <v>0</v>
      </c>
      <c r="W122" s="2"/>
      <c r="X122" s="6">
        <f t="shared" si="61"/>
        <v>120</v>
      </c>
      <c r="Y122" s="2"/>
      <c r="Z122" s="7">
        <f t="shared" si="62"/>
        <v>0</v>
      </c>
    </row>
    <row r="123" spans="1:26" s="25" customFormat="1" outlineLevel="1" collapsed="1" x14ac:dyDescent="0.25">
      <c r="A123" s="27"/>
      <c r="B123" s="13" t="str">
        <f>CONCATENATE("     ","Supplies                                          ")</f>
        <v xml:space="preserve">     Supplies                                          </v>
      </c>
      <c r="C123" s="13"/>
      <c r="D123" s="1">
        <f>SUM(OSRRefD22_12x_0)</f>
        <v>230.66</v>
      </c>
      <c r="E123" s="1"/>
      <c r="F123" s="5">
        <f t="shared" si="55"/>
        <v>5.2189712069634553E-3</v>
      </c>
      <c r="G123" s="1"/>
      <c r="H123" s="1">
        <f>SUM(OSRRefH22_12x_0)</f>
        <v>225</v>
      </c>
      <c r="I123" s="1"/>
      <c r="J123" s="5">
        <f t="shared" si="56"/>
        <v>4.28196247097781E-3</v>
      </c>
      <c r="K123" s="1"/>
      <c r="L123" s="1">
        <f t="shared" si="57"/>
        <v>5.6599999999999966</v>
      </c>
      <c r="M123" s="1"/>
      <c r="N123" s="5">
        <f t="shared" si="58"/>
        <v>2.5155555555555542E-2</v>
      </c>
      <c r="O123" s="13"/>
      <c r="P123" s="1">
        <f>SUM(OSRRefP22_12x_0)</f>
        <v>1450.67</v>
      </c>
      <c r="Q123" s="1"/>
      <c r="R123" s="5">
        <f t="shared" si="59"/>
        <v>2.8114995986935928E-3</v>
      </c>
      <c r="S123" s="1"/>
      <c r="T123" s="1">
        <f>SUM(OSRRefT22_12x_0)</f>
        <v>1350</v>
      </c>
      <c r="U123" s="1"/>
      <c r="V123" s="5">
        <f t="shared" si="60"/>
        <v>2.39190790977369E-3</v>
      </c>
      <c r="W123" s="1"/>
      <c r="X123" s="1">
        <f t="shared" si="61"/>
        <v>100.67000000000007</v>
      </c>
      <c r="Y123" s="1"/>
      <c r="Z123" s="5">
        <f t="shared" si="62"/>
        <v>7.4570370370370426E-2</v>
      </c>
    </row>
    <row r="124" spans="1:26" s="24" customFormat="1" hidden="1" outlineLevel="2" x14ac:dyDescent="0.25">
      <c r="A124" s="26"/>
      <c r="B124" s="11" t="str">
        <f>CONCATENATE("          ", "6241", " - ", "OFFICE EXPENSE")</f>
        <v xml:space="preserve">          6241 - OFFICE EXPENSE</v>
      </c>
      <c r="C124" s="11"/>
      <c r="D124" s="6">
        <v>231.06</v>
      </c>
      <c r="E124" s="2"/>
      <c r="F124" s="7">
        <f t="shared" si="55"/>
        <v>5.2280217076258392E-3</v>
      </c>
      <c r="G124" s="2"/>
      <c r="H124" s="6">
        <v>225</v>
      </c>
      <c r="I124" s="2"/>
      <c r="J124" s="7">
        <f t="shared" si="56"/>
        <v>4.28196247097781E-3</v>
      </c>
      <c r="K124" s="2"/>
      <c r="L124" s="6">
        <f t="shared" si="57"/>
        <v>6.0600000000000023</v>
      </c>
      <c r="M124" s="2"/>
      <c r="N124" s="7">
        <f t="shared" si="58"/>
        <v>2.6933333333333344E-2</v>
      </c>
      <c r="O124" s="11"/>
      <c r="P124" s="6">
        <v>1451.17</v>
      </c>
      <c r="Q124" s="2"/>
      <c r="R124" s="7">
        <f t="shared" si="59"/>
        <v>2.812468633552897E-3</v>
      </c>
      <c r="S124" s="2"/>
      <c r="T124" s="6">
        <v>1350</v>
      </c>
      <c r="U124" s="2"/>
      <c r="V124" s="7">
        <f t="shared" si="60"/>
        <v>2.39190790977369E-3</v>
      </c>
      <c r="W124" s="2"/>
      <c r="X124" s="6">
        <f t="shared" si="61"/>
        <v>101.17000000000007</v>
      </c>
      <c r="Y124" s="2"/>
      <c r="Z124" s="7">
        <f t="shared" si="62"/>
        <v>7.4940740740740794E-2</v>
      </c>
    </row>
    <row r="125" spans="1:26" s="24" customFormat="1" hidden="1" outlineLevel="2" x14ac:dyDescent="0.25">
      <c r="A125" s="26"/>
      <c r="B125" s="11" t="str">
        <f>CONCATENATE("          ", "6247", " - ", "STORE SUPPLIES")</f>
        <v xml:space="preserve">          6247 - STORE SUPPLIES</v>
      </c>
      <c r="C125" s="11"/>
      <c r="D125" s="6">
        <v>-0.4</v>
      </c>
      <c r="E125" s="2"/>
      <c r="F125" s="7">
        <f t="shared" si="55"/>
        <v>-9.050500662383518E-6</v>
      </c>
      <c r="G125" s="2"/>
      <c r="H125" s="6"/>
      <c r="I125" s="2"/>
      <c r="J125" s="7">
        <f t="shared" si="56"/>
        <v>0</v>
      </c>
      <c r="K125" s="2"/>
      <c r="L125" s="6">
        <f t="shared" si="57"/>
        <v>-0.4</v>
      </c>
      <c r="M125" s="2"/>
      <c r="N125" s="7">
        <f t="shared" si="58"/>
        <v>0</v>
      </c>
      <c r="O125" s="11"/>
      <c r="P125" s="6">
        <v>-0.5</v>
      </c>
      <c r="Q125" s="2"/>
      <c r="R125" s="7">
        <f t="shared" si="59"/>
        <v>-9.6903485930418106E-7</v>
      </c>
      <c r="S125" s="2"/>
      <c r="T125" s="6"/>
      <c r="U125" s="2"/>
      <c r="V125" s="7">
        <f t="shared" si="60"/>
        <v>0</v>
      </c>
      <c r="W125" s="2"/>
      <c r="X125" s="6">
        <f t="shared" si="61"/>
        <v>-0.5</v>
      </c>
      <c r="Y125" s="2"/>
      <c r="Z125" s="7">
        <f t="shared" si="62"/>
        <v>0</v>
      </c>
    </row>
    <row r="126" spans="1:26" s="25" customFormat="1" outlineLevel="1" collapsed="1" x14ac:dyDescent="0.25">
      <c r="A126" s="27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SUM(OSRRefD22_13x_0)</f>
        <v>87.84</v>
      </c>
      <c r="E126" s="1"/>
      <c r="F126" s="5">
        <f t="shared" ref="F126:F131" si="63">IF(D$12=0,0,D126/D$12)</f>
        <v>1.9874899454594207E-3</v>
      </c>
      <c r="G126" s="1"/>
      <c r="H126" s="1">
        <f>SUM(OSRRefH22_13x_0)</f>
        <v>75</v>
      </c>
      <c r="I126" s="1"/>
      <c r="J126" s="5">
        <f t="shared" ref="J126:J131" si="64">IF(H$12=0,0,H126/H$12)</f>
        <v>1.4273208236592701E-3</v>
      </c>
      <c r="K126" s="1"/>
      <c r="L126" s="1">
        <f t="shared" ref="L126:L131" si="65">+D126-H126</f>
        <v>12.840000000000003</v>
      </c>
      <c r="M126" s="1"/>
      <c r="N126" s="5">
        <f t="shared" ref="N126:N131" si="66">IF(H126=0,0,L126/H126)</f>
        <v>0.17120000000000005</v>
      </c>
      <c r="O126" s="13"/>
      <c r="P126" s="1">
        <f>SUM(OSRRefP22_13x_0)</f>
        <v>576.57000000000005</v>
      </c>
      <c r="Q126" s="1"/>
      <c r="R126" s="5">
        <f t="shared" ref="R126:R131" si="67">IF(P$12=0,0,P126/P$12)</f>
        <v>1.1174328576580234E-3</v>
      </c>
      <c r="S126" s="1"/>
      <c r="T126" s="1">
        <f>SUM(OSRRefT22_13x_0)</f>
        <v>450</v>
      </c>
      <c r="U126" s="1"/>
      <c r="V126" s="5">
        <f t="shared" ref="V126:V131" si="68">IF(T$12=0,0,T126/T$12)</f>
        <v>7.9730263659122998E-4</v>
      </c>
      <c r="W126" s="1"/>
      <c r="X126" s="1">
        <f t="shared" ref="X126:X131" si="69">+P126-T126</f>
        <v>126.57000000000005</v>
      </c>
      <c r="Y126" s="1"/>
      <c r="Z126" s="5">
        <f t="shared" ref="Z126:Z131" si="70">IF(T126=0,0,X126/T126)</f>
        <v>0.28126666666666678</v>
      </c>
    </row>
    <row r="127" spans="1:26" s="24" customFormat="1" hidden="1" outlineLevel="2" x14ac:dyDescent="0.25">
      <c r="A127" s="26"/>
      <c r="B127" s="11" t="str">
        <f>CONCATENATE("          ", "6309", " - ", "TELEPHONE")</f>
        <v xml:space="preserve">          6309 - TELEPHONE</v>
      </c>
      <c r="C127" s="11"/>
      <c r="D127" s="6">
        <v>87.84</v>
      </c>
      <c r="E127" s="2"/>
      <c r="F127" s="7">
        <f t="shared" si="63"/>
        <v>1.9874899454594207E-3</v>
      </c>
      <c r="G127" s="2"/>
      <c r="H127" s="6">
        <v>75</v>
      </c>
      <c r="I127" s="2"/>
      <c r="J127" s="7">
        <f t="shared" si="64"/>
        <v>1.4273208236592701E-3</v>
      </c>
      <c r="K127" s="2"/>
      <c r="L127" s="6">
        <f t="shared" si="65"/>
        <v>12.840000000000003</v>
      </c>
      <c r="M127" s="2"/>
      <c r="N127" s="7">
        <f t="shared" si="66"/>
        <v>0.17120000000000005</v>
      </c>
      <c r="O127" s="11"/>
      <c r="P127" s="6">
        <v>576.57000000000005</v>
      </c>
      <c r="Q127" s="2"/>
      <c r="R127" s="7">
        <f t="shared" si="67"/>
        <v>1.1174328576580234E-3</v>
      </c>
      <c r="S127" s="2"/>
      <c r="T127" s="6">
        <v>450</v>
      </c>
      <c r="U127" s="2"/>
      <c r="V127" s="7">
        <f t="shared" si="68"/>
        <v>7.9730263659122998E-4</v>
      </c>
      <c r="W127" s="2"/>
      <c r="X127" s="6">
        <f t="shared" si="69"/>
        <v>126.57000000000005</v>
      </c>
      <c r="Y127" s="2"/>
      <c r="Z127" s="7">
        <f t="shared" si="70"/>
        <v>0.28126666666666678</v>
      </c>
    </row>
    <row r="128" spans="1:26" s="25" customFormat="1" outlineLevel="1" collapsed="1" x14ac:dyDescent="0.25">
      <c r="A128" s="27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SUM(OSRRefD22_14x_0)</f>
        <v>0</v>
      </c>
      <c r="E128" s="1"/>
      <c r="F128" s="5">
        <f t="shared" si="63"/>
        <v>0</v>
      </c>
      <c r="G128" s="1"/>
      <c r="H128" s="1">
        <f>SUM(OSRRefH22_14x_0)</f>
        <v>175</v>
      </c>
      <c r="I128" s="1"/>
      <c r="J128" s="5">
        <f t="shared" si="64"/>
        <v>3.3304152552049633E-3</v>
      </c>
      <c r="K128" s="1"/>
      <c r="L128" s="1">
        <f t="shared" si="65"/>
        <v>-175</v>
      </c>
      <c r="M128" s="1"/>
      <c r="N128" s="5">
        <f t="shared" si="66"/>
        <v>-1</v>
      </c>
      <c r="O128" s="13"/>
      <c r="P128" s="1">
        <f>SUM(OSRRefP22_14x_0)</f>
        <v>80</v>
      </c>
      <c r="Q128" s="1"/>
      <c r="R128" s="5">
        <f t="shared" si="67"/>
        <v>1.5504557748866898E-4</v>
      </c>
      <c r="S128" s="1"/>
      <c r="T128" s="1">
        <f>SUM(OSRRefT22_14x_0)</f>
        <v>1050</v>
      </c>
      <c r="U128" s="1"/>
      <c r="V128" s="5">
        <f t="shared" si="68"/>
        <v>1.86037281871287E-3</v>
      </c>
      <c r="W128" s="1"/>
      <c r="X128" s="1">
        <f t="shared" si="69"/>
        <v>-970</v>
      </c>
      <c r="Y128" s="1"/>
      <c r="Z128" s="5">
        <f t="shared" si="70"/>
        <v>-0.92380952380952386</v>
      </c>
    </row>
    <row r="129" spans="1:26" s="24" customFormat="1" hidden="1" outlineLevel="2" x14ac:dyDescent="0.25">
      <c r="A129" s="26"/>
      <c r="B129" s="11" t="str">
        <f>CONCATENATE("          ", "6376", " - ", "TRAINING")</f>
        <v xml:space="preserve">          6376 - TRAINING</v>
      </c>
      <c r="C129" s="11"/>
      <c r="D129" s="6"/>
      <c r="E129" s="2"/>
      <c r="F129" s="7">
        <f t="shared" si="63"/>
        <v>0</v>
      </c>
      <c r="G129" s="2"/>
      <c r="H129" s="6">
        <v>175</v>
      </c>
      <c r="I129" s="2"/>
      <c r="J129" s="7">
        <f t="shared" si="64"/>
        <v>3.3304152552049633E-3</v>
      </c>
      <c r="K129" s="2"/>
      <c r="L129" s="6">
        <f t="shared" si="65"/>
        <v>-175</v>
      </c>
      <c r="M129" s="2"/>
      <c r="N129" s="7">
        <f t="shared" si="66"/>
        <v>-1</v>
      </c>
      <c r="O129" s="11"/>
      <c r="P129" s="6">
        <v>80</v>
      </c>
      <c r="Q129" s="2"/>
      <c r="R129" s="7">
        <f t="shared" si="67"/>
        <v>1.5504557748866898E-4</v>
      </c>
      <c r="S129" s="2"/>
      <c r="T129" s="6">
        <v>1050</v>
      </c>
      <c r="U129" s="2"/>
      <c r="V129" s="7">
        <f t="shared" si="68"/>
        <v>1.86037281871287E-3</v>
      </c>
      <c r="W129" s="2"/>
      <c r="X129" s="6">
        <f t="shared" si="69"/>
        <v>-970</v>
      </c>
      <c r="Y129" s="2"/>
      <c r="Z129" s="7">
        <f t="shared" si="70"/>
        <v>-0.92380952380952386</v>
      </c>
    </row>
    <row r="130" spans="1:26" s="25" customFormat="1" outlineLevel="1" collapsed="1" x14ac:dyDescent="0.25">
      <c r="A130" s="27"/>
      <c r="B130" s="13" t="str">
        <f>CONCATENATE("     ","Travel                                            ")</f>
        <v xml:space="preserve">     Travel                                            </v>
      </c>
      <c r="C130" s="13"/>
      <c r="D130" s="1">
        <f>SUM(OSRRefD22_15x_0)</f>
        <v>-323.01</v>
      </c>
      <c r="E130" s="1"/>
      <c r="F130" s="5">
        <f t="shared" si="63"/>
        <v>-7.3085055473912502E-3</v>
      </c>
      <c r="G130" s="1"/>
      <c r="H130" s="1">
        <f>SUM(OSRRefH22_15x_0)</f>
        <v>0</v>
      </c>
      <c r="I130" s="1"/>
      <c r="J130" s="5">
        <f t="shared" si="64"/>
        <v>0</v>
      </c>
      <c r="K130" s="1"/>
      <c r="L130" s="1">
        <f t="shared" si="65"/>
        <v>-323.01</v>
      </c>
      <c r="M130" s="1"/>
      <c r="N130" s="5">
        <f t="shared" si="66"/>
        <v>0</v>
      </c>
      <c r="O130" s="13"/>
      <c r="P130" s="1">
        <f>SUM(OSRRefP22_15x_0)</f>
        <v>-323.01</v>
      </c>
      <c r="Q130" s="1"/>
      <c r="R130" s="5">
        <f t="shared" si="67"/>
        <v>-6.2601589980768708E-4</v>
      </c>
      <c r="S130" s="1"/>
      <c r="T130" s="1">
        <f>SUM(OSRRefT22_15x_0)</f>
        <v>0</v>
      </c>
      <c r="U130" s="1"/>
      <c r="V130" s="5">
        <f t="shared" si="68"/>
        <v>0</v>
      </c>
      <c r="W130" s="1"/>
      <c r="X130" s="1">
        <f t="shared" si="69"/>
        <v>-323.01</v>
      </c>
      <c r="Y130" s="1"/>
      <c r="Z130" s="5">
        <f t="shared" si="70"/>
        <v>0</v>
      </c>
    </row>
    <row r="131" spans="1:26" s="24" customFormat="1" hidden="1" outlineLevel="2" x14ac:dyDescent="0.25">
      <c r="A131" s="26"/>
      <c r="B131" s="11" t="str">
        <f>CONCATENATE("          ", "6292", " - ", "TRAVEL/CONFERENCE")</f>
        <v xml:space="preserve">          6292 - TRAVEL/CONFERENCE</v>
      </c>
      <c r="C131" s="11"/>
      <c r="D131" s="6">
        <v>-323.01</v>
      </c>
      <c r="E131" s="2"/>
      <c r="F131" s="7">
        <f t="shared" si="63"/>
        <v>-7.3085055473912502E-3</v>
      </c>
      <c r="G131" s="2"/>
      <c r="H131" s="6"/>
      <c r="I131" s="2"/>
      <c r="J131" s="7">
        <f t="shared" si="64"/>
        <v>0</v>
      </c>
      <c r="K131" s="2"/>
      <c r="L131" s="6">
        <f t="shared" si="65"/>
        <v>-323.01</v>
      </c>
      <c r="M131" s="2"/>
      <c r="N131" s="7">
        <f t="shared" si="66"/>
        <v>0</v>
      </c>
      <c r="O131" s="11"/>
      <c r="P131" s="6">
        <v>-323.01</v>
      </c>
      <c r="Q131" s="2"/>
      <c r="R131" s="7">
        <f t="shared" si="67"/>
        <v>-6.2601589980768708E-4</v>
      </c>
      <c r="S131" s="2"/>
      <c r="T131" s="6"/>
      <c r="U131" s="2"/>
      <c r="V131" s="7">
        <f t="shared" si="68"/>
        <v>0</v>
      </c>
      <c r="W131" s="2"/>
      <c r="X131" s="6">
        <f t="shared" si="69"/>
        <v>-323.01</v>
      </c>
      <c r="Y131" s="2"/>
      <c r="Z131" s="7">
        <f t="shared" si="70"/>
        <v>0</v>
      </c>
    </row>
    <row r="132" spans="1:26" s="53" customFormat="1" x14ac:dyDescent="0.25">
      <c r="A132" s="36"/>
      <c r="B132" s="36"/>
      <c r="C132" s="36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6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8" t="s">
        <v>0</v>
      </c>
      <c r="C133" s="10"/>
      <c r="D133" s="4">
        <f>SUM(OSRRefD25x_0)</f>
        <v>68.760000000000005</v>
      </c>
      <c r="E133" s="4"/>
      <c r="F133" s="12">
        <f t="shared" ref="F133:F134" si="71">IF(D$12=0,0,D133/D$12)</f>
        <v>1.5557810638637268E-3</v>
      </c>
      <c r="G133" s="4"/>
      <c r="H133" s="4">
        <f>SUM(OSRRefH25x_0)</f>
        <v>0</v>
      </c>
      <c r="I133" s="4"/>
      <c r="J133" s="12">
        <f t="shared" ref="J133:J134" si="72">IF(H$12=0,0,H133/H$12)</f>
        <v>0</v>
      </c>
      <c r="K133" s="4"/>
      <c r="L133" s="4">
        <f t="shared" ref="L133:L134" si="73">+D133-H133</f>
        <v>68.760000000000005</v>
      </c>
      <c r="M133" s="4"/>
      <c r="N133" s="12">
        <f t="shared" ref="N133:N134" si="74">IF(H133=0,0,L133/H133)</f>
        <v>0</v>
      </c>
      <c r="O133" s="10"/>
      <c r="P133" s="4">
        <f>SUM(OSRRefP25x_0)</f>
        <v>68.760000000000005</v>
      </c>
      <c r="Q133" s="4"/>
      <c r="R133" s="12">
        <f t="shared" ref="R133:R134" si="75">IF(P$12=0,0,P133/P$12)</f>
        <v>1.3326167385151099E-4</v>
      </c>
      <c r="S133" s="4"/>
      <c r="T133" s="4">
        <f>SUM(OSRRefT25x_0)</f>
        <v>0</v>
      </c>
      <c r="U133" s="4"/>
      <c r="V133" s="12">
        <f t="shared" ref="V133:V134" si="76">IF(T$12=0,0,T133/T$12)</f>
        <v>0</v>
      </c>
      <c r="W133" s="4"/>
      <c r="X133" s="4">
        <f t="shared" ref="X133:X134" si="77">+P133-T133</f>
        <v>68.760000000000005</v>
      </c>
      <c r="Y133" s="4"/>
      <c r="Z133" s="12">
        <f t="shared" ref="Z133:Z134" si="78">IF(T133=0,0,X133/T133)</f>
        <v>0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--68.76</f>
        <v>68.760000000000005</v>
      </c>
      <c r="E134" s="2"/>
      <c r="F134" s="19">
        <f t="shared" si="71"/>
        <v>1.5557810638637268E-3</v>
      </c>
      <c r="G134" s="2"/>
      <c r="H134" s="2"/>
      <c r="I134" s="2"/>
      <c r="J134" s="19">
        <f t="shared" si="72"/>
        <v>0</v>
      </c>
      <c r="K134" s="2"/>
      <c r="L134" s="2">
        <f t="shared" si="73"/>
        <v>68.760000000000005</v>
      </c>
      <c r="M134" s="2"/>
      <c r="N134" s="19">
        <f t="shared" si="74"/>
        <v>0</v>
      </c>
      <c r="O134" s="11"/>
      <c r="P134" s="2">
        <f>--68.76</f>
        <v>68.760000000000005</v>
      </c>
      <c r="Q134" s="2"/>
      <c r="R134" s="19">
        <f t="shared" si="75"/>
        <v>1.3326167385151099E-4</v>
      </c>
      <c r="S134" s="2"/>
      <c r="T134" s="2"/>
      <c r="U134" s="2"/>
      <c r="V134" s="19">
        <f t="shared" si="76"/>
        <v>0</v>
      </c>
      <c r="W134" s="2"/>
      <c r="X134" s="2">
        <f t="shared" si="77"/>
        <v>68.760000000000005</v>
      </c>
      <c r="Y134" s="2"/>
      <c r="Z134" s="19">
        <f t="shared" si="78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9" t="s">
        <v>3</v>
      </c>
      <c r="C136" s="29"/>
      <c r="D136" s="22">
        <f>+D76-D78+D133</f>
        <v>3217.5499999999975</v>
      </c>
      <c r="E136" s="14"/>
      <c r="F136" s="20">
        <f>IF(D$12=0,0,D136/D$12)</f>
        <v>7.280109601563016E-2</v>
      </c>
      <c r="G136" s="14"/>
      <c r="H136" s="22">
        <f>+H76-H78+H133</f>
        <v>8209.5558424553892</v>
      </c>
      <c r="I136" s="14"/>
      <c r="J136" s="20">
        <f>IF(H$12=0,0,H136/H$12)</f>
        <v>0.15623560009240264</v>
      </c>
      <c r="K136" s="16"/>
      <c r="L136" s="22">
        <f>+D136-H136</f>
        <v>-4992.0058424553918</v>
      </c>
      <c r="M136" s="16"/>
      <c r="N136" s="20">
        <f>IF(H136=0,0,L136/H136)</f>
        <v>-0.6080725849551365</v>
      </c>
      <c r="O136" s="28"/>
      <c r="P136" s="22">
        <f>+P76-P78+P133</f>
        <v>129204.2000000001</v>
      </c>
      <c r="Q136" s="14"/>
      <c r="R136" s="20">
        <f>IF(P$12=0,0,P136/P$12)</f>
        <v>0.25040674753701875</v>
      </c>
      <c r="S136" s="14"/>
      <c r="T136" s="22">
        <f>+T76-T78+T133</f>
        <v>167426.43233096003</v>
      </c>
      <c r="U136" s="14"/>
      <c r="V136" s="20">
        <f>IF(T$12=0,0,T136/T$12)</f>
        <v>0.29664341318341686</v>
      </c>
      <c r="W136" s="16"/>
      <c r="X136" s="22">
        <f>+P136-T136</f>
        <v>-38222.232330959931</v>
      </c>
      <c r="Y136" s="16"/>
      <c r="Z136" s="20">
        <f>IF(T136=0,0,X136/T136)</f>
        <v>-0.22829270025538245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2"/>
      <c r="B138" s="10" t="s">
        <v>14</v>
      </c>
      <c r="C138" s="10"/>
      <c r="D138" s="4">
        <v>5771.12</v>
      </c>
      <c r="E138" s="4"/>
      <c r="F138" s="12">
        <f>IF(D$12=0,0,D138/D$12)</f>
        <v>0.13057881345673691</v>
      </c>
      <c r="G138" s="4"/>
      <c r="H138" s="4">
        <v>7835</v>
      </c>
      <c r="I138" s="4"/>
      <c r="J138" s="12">
        <f>IF(H$12=0,0,H138/H$12)</f>
        <v>0.14910744871160506</v>
      </c>
      <c r="K138" s="4"/>
      <c r="L138" s="4">
        <f>+D138-H138</f>
        <v>-2063.88</v>
      </c>
      <c r="M138" s="4"/>
      <c r="N138" s="12">
        <f>IF(H138=0,0,L138/H138)</f>
        <v>-0.26341799617102746</v>
      </c>
      <c r="O138" s="10"/>
      <c r="P138" s="4">
        <v>55729.52</v>
      </c>
      <c r="Q138" s="4"/>
      <c r="R138" s="12">
        <f>IF(P$12=0,0,P138/P$12)</f>
        <v>0.10800769514457909</v>
      </c>
      <c r="S138" s="4"/>
      <c r="T138" s="4">
        <v>72702</v>
      </c>
      <c r="U138" s="4"/>
      <c r="V138" s="12">
        <f>IF(T$12=0,0,T138/T$12)</f>
        <v>0.12881221396767911</v>
      </c>
      <c r="W138" s="4"/>
      <c r="X138" s="4">
        <f>+P138-T138</f>
        <v>-16972.480000000003</v>
      </c>
      <c r="Y138" s="4"/>
      <c r="Z138" s="12">
        <f>IF(T138=0,0,X138/T138)</f>
        <v>-0.23345272482187565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4</v>
      </c>
      <c r="C140" s="29"/>
      <c r="D140" s="31">
        <f>+D136-D138</f>
        <v>-2553.5700000000024</v>
      </c>
      <c r="E140" s="14"/>
      <c r="F140" s="32">
        <f>IF(D$12=0,0,D140/D$12)</f>
        <v>-5.7777717441106755E-2</v>
      </c>
      <c r="G140" s="14"/>
      <c r="H140" s="31">
        <f>+H136-H138</f>
        <v>374.55584245538921</v>
      </c>
      <c r="I140" s="14"/>
      <c r="J140" s="32">
        <f>IF(H$12=0,0,H140/H$12)</f>
        <v>7.1281513807975715E-3</v>
      </c>
      <c r="K140" s="16"/>
      <c r="L140" s="31">
        <f>D140-H140</f>
        <v>-2928.1258424553916</v>
      </c>
      <c r="M140" s="16"/>
      <c r="N140" s="32">
        <f>IF(H140=0,0,L140/H140)</f>
        <v>-7.8175948965584237</v>
      </c>
      <c r="O140" s="28"/>
      <c r="P140" s="31">
        <f>+P136-P138</f>
        <v>73474.680000000109</v>
      </c>
      <c r="Q140" s="14"/>
      <c r="R140" s="32">
        <f>IF(P$12=0,0,P140/P$12)</f>
        <v>0.14239905239243966</v>
      </c>
      <c r="S140" s="14"/>
      <c r="T140" s="31">
        <f>+T136-T138</f>
        <v>94724.43233096003</v>
      </c>
      <c r="U140" s="14"/>
      <c r="V140" s="32">
        <f>IF(T$12=0,0,T140/T$12)</f>
        <v>0.16783119921573775</v>
      </c>
      <c r="W140" s="16"/>
      <c r="X140" s="31">
        <f>P140-T140</f>
        <v>-21249.75233095992</v>
      </c>
      <c r="Y140" s="16"/>
      <c r="Z140" s="32">
        <f>IF(T140=0,0,X140/T140)</f>
        <v>-0.22433232702535377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5</v>
      </c>
      <c r="C143" s="29"/>
      <c r="D143" s="35">
        <f>SUM(D140:D142)</f>
        <v>-2553.5700000000024</v>
      </c>
      <c r="E143" s="14"/>
      <c r="F143" s="34">
        <f>IF(D$12=0,0,D143/D$12)</f>
        <v>-5.7777717441106755E-2</v>
      </c>
      <c r="G143" s="14"/>
      <c r="H143" s="35">
        <f>SUM(H140:H142)</f>
        <v>374.55584245538921</v>
      </c>
      <c r="I143" s="14"/>
      <c r="J143" s="34">
        <f>IF(H$12=0,0,H143/H$12)</f>
        <v>7.1281513807975715E-3</v>
      </c>
      <c r="K143" s="16"/>
      <c r="L143" s="35">
        <f>+D143-H143</f>
        <v>-2928.1258424553916</v>
      </c>
      <c r="M143" s="16"/>
      <c r="N143" s="34">
        <f>IF(H143=0,0,L143/H143)</f>
        <v>-7.8175948965584237</v>
      </c>
      <c r="O143" s="28"/>
      <c r="P143" s="35">
        <f>SUM(P140:P142)</f>
        <v>73474.680000000109</v>
      </c>
      <c r="Q143" s="14"/>
      <c r="R143" s="34">
        <f>IF(P$12=0,0,P143/P$12)</f>
        <v>0.14239905239243966</v>
      </c>
      <c r="S143" s="14"/>
      <c r="T143" s="35">
        <f>SUM(T140:T142)</f>
        <v>94724.43233096003</v>
      </c>
      <c r="U143" s="14"/>
      <c r="V143" s="34">
        <f>IF(T$12=0,0,T143/T$12)</f>
        <v>0.16783119921573775</v>
      </c>
      <c r="W143" s="16"/>
      <c r="X143" s="35">
        <f>+P143-T143</f>
        <v>-21249.75233095992</v>
      </c>
      <c r="Y143" s="16"/>
      <c r="Z143" s="34">
        <f>IF(T143=0,0,X143/T143)</f>
        <v>-0.22433232702535377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63">
        <v>43847.445443865741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55" t="s">
        <v>314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6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21723.599999999991</v>
      </c>
      <c r="E12" s="4"/>
      <c r="F12" s="12"/>
      <c r="G12" s="4"/>
      <c r="H12" s="4">
        <f>SUM(OSRRefH13x_0)</f>
        <v>29832</v>
      </c>
      <c r="I12" s="4"/>
      <c r="J12" s="12"/>
      <c r="K12" s="4"/>
      <c r="L12" s="4">
        <f t="shared" ref="L12:L43" si="0">+D12-H12</f>
        <v>-8108.4000000000087</v>
      </c>
      <c r="M12" s="4"/>
      <c r="N12" s="12">
        <f t="shared" ref="N12:N43" si="1">IF(H12=0,0,L12/H12)</f>
        <v>-0.27180209171359643</v>
      </c>
      <c r="O12" s="10"/>
      <c r="P12" s="4">
        <f>SUM(OSRRefP13x_0)</f>
        <v>268844.10000000009</v>
      </c>
      <c r="Q12" s="4"/>
      <c r="R12" s="12"/>
      <c r="S12" s="4"/>
      <c r="T12" s="4">
        <f>SUM(OSRRefT13x_0)</f>
        <v>287536</v>
      </c>
      <c r="U12" s="4"/>
      <c r="V12" s="12"/>
      <c r="W12" s="4"/>
      <c r="X12" s="4">
        <f t="shared" ref="X12:X43" si="2">+P12-T12</f>
        <v>-18691.899999999907</v>
      </c>
      <c r="Y12" s="4"/>
      <c r="Z12" s="12">
        <f t="shared" ref="Z12:Z43" si="3">IF(T12=0,0,X12/T12)</f>
        <v>-6.5007164320293478E-2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20289</v>
      </c>
      <c r="I13" s="2"/>
      <c r="J13" s="19"/>
      <c r="K13" s="2"/>
      <c r="L13" s="2">
        <f t="shared" si="0"/>
        <v>-20289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219129</v>
      </c>
      <c r="U13" s="2"/>
      <c r="V13" s="19"/>
      <c r="W13" s="2"/>
      <c r="X13" s="2">
        <f t="shared" si="2"/>
        <v>-219129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/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--32.94</f>
        <v>32.94</v>
      </c>
      <c r="Q14" s="2"/>
      <c r="R14" s="19"/>
      <c r="S14" s="2"/>
      <c r="T14" s="2"/>
      <c r="U14" s="2"/>
      <c r="V14" s="19"/>
      <c r="W14" s="2"/>
      <c r="X14" s="2">
        <f t="shared" si="2"/>
        <v>32.94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--295.84</f>
        <v>295.83999999999997</v>
      </c>
      <c r="E15" s="2"/>
      <c r="F15" s="19"/>
      <c r="G15" s="2"/>
      <c r="H15" s="2"/>
      <c r="I15" s="2"/>
      <c r="J15" s="19"/>
      <c r="K15" s="2"/>
      <c r="L15" s="2">
        <f t="shared" si="0"/>
        <v>295.83999999999997</v>
      </c>
      <c r="M15" s="2"/>
      <c r="N15" s="19">
        <f t="shared" si="1"/>
        <v>0</v>
      </c>
      <c r="O15" s="11"/>
      <c r="P15" s="2">
        <f>--1605.01</f>
        <v>1605.01</v>
      </c>
      <c r="Q15" s="2"/>
      <c r="R15" s="19"/>
      <c r="S15" s="2"/>
      <c r="T15" s="2"/>
      <c r="U15" s="2"/>
      <c r="V15" s="19"/>
      <c r="W15" s="2"/>
      <c r="X15" s="2">
        <f t="shared" si="2"/>
        <v>1605.01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--481.51</f>
        <v>481.51</v>
      </c>
      <c r="E16" s="2"/>
      <c r="F16" s="19"/>
      <c r="G16" s="2"/>
      <c r="H16" s="2"/>
      <c r="I16" s="2"/>
      <c r="J16" s="19"/>
      <c r="K16" s="2"/>
      <c r="L16" s="2">
        <f t="shared" si="0"/>
        <v>481.51</v>
      </c>
      <c r="M16" s="2"/>
      <c r="N16" s="19">
        <f t="shared" si="1"/>
        <v>0</v>
      </c>
      <c r="O16" s="11"/>
      <c r="P16" s="2">
        <f>--3957.54</f>
        <v>3957.54</v>
      </c>
      <c r="Q16" s="2"/>
      <c r="R16" s="19"/>
      <c r="S16" s="2"/>
      <c r="T16" s="2"/>
      <c r="U16" s="2"/>
      <c r="V16" s="19"/>
      <c r="W16" s="2"/>
      <c r="X16" s="2">
        <f t="shared" si="2"/>
        <v>3957.54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--251.38</f>
        <v>251.38</v>
      </c>
      <c r="E17" s="2"/>
      <c r="F17" s="19"/>
      <c r="G17" s="2"/>
      <c r="H17" s="2"/>
      <c r="I17" s="2"/>
      <c r="J17" s="19"/>
      <c r="K17" s="2"/>
      <c r="L17" s="2">
        <f t="shared" si="0"/>
        <v>251.38</v>
      </c>
      <c r="M17" s="2"/>
      <c r="N17" s="19">
        <f t="shared" si="1"/>
        <v>0</v>
      </c>
      <c r="O17" s="11"/>
      <c r="P17" s="2">
        <f>--5815.92</f>
        <v>5815.92</v>
      </c>
      <c r="Q17" s="2"/>
      <c r="R17" s="19"/>
      <c r="S17" s="2"/>
      <c r="T17" s="2"/>
      <c r="U17" s="2"/>
      <c r="V17" s="19"/>
      <c r="W17" s="2"/>
      <c r="X17" s="2">
        <f t="shared" si="2"/>
        <v>5815.92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--12683.13</f>
        <v>12683.13</v>
      </c>
      <c r="E18" s="2"/>
      <c r="F18" s="19"/>
      <c r="G18" s="2"/>
      <c r="H18" s="2"/>
      <c r="I18" s="2"/>
      <c r="J18" s="19"/>
      <c r="K18" s="2"/>
      <c r="L18" s="2">
        <f t="shared" si="0"/>
        <v>12683.13</v>
      </c>
      <c r="M18" s="2"/>
      <c r="N18" s="19">
        <f t="shared" si="1"/>
        <v>0</v>
      </c>
      <c r="O18" s="11"/>
      <c r="P18" s="2">
        <f>--181951.06</f>
        <v>181951.06</v>
      </c>
      <c r="Q18" s="2"/>
      <c r="R18" s="19"/>
      <c r="S18" s="2"/>
      <c r="T18" s="2"/>
      <c r="U18" s="2"/>
      <c r="V18" s="19"/>
      <c r="W18" s="2"/>
      <c r="X18" s="2">
        <f t="shared" si="2"/>
        <v>181951.06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--26.89</f>
        <v>26.89</v>
      </c>
      <c r="E19" s="2"/>
      <c r="F19" s="19"/>
      <c r="G19" s="2"/>
      <c r="H19" s="2"/>
      <c r="I19" s="2"/>
      <c r="J19" s="19"/>
      <c r="K19" s="2"/>
      <c r="L19" s="2">
        <f t="shared" si="0"/>
        <v>26.89</v>
      </c>
      <c r="M19" s="2"/>
      <c r="N19" s="19">
        <f t="shared" si="1"/>
        <v>0</v>
      </c>
      <c r="O19" s="11"/>
      <c r="P19" s="2">
        <f>--306.94</f>
        <v>306.94</v>
      </c>
      <c r="Q19" s="2"/>
      <c r="R19" s="19"/>
      <c r="S19" s="2"/>
      <c r="T19" s="2"/>
      <c r="U19" s="2"/>
      <c r="V19" s="19"/>
      <c r="W19" s="2"/>
      <c r="X19" s="2">
        <f t="shared" si="2"/>
        <v>306.94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--203.26</f>
        <v>203.26</v>
      </c>
      <c r="E20" s="2"/>
      <c r="F20" s="19"/>
      <c r="G20" s="2"/>
      <c r="H20" s="2"/>
      <c r="I20" s="2"/>
      <c r="J20" s="19"/>
      <c r="K20" s="2"/>
      <c r="L20" s="2">
        <f t="shared" si="0"/>
        <v>203.26</v>
      </c>
      <c r="M20" s="2"/>
      <c r="N20" s="19">
        <f t="shared" si="1"/>
        <v>0</v>
      </c>
      <c r="O20" s="11"/>
      <c r="P20" s="2">
        <f>--866.34</f>
        <v>866.34</v>
      </c>
      <c r="Q20" s="2"/>
      <c r="R20" s="19"/>
      <c r="S20" s="2"/>
      <c r="T20" s="2"/>
      <c r="U20" s="2"/>
      <c r="V20" s="19"/>
      <c r="W20" s="2"/>
      <c r="X20" s="2">
        <f t="shared" si="2"/>
        <v>866.34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--22.41</f>
        <v>22.41</v>
      </c>
      <c r="E21" s="2"/>
      <c r="F21" s="19"/>
      <c r="G21" s="2"/>
      <c r="H21" s="2"/>
      <c r="I21" s="2"/>
      <c r="J21" s="19"/>
      <c r="K21" s="2"/>
      <c r="L21" s="2">
        <f t="shared" si="0"/>
        <v>22.41</v>
      </c>
      <c r="M21" s="2"/>
      <c r="N21" s="19">
        <f t="shared" si="1"/>
        <v>0</v>
      </c>
      <c r="O21" s="11"/>
      <c r="P21" s="2">
        <f>--131.02</f>
        <v>131.02000000000001</v>
      </c>
      <c r="Q21" s="2"/>
      <c r="R21" s="19"/>
      <c r="S21" s="2"/>
      <c r="T21" s="2"/>
      <c r="U21" s="2"/>
      <c r="V21" s="19"/>
      <c r="W21" s="2"/>
      <c r="X21" s="2">
        <f t="shared" si="2"/>
        <v>131.02000000000001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--547.26</f>
        <v>547.26</v>
      </c>
      <c r="E22" s="2"/>
      <c r="F22" s="19"/>
      <c r="G22" s="2"/>
      <c r="H22" s="2"/>
      <c r="I22" s="2"/>
      <c r="J22" s="19"/>
      <c r="K22" s="2"/>
      <c r="L22" s="2">
        <f t="shared" si="0"/>
        <v>547.26</v>
      </c>
      <c r="M22" s="2"/>
      <c r="N22" s="19">
        <f t="shared" si="1"/>
        <v>0</v>
      </c>
      <c r="O22" s="11"/>
      <c r="P22" s="2">
        <f>--5271.51</f>
        <v>5271.51</v>
      </c>
      <c r="Q22" s="2"/>
      <c r="R22" s="19"/>
      <c r="S22" s="2"/>
      <c r="T22" s="2"/>
      <c r="U22" s="2"/>
      <c r="V22" s="19"/>
      <c r="W22" s="2"/>
      <c r="X22" s="2">
        <f t="shared" si="2"/>
        <v>5271.51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--133.49</f>
        <v>133.49</v>
      </c>
      <c r="E23" s="2"/>
      <c r="F23" s="19"/>
      <c r="G23" s="2"/>
      <c r="H23" s="2"/>
      <c r="I23" s="2"/>
      <c r="J23" s="19"/>
      <c r="K23" s="2"/>
      <c r="L23" s="2">
        <f t="shared" si="0"/>
        <v>133.49</v>
      </c>
      <c r="M23" s="2"/>
      <c r="N23" s="19">
        <f t="shared" si="1"/>
        <v>0</v>
      </c>
      <c r="O23" s="11"/>
      <c r="P23" s="2">
        <f>--1250.89</f>
        <v>1250.8900000000001</v>
      </c>
      <c r="Q23" s="2"/>
      <c r="R23" s="19"/>
      <c r="S23" s="2"/>
      <c r="T23" s="2"/>
      <c r="U23" s="2"/>
      <c r="V23" s="19"/>
      <c r="W23" s="2"/>
      <c r="X23" s="2">
        <f t="shared" si="2"/>
        <v>1250.8900000000001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--19.09</f>
        <v>19.09</v>
      </c>
      <c r="E24" s="2"/>
      <c r="F24" s="19"/>
      <c r="G24" s="2"/>
      <c r="H24" s="2"/>
      <c r="I24" s="2"/>
      <c r="J24" s="19"/>
      <c r="K24" s="2"/>
      <c r="L24" s="2">
        <f t="shared" si="0"/>
        <v>19.09</v>
      </c>
      <c r="M24" s="2"/>
      <c r="N24" s="19">
        <f t="shared" si="1"/>
        <v>0</v>
      </c>
      <c r="O24" s="11"/>
      <c r="P24" s="2">
        <f>--396.26</f>
        <v>396.26</v>
      </c>
      <c r="Q24" s="2"/>
      <c r="R24" s="19"/>
      <c r="S24" s="2"/>
      <c r="T24" s="2"/>
      <c r="U24" s="2"/>
      <c r="V24" s="19"/>
      <c r="W24" s="2"/>
      <c r="X24" s="2">
        <f t="shared" si="2"/>
        <v>396.26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>--310.76</f>
        <v>310.76</v>
      </c>
      <c r="E25" s="2"/>
      <c r="F25" s="19"/>
      <c r="G25" s="2"/>
      <c r="H25" s="2"/>
      <c r="I25" s="2"/>
      <c r="J25" s="19"/>
      <c r="K25" s="2"/>
      <c r="L25" s="2">
        <f t="shared" si="0"/>
        <v>310.76</v>
      </c>
      <c r="M25" s="2"/>
      <c r="N25" s="19">
        <f t="shared" si="1"/>
        <v>0</v>
      </c>
      <c r="O25" s="11"/>
      <c r="P25" s="2">
        <f>--2534.43</f>
        <v>2534.4299999999998</v>
      </c>
      <c r="Q25" s="2"/>
      <c r="R25" s="19"/>
      <c r="S25" s="2"/>
      <c r="T25" s="2"/>
      <c r="U25" s="2"/>
      <c r="V25" s="19"/>
      <c r="W25" s="2"/>
      <c r="X25" s="2">
        <f t="shared" si="2"/>
        <v>2534.4299999999998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--19</f>
        <v>19</v>
      </c>
      <c r="E26" s="2"/>
      <c r="F26" s="19"/>
      <c r="G26" s="2"/>
      <c r="H26" s="2"/>
      <c r="I26" s="2"/>
      <c r="J26" s="19"/>
      <c r="K26" s="2"/>
      <c r="L26" s="2">
        <f t="shared" si="0"/>
        <v>19</v>
      </c>
      <c r="M26" s="2"/>
      <c r="N26" s="19">
        <f t="shared" si="1"/>
        <v>0</v>
      </c>
      <c r="O26" s="11"/>
      <c r="P26" s="2">
        <f>--181</f>
        <v>181</v>
      </c>
      <c r="Q26" s="2"/>
      <c r="R26" s="19"/>
      <c r="S26" s="2"/>
      <c r="T26" s="2"/>
      <c r="U26" s="2"/>
      <c r="V26" s="19"/>
      <c r="W26" s="2"/>
      <c r="X26" s="2">
        <f t="shared" si="2"/>
        <v>181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--129.88</f>
        <v>129.88</v>
      </c>
      <c r="E27" s="2"/>
      <c r="F27" s="19"/>
      <c r="G27" s="2"/>
      <c r="H27" s="2"/>
      <c r="I27" s="2"/>
      <c r="J27" s="19"/>
      <c r="K27" s="2"/>
      <c r="L27" s="2">
        <f t="shared" si="0"/>
        <v>129.88</v>
      </c>
      <c r="M27" s="2"/>
      <c r="N27" s="19">
        <f t="shared" si="1"/>
        <v>0</v>
      </c>
      <c r="O27" s="11"/>
      <c r="P27" s="2">
        <f>--699.48</f>
        <v>699.48</v>
      </c>
      <c r="Q27" s="2"/>
      <c r="R27" s="19"/>
      <c r="S27" s="2"/>
      <c r="T27" s="2"/>
      <c r="U27" s="2"/>
      <c r="V27" s="19"/>
      <c r="W27" s="2"/>
      <c r="X27" s="2">
        <f t="shared" si="2"/>
        <v>699.48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--58.98</f>
        <v>58.98</v>
      </c>
      <c r="E28" s="2"/>
      <c r="F28" s="19"/>
      <c r="G28" s="2"/>
      <c r="H28" s="2"/>
      <c r="I28" s="2"/>
      <c r="J28" s="19"/>
      <c r="K28" s="2"/>
      <c r="L28" s="2">
        <f t="shared" si="0"/>
        <v>58.98</v>
      </c>
      <c r="M28" s="2"/>
      <c r="N28" s="19">
        <f t="shared" si="1"/>
        <v>0</v>
      </c>
      <c r="O28" s="11"/>
      <c r="P28" s="2">
        <f>--698.77</f>
        <v>698.77</v>
      </c>
      <c r="Q28" s="2"/>
      <c r="R28" s="19"/>
      <c r="S28" s="2"/>
      <c r="T28" s="2"/>
      <c r="U28" s="2"/>
      <c r="V28" s="19"/>
      <c r="W28" s="2"/>
      <c r="X28" s="2">
        <f t="shared" si="2"/>
        <v>698.77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"4100", " - ", "NON-TAXABLE SALES")</f>
        <v xml:space="preserve">          4100 - NON-TAXABLE SALES</v>
      </c>
      <c r="C29" s="11"/>
      <c r="D29" s="2">
        <f t="shared" ref="D29:D31" si="4">0</f>
        <v>0</v>
      </c>
      <c r="E29" s="2"/>
      <c r="F29" s="19"/>
      <c r="G29" s="2"/>
      <c r="H29" s="2">
        <v>9543</v>
      </c>
      <c r="I29" s="2"/>
      <c r="J29" s="19"/>
      <c r="K29" s="2"/>
      <c r="L29" s="2">
        <f t="shared" si="0"/>
        <v>-9543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v>68407</v>
      </c>
      <c r="U29" s="2"/>
      <c r="V29" s="19"/>
      <c r="W29" s="2"/>
      <c r="X29" s="2">
        <f t="shared" si="2"/>
        <v>-68407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"4127", " - ", "NON-TAXABLE SALES-SCHOOL SUPPL")</f>
        <v xml:space="preserve">          4127 - NON-TAXABLE SALES-SCHOOL SUPPL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--12.17</f>
        <v>12.17</v>
      </c>
      <c r="Q30" s="2"/>
      <c r="R30" s="19"/>
      <c r="S30" s="2"/>
      <c r="T30" s="2"/>
      <c r="U30" s="2"/>
      <c r="V30" s="19"/>
      <c r="W30" s="2"/>
      <c r="X30" s="2">
        <f t="shared" si="2"/>
        <v>12.17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"4128", " - ", "NON-TAXABLE SALES-ART/TECH")</f>
        <v xml:space="preserve">          4128 - NON-TAXABLE SALES-ART/TECH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--95.4</f>
        <v>95.4</v>
      </c>
      <c r="Q31" s="2"/>
      <c r="R31" s="19"/>
      <c r="S31" s="2"/>
      <c r="T31" s="2"/>
      <c r="U31" s="2"/>
      <c r="V31" s="19"/>
      <c r="W31" s="2"/>
      <c r="X31" s="2">
        <f t="shared" si="2"/>
        <v>95.4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"4131", " - ", "NON-TAXABLE SALES-FOOD")</f>
        <v xml:space="preserve">          4131 - NON-TAXABLE SALES-FOOD</v>
      </c>
      <c r="C32" s="11"/>
      <c r="D32" s="2">
        <f>--3897.56</f>
        <v>3897.56</v>
      </c>
      <c r="E32" s="2"/>
      <c r="F32" s="19"/>
      <c r="G32" s="2"/>
      <c r="H32" s="2"/>
      <c r="I32" s="2"/>
      <c r="J32" s="19"/>
      <c r="K32" s="2"/>
      <c r="L32" s="2">
        <f t="shared" si="0"/>
        <v>3897.56</v>
      </c>
      <c r="M32" s="2"/>
      <c r="N32" s="19">
        <f t="shared" si="1"/>
        <v>0</v>
      </c>
      <c r="O32" s="11"/>
      <c r="P32" s="2">
        <f>--38131.24</f>
        <v>38131.24</v>
      </c>
      <c r="Q32" s="2"/>
      <c r="R32" s="19"/>
      <c r="S32" s="2"/>
      <c r="T32" s="2"/>
      <c r="U32" s="2"/>
      <c r="V32" s="19"/>
      <c r="W32" s="2"/>
      <c r="X32" s="2">
        <f t="shared" si="2"/>
        <v>38131.24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"4132", " - ", "NON-TAXABLE SALES-JUICE")</f>
        <v xml:space="preserve">          4132 - NON-TAXABLE SALES-JUICE</v>
      </c>
      <c r="C33" s="11"/>
      <c r="D33" s="2">
        <f>--1170.81</f>
        <v>1170.81</v>
      </c>
      <c r="E33" s="2"/>
      <c r="F33" s="19"/>
      <c r="G33" s="2"/>
      <c r="H33" s="2"/>
      <c r="I33" s="2"/>
      <c r="J33" s="19"/>
      <c r="K33" s="2"/>
      <c r="L33" s="2">
        <f t="shared" si="0"/>
        <v>1170.81</v>
      </c>
      <c r="M33" s="2"/>
      <c r="N33" s="19">
        <f t="shared" si="1"/>
        <v>0</v>
      </c>
      <c r="O33" s="11"/>
      <c r="P33" s="2">
        <f>--11445.2</f>
        <v>11445.2</v>
      </c>
      <c r="Q33" s="2"/>
      <c r="R33" s="19"/>
      <c r="S33" s="2"/>
      <c r="T33" s="2"/>
      <c r="U33" s="2"/>
      <c r="V33" s="19"/>
      <c r="W33" s="2"/>
      <c r="X33" s="2">
        <f t="shared" si="2"/>
        <v>11445.2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"4133", " - ", "NON-TAXABLE SALES-CANDY")</f>
        <v xml:space="preserve">          4133 - NON-TAXABLE SALES-CANDY</v>
      </c>
      <c r="C34" s="11"/>
      <c r="D34" s="2">
        <f>--1131.55</f>
        <v>1131.55</v>
      </c>
      <c r="E34" s="2"/>
      <c r="F34" s="19"/>
      <c r="G34" s="2"/>
      <c r="H34" s="2"/>
      <c r="I34" s="2"/>
      <c r="J34" s="19"/>
      <c r="K34" s="2"/>
      <c r="L34" s="2">
        <f t="shared" si="0"/>
        <v>1131.55</v>
      </c>
      <c r="M34" s="2"/>
      <c r="N34" s="19">
        <f t="shared" si="1"/>
        <v>0</v>
      </c>
      <c r="O34" s="11"/>
      <c r="P34" s="2">
        <f>--10606.99</f>
        <v>10606.99</v>
      </c>
      <c r="Q34" s="2"/>
      <c r="R34" s="19"/>
      <c r="S34" s="2"/>
      <c r="T34" s="2"/>
      <c r="U34" s="2"/>
      <c r="V34" s="19"/>
      <c r="W34" s="2"/>
      <c r="X34" s="2">
        <f t="shared" si="2"/>
        <v>10606.99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"4135", " - ", "NON-TAXABLE SALES")</f>
        <v xml:space="preserve">          4135 - NON-TAXABLE SALES</v>
      </c>
      <c r="C35" s="11"/>
      <c r="D35" s="2">
        <f>--3.59</f>
        <v>3.59</v>
      </c>
      <c r="E35" s="2"/>
      <c r="F35" s="19"/>
      <c r="G35" s="2"/>
      <c r="H35" s="2"/>
      <c r="I35" s="2"/>
      <c r="J35" s="19"/>
      <c r="K35" s="2"/>
      <c r="L35" s="2">
        <f t="shared" si="0"/>
        <v>3.59</v>
      </c>
      <c r="M35" s="2"/>
      <c r="N35" s="19">
        <f t="shared" si="1"/>
        <v>0</v>
      </c>
      <c r="O35" s="11"/>
      <c r="P35" s="2">
        <f>--68.16</f>
        <v>68.16</v>
      </c>
      <c r="Q35" s="2"/>
      <c r="R35" s="19"/>
      <c r="S35" s="2"/>
      <c r="T35" s="2"/>
      <c r="U35" s="2"/>
      <c r="V35" s="19"/>
      <c r="W35" s="2"/>
      <c r="X35" s="2">
        <f t="shared" si="2"/>
        <v>68.16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"4137", " - ", "NON-TAXABLE SALES-WATER")</f>
        <v xml:space="preserve">          4137 - NON-TAXABLE SALES-WATER</v>
      </c>
      <c r="C36" s="11"/>
      <c r="D36" s="2">
        <f>--617.73</f>
        <v>617.73</v>
      </c>
      <c r="E36" s="2"/>
      <c r="F36" s="19"/>
      <c r="G36" s="2"/>
      <c r="H36" s="2"/>
      <c r="I36" s="2"/>
      <c r="J36" s="19"/>
      <c r="K36" s="2"/>
      <c r="L36" s="2">
        <f t="shared" si="0"/>
        <v>617.73</v>
      </c>
      <c r="M36" s="2"/>
      <c r="N36" s="19">
        <f t="shared" si="1"/>
        <v>0</v>
      </c>
      <c r="O36" s="11"/>
      <c r="P36" s="2">
        <f>--5820.07</f>
        <v>5820.07</v>
      </c>
      <c r="Q36" s="2"/>
      <c r="R36" s="19"/>
      <c r="S36" s="2"/>
      <c r="T36" s="2"/>
      <c r="U36" s="2"/>
      <c r="V36" s="19"/>
      <c r="W36" s="2"/>
      <c r="X36" s="2">
        <f t="shared" si="2"/>
        <v>5820.07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-30.97</f>
        <v>-30.97</v>
      </c>
      <c r="Q37" s="2"/>
      <c r="R37" s="19"/>
      <c r="S37" s="2"/>
      <c r="T37" s="2"/>
      <c r="U37" s="2"/>
      <c r="V37" s="19"/>
      <c r="W37" s="2"/>
      <c r="X37" s="2">
        <f t="shared" si="2"/>
        <v>-30.97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"4225", " - ", "SALES RETURN TAXABLE-TEST FORM")</f>
        <v xml:space="preserve">          4225 - SALES RETURN TAXABLE-TEST FORM</v>
      </c>
      <c r="C38" s="11"/>
      <c r="D38" s="2">
        <f>-0.9</f>
        <v>-0.9</v>
      </c>
      <c r="E38" s="2"/>
      <c r="F38" s="19"/>
      <c r="G38" s="2"/>
      <c r="H38" s="2"/>
      <c r="I38" s="2"/>
      <c r="J38" s="19"/>
      <c r="K38" s="2"/>
      <c r="L38" s="2">
        <f t="shared" si="0"/>
        <v>-0.9</v>
      </c>
      <c r="M38" s="2"/>
      <c r="N38" s="19">
        <f t="shared" si="1"/>
        <v>0</v>
      </c>
      <c r="O38" s="11"/>
      <c r="P38" s="2">
        <f>-1.39</f>
        <v>-1.39</v>
      </c>
      <c r="Q38" s="2"/>
      <c r="R38" s="19"/>
      <c r="S38" s="2"/>
      <c r="T38" s="2"/>
      <c r="U38" s="2"/>
      <c r="V38" s="19"/>
      <c r="W38" s="2"/>
      <c r="X38" s="2">
        <f t="shared" si="2"/>
        <v>-1.39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-0.79</f>
        <v>-0.79</v>
      </c>
      <c r="E39" s="2"/>
      <c r="F39" s="19"/>
      <c r="G39" s="2"/>
      <c r="H39" s="2"/>
      <c r="I39" s="2"/>
      <c r="J39" s="19"/>
      <c r="K39" s="2"/>
      <c r="L39" s="2">
        <f t="shared" si="0"/>
        <v>-0.79</v>
      </c>
      <c r="M39" s="2"/>
      <c r="N39" s="19">
        <f t="shared" si="1"/>
        <v>0</v>
      </c>
      <c r="O39" s="11"/>
      <c r="P39" s="2">
        <f>-6.77</f>
        <v>-6.77</v>
      </c>
      <c r="Q39" s="2"/>
      <c r="R39" s="19"/>
      <c r="S39" s="2"/>
      <c r="T39" s="2"/>
      <c r="U39" s="2"/>
      <c r="V39" s="19"/>
      <c r="W39" s="2"/>
      <c r="X39" s="2">
        <f t="shared" si="2"/>
        <v>-6.77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-2.49</f>
        <v>-2.4900000000000002</v>
      </c>
      <c r="E40" s="2"/>
      <c r="F40" s="19"/>
      <c r="G40" s="2"/>
      <c r="H40" s="2"/>
      <c r="I40" s="2"/>
      <c r="J40" s="19"/>
      <c r="K40" s="2"/>
      <c r="L40" s="2">
        <f t="shared" si="0"/>
        <v>-2.4900000000000002</v>
      </c>
      <c r="M40" s="2"/>
      <c r="N40" s="19">
        <f t="shared" si="1"/>
        <v>0</v>
      </c>
      <c r="O40" s="11"/>
      <c r="P40" s="2">
        <f>-27.98</f>
        <v>-27.98</v>
      </c>
      <c r="Q40" s="2"/>
      <c r="R40" s="19"/>
      <c r="S40" s="2"/>
      <c r="T40" s="2"/>
      <c r="U40" s="2"/>
      <c r="V40" s="19"/>
      <c r="W40" s="2"/>
      <c r="X40" s="2">
        <f t="shared" si="2"/>
        <v>-27.98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-277.33</f>
        <v>-277.33</v>
      </c>
      <c r="E41" s="2"/>
      <c r="F41" s="19"/>
      <c r="G41" s="2"/>
      <c r="H41" s="2"/>
      <c r="I41" s="2"/>
      <c r="J41" s="19"/>
      <c r="K41" s="2"/>
      <c r="L41" s="2">
        <f t="shared" si="0"/>
        <v>-277.33</v>
      </c>
      <c r="M41" s="2"/>
      <c r="N41" s="19">
        <f t="shared" si="1"/>
        <v>0</v>
      </c>
      <c r="O41" s="11"/>
      <c r="P41" s="2">
        <f>-2910.87</f>
        <v>-2910.87</v>
      </c>
      <c r="Q41" s="2"/>
      <c r="R41" s="19"/>
      <c r="S41" s="2"/>
      <c r="T41" s="2"/>
      <c r="U41" s="2"/>
      <c r="V41" s="19"/>
      <c r="W41" s="2"/>
      <c r="X41" s="2">
        <f t="shared" si="2"/>
        <v>-2910.87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"4233", " - ", "SALES RETURN TAXABLE-CANDY")</f>
        <v xml:space="preserve">          4233 - SALES RETURN TAXABLE-CANDY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-1.29</f>
        <v>-1.29</v>
      </c>
      <c r="Q42" s="2"/>
      <c r="R42" s="19"/>
      <c r="S42" s="2"/>
      <c r="T42" s="2"/>
      <c r="U42" s="2"/>
      <c r="V42" s="19"/>
      <c r="W42" s="2"/>
      <c r="X42" s="2">
        <f t="shared" si="2"/>
        <v>-1.29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"4281", " - ", "SALES RETURN TAXABLE-ELECTRONI")</f>
        <v xml:space="preserve">          4281 - SALES RETURN TAXABLE-ELECTRONI</v>
      </c>
      <c r="C43" s="11"/>
      <c r="D43" s="2">
        <f>-9.99</f>
        <v>-9.99</v>
      </c>
      <c r="E43" s="2"/>
      <c r="F43" s="19"/>
      <c r="G43" s="2"/>
      <c r="H43" s="2"/>
      <c r="I43" s="2"/>
      <c r="J43" s="19"/>
      <c r="K43" s="2"/>
      <c r="L43" s="2">
        <f t="shared" si="0"/>
        <v>-9.99</v>
      </c>
      <c r="M43" s="2"/>
      <c r="N43" s="19">
        <f t="shared" si="1"/>
        <v>0</v>
      </c>
      <c r="O43" s="11"/>
      <c r="P43" s="2">
        <f>-54.97</f>
        <v>-54.97</v>
      </c>
      <c r="Q43" s="2"/>
      <c r="R43" s="19"/>
      <c r="S43" s="2"/>
      <c r="T43" s="2"/>
      <c r="U43" s="2"/>
      <c r="V43" s="19"/>
      <c r="W43" s="2"/>
      <c r="X43" s="2">
        <f t="shared" si="2"/>
        <v>-54.97</v>
      </c>
      <c r="Y43" s="2"/>
      <c r="Z43" s="19">
        <f t="shared" si="3"/>
        <v>0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8" t="s">
        <v>8</v>
      </c>
      <c r="C45" s="10"/>
      <c r="D45" s="4">
        <f>SUM(OSRRefD16x_0)</f>
        <v>11423.37</v>
      </c>
      <c r="E45" s="4"/>
      <c r="F45" s="12">
        <f t="shared" ref="F45:F66" si="5">IF(D$12=0,0,D45/D$12)</f>
        <v>0.52585068773131549</v>
      </c>
      <c r="G45" s="4"/>
      <c r="H45" s="4">
        <f>SUM(OSRRefH16x_0)</f>
        <v>13354</v>
      </c>
      <c r="I45" s="4"/>
      <c r="J45" s="12">
        <f t="shared" ref="J45:J66" si="6">IF(H$12=0,0,H45/H$12)</f>
        <v>0.44764011799410031</v>
      </c>
      <c r="K45" s="4"/>
      <c r="L45" s="4">
        <f t="shared" ref="L45:L66" si="7">+D45-H45</f>
        <v>-1930.6299999999992</v>
      </c>
      <c r="M45" s="4"/>
      <c r="N45" s="12">
        <f t="shared" ref="N45:N66" si="8">IF(H45=0,0,L45/H45)</f>
        <v>-0.14457316159952069</v>
      </c>
      <c r="O45" s="10"/>
      <c r="P45" s="4">
        <f>SUM(OSRRefP16x_0)</f>
        <v>141187.01</v>
      </c>
      <c r="Q45" s="4"/>
      <c r="R45" s="12">
        <f t="shared" ref="R45:R66" si="9">IF(P$12=0,0,P45/P$12)</f>
        <v>0.52516313357815914</v>
      </c>
      <c r="S45" s="4"/>
      <c r="T45" s="4">
        <f>SUM(OSRRefT16x_0)</f>
        <v>125838.00000000001</v>
      </c>
      <c r="U45" s="4"/>
      <c r="V45" s="12">
        <f t="shared" ref="V45:V66" si="10">IF(T$12=0,0,T45/T$12)</f>
        <v>0.4376425908407991</v>
      </c>
      <c r="W45" s="4"/>
      <c r="X45" s="4">
        <f t="shared" ref="X45:X66" si="11">+P45-T45</f>
        <v>15349.009999999995</v>
      </c>
      <c r="Y45" s="4"/>
      <c r="Z45" s="12">
        <f t="shared" ref="Z45:Z66" si="12">IF(T45=0,0,X45/T45)</f>
        <v>0.12197436386465133</v>
      </c>
    </row>
    <row r="46" spans="1:26" s="24" customFormat="1" hidden="1" outlineLevel="1" x14ac:dyDescent="0.25">
      <c r="A46" s="44"/>
      <c r="B46" s="11" t="str">
        <f>CONCATENATE("          ", "5000", " - ", "PURCHASES @ COST")</f>
        <v xml:space="preserve">          5000 - PURCHASES @ COST</v>
      </c>
      <c r="C46" s="11"/>
      <c r="D46" s="2"/>
      <c r="E46" s="2"/>
      <c r="F46" s="19">
        <f t="shared" si="5"/>
        <v>0</v>
      </c>
      <c r="G46" s="2"/>
      <c r="H46" s="2">
        <v>13354</v>
      </c>
      <c r="I46" s="2"/>
      <c r="J46" s="19">
        <f t="shared" si="6"/>
        <v>0.44764011799410031</v>
      </c>
      <c r="K46" s="2"/>
      <c r="L46" s="2">
        <f t="shared" si="7"/>
        <v>-13354</v>
      </c>
      <c r="M46" s="2"/>
      <c r="N46" s="19">
        <f t="shared" si="8"/>
        <v>-1</v>
      </c>
      <c r="O46" s="11"/>
      <c r="P46" s="2"/>
      <c r="Q46" s="2"/>
      <c r="R46" s="19">
        <f t="shared" si="9"/>
        <v>0</v>
      </c>
      <c r="S46" s="2"/>
      <c r="T46" s="2">
        <v>125838.00000000001</v>
      </c>
      <c r="U46" s="2"/>
      <c r="V46" s="19">
        <f t="shared" si="10"/>
        <v>0.4376425908407991</v>
      </c>
      <c r="W46" s="2"/>
      <c r="X46" s="2">
        <f t="shared" si="11"/>
        <v>-125838.00000000001</v>
      </c>
      <c r="Y46" s="2"/>
      <c r="Z46" s="19">
        <f t="shared" si="12"/>
        <v>-1</v>
      </c>
    </row>
    <row r="47" spans="1:26" s="24" customFormat="1" hidden="1" outlineLevel="1" x14ac:dyDescent="0.25">
      <c r="A47" s="44"/>
      <c r="B47" s="11" t="str">
        <f>CONCATENATE("          ", "5014", " - ", "PURCHASES @ COST-REMAINDERS")</f>
        <v xml:space="preserve">          5014 - PURCHASES @ COST-REMAINDERS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14.46</v>
      </c>
      <c r="Q47" s="2"/>
      <c r="R47" s="19">
        <f t="shared" si="9"/>
        <v>5.3785818621275287E-5</v>
      </c>
      <c r="S47" s="2"/>
      <c r="T47" s="2"/>
      <c r="U47" s="2"/>
      <c r="V47" s="19">
        <f t="shared" si="10"/>
        <v>0</v>
      </c>
      <c r="W47" s="2"/>
      <c r="X47" s="2">
        <f t="shared" si="11"/>
        <v>14.46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"5025", " - ", "PURCHASES @ COST-TEST FORMS")</f>
        <v xml:space="preserve">          5025 - PURCHASES @ COST-TEST FORMS</v>
      </c>
      <c r="C48" s="11"/>
      <c r="D48" s="2">
        <v>68.08</v>
      </c>
      <c r="E48" s="2"/>
      <c r="F48" s="19">
        <f t="shared" si="5"/>
        <v>3.1339188716419022E-3</v>
      </c>
      <c r="G48" s="2"/>
      <c r="H48" s="2"/>
      <c r="I48" s="2"/>
      <c r="J48" s="19">
        <f t="shared" si="6"/>
        <v>0</v>
      </c>
      <c r="K48" s="2"/>
      <c r="L48" s="2">
        <f t="shared" si="7"/>
        <v>68.08</v>
      </c>
      <c r="M48" s="2"/>
      <c r="N48" s="19">
        <f t="shared" si="8"/>
        <v>0</v>
      </c>
      <c r="O48" s="11"/>
      <c r="P48" s="2">
        <v>472.36</v>
      </c>
      <c r="Q48" s="2"/>
      <c r="R48" s="19">
        <f t="shared" si="9"/>
        <v>1.7570034082949927E-3</v>
      </c>
      <c r="S48" s="2"/>
      <c r="T48" s="2"/>
      <c r="U48" s="2"/>
      <c r="V48" s="19">
        <f t="shared" si="10"/>
        <v>0</v>
      </c>
      <c r="W48" s="2"/>
      <c r="X48" s="2">
        <f t="shared" si="11"/>
        <v>472.36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"5026", " - ", "PURCHASES @ COST-WRITING INSTR")</f>
        <v xml:space="preserve">          5026 - PURCHASES @ COST-WRITING INSTR</v>
      </c>
      <c r="C49" s="11"/>
      <c r="D49" s="2">
        <v>10.68</v>
      </c>
      <c r="E49" s="2"/>
      <c r="F49" s="19">
        <f t="shared" si="5"/>
        <v>4.9163122134452872E-4</v>
      </c>
      <c r="G49" s="2"/>
      <c r="H49" s="2"/>
      <c r="I49" s="2"/>
      <c r="J49" s="19">
        <f t="shared" si="6"/>
        <v>0</v>
      </c>
      <c r="K49" s="2"/>
      <c r="L49" s="2">
        <f t="shared" si="7"/>
        <v>10.68</v>
      </c>
      <c r="M49" s="2"/>
      <c r="N49" s="19">
        <f t="shared" si="8"/>
        <v>0</v>
      </c>
      <c r="O49" s="11"/>
      <c r="P49" s="2">
        <v>2588.19</v>
      </c>
      <c r="Q49" s="2"/>
      <c r="R49" s="19">
        <f t="shared" si="9"/>
        <v>9.6271035890317068E-3</v>
      </c>
      <c r="S49" s="2"/>
      <c r="T49" s="2"/>
      <c r="U49" s="2"/>
      <c r="V49" s="19">
        <f t="shared" si="10"/>
        <v>0</v>
      </c>
      <c r="W49" s="2"/>
      <c r="X49" s="2">
        <f t="shared" si="11"/>
        <v>2588.19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"5027", " - ", "PURCHASES @ COST-SCHOOL SUPPLI")</f>
        <v xml:space="preserve">          5027 - PURCHASES @ COST-SCHOOL SUPPLI</v>
      </c>
      <c r="C50" s="11"/>
      <c r="D50" s="2">
        <v>86.87</v>
      </c>
      <c r="E50" s="2"/>
      <c r="F50" s="19">
        <f t="shared" si="5"/>
        <v>3.9988767975841959E-3</v>
      </c>
      <c r="G50" s="2"/>
      <c r="H50" s="2"/>
      <c r="I50" s="2"/>
      <c r="J50" s="19">
        <f t="shared" si="6"/>
        <v>0</v>
      </c>
      <c r="K50" s="2"/>
      <c r="L50" s="2">
        <f t="shared" si="7"/>
        <v>86.87</v>
      </c>
      <c r="M50" s="2"/>
      <c r="N50" s="19">
        <f t="shared" si="8"/>
        <v>0</v>
      </c>
      <c r="O50" s="11"/>
      <c r="P50" s="2">
        <v>1941.94</v>
      </c>
      <c r="Q50" s="2"/>
      <c r="R50" s="19">
        <f t="shared" si="9"/>
        <v>7.2232940949792067E-3</v>
      </c>
      <c r="S50" s="2"/>
      <c r="T50" s="2"/>
      <c r="U50" s="2"/>
      <c r="V50" s="19">
        <f t="shared" si="10"/>
        <v>0</v>
      </c>
      <c r="W50" s="2"/>
      <c r="X50" s="2">
        <f t="shared" si="11"/>
        <v>1941.94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"5028", " - ", "PURCHASES @ COST-ART/TECH")</f>
        <v xml:space="preserve">          5028 - PURCHASES @ COST-ART/TECH</v>
      </c>
      <c r="C51" s="11"/>
      <c r="D51" s="2">
        <v>7498.58</v>
      </c>
      <c r="E51" s="2"/>
      <c r="F51" s="19">
        <f t="shared" si="5"/>
        <v>0.34518127750464944</v>
      </c>
      <c r="G51" s="2"/>
      <c r="H51" s="2"/>
      <c r="I51" s="2"/>
      <c r="J51" s="19">
        <f t="shared" si="6"/>
        <v>0</v>
      </c>
      <c r="K51" s="2"/>
      <c r="L51" s="2">
        <f t="shared" si="7"/>
        <v>7498.58</v>
      </c>
      <c r="M51" s="2"/>
      <c r="N51" s="19">
        <f t="shared" si="8"/>
        <v>0</v>
      </c>
      <c r="O51" s="11"/>
      <c r="P51" s="2">
        <v>99490.83</v>
      </c>
      <c r="Q51" s="2"/>
      <c r="R51" s="19">
        <f t="shared" si="9"/>
        <v>0.37006886147027207</v>
      </c>
      <c r="S51" s="2"/>
      <c r="T51" s="2"/>
      <c r="U51" s="2"/>
      <c r="V51" s="19">
        <f t="shared" si="10"/>
        <v>0</v>
      </c>
      <c r="W51" s="2"/>
      <c r="X51" s="2">
        <f t="shared" si="11"/>
        <v>99490.83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"5031", " - ", "PURCHASES @ COST-FOOD")</f>
        <v xml:space="preserve">          5031 - PURCHASES @ COST-FOOD</v>
      </c>
      <c r="C52" s="11"/>
      <c r="D52" s="2">
        <v>1692.91</v>
      </c>
      <c r="E52" s="2"/>
      <c r="F52" s="19">
        <f t="shared" si="5"/>
        <v>7.7929532858273989E-2</v>
      </c>
      <c r="G52" s="2"/>
      <c r="H52" s="2"/>
      <c r="I52" s="2"/>
      <c r="J52" s="19">
        <f t="shared" si="6"/>
        <v>0</v>
      </c>
      <c r="K52" s="2"/>
      <c r="L52" s="2">
        <f t="shared" si="7"/>
        <v>1692.91</v>
      </c>
      <c r="M52" s="2"/>
      <c r="N52" s="19">
        <f t="shared" si="8"/>
        <v>0</v>
      </c>
      <c r="O52" s="11"/>
      <c r="P52" s="2">
        <v>22241.56</v>
      </c>
      <c r="Q52" s="2"/>
      <c r="R52" s="19">
        <f t="shared" si="9"/>
        <v>8.2730325865436494E-2</v>
      </c>
      <c r="S52" s="2"/>
      <c r="T52" s="2"/>
      <c r="U52" s="2"/>
      <c r="V52" s="19">
        <f t="shared" si="10"/>
        <v>0</v>
      </c>
      <c r="W52" s="2"/>
      <c r="X52" s="2">
        <f t="shared" si="11"/>
        <v>22241.56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"5032", " - ", "PURCHASES @ COST-JUICE")</f>
        <v xml:space="preserve">          5032 - PURCHASES @ COST-JUICE</v>
      </c>
      <c r="C53" s="11"/>
      <c r="D53" s="2">
        <v>358.99</v>
      </c>
      <c r="E53" s="2"/>
      <c r="F53" s="19">
        <f t="shared" si="5"/>
        <v>1.6525345706973067E-2</v>
      </c>
      <c r="G53" s="2"/>
      <c r="H53" s="2"/>
      <c r="I53" s="2"/>
      <c r="J53" s="19">
        <f t="shared" si="6"/>
        <v>0</v>
      </c>
      <c r="K53" s="2"/>
      <c r="L53" s="2">
        <f t="shared" si="7"/>
        <v>358.99</v>
      </c>
      <c r="M53" s="2"/>
      <c r="N53" s="19">
        <f t="shared" si="8"/>
        <v>0</v>
      </c>
      <c r="O53" s="11"/>
      <c r="P53" s="2">
        <v>5021.4799999999996</v>
      </c>
      <c r="Q53" s="2"/>
      <c r="R53" s="19">
        <f t="shared" si="9"/>
        <v>1.8678036825059571E-2</v>
      </c>
      <c r="S53" s="2"/>
      <c r="T53" s="2"/>
      <c r="U53" s="2"/>
      <c r="V53" s="19">
        <f t="shared" si="10"/>
        <v>0</v>
      </c>
      <c r="W53" s="2"/>
      <c r="X53" s="2">
        <f t="shared" si="11"/>
        <v>5021.4799999999996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"5033", " - ", "PURCHASES @ COST-CANDY")</f>
        <v xml:space="preserve">          5033 - PURCHASES @ COST-CANDY</v>
      </c>
      <c r="C54" s="11"/>
      <c r="D54" s="2">
        <v>259.47000000000003</v>
      </c>
      <c r="E54" s="2"/>
      <c r="F54" s="19">
        <f t="shared" si="5"/>
        <v>1.194415290283379E-2</v>
      </c>
      <c r="G54" s="2"/>
      <c r="H54" s="2"/>
      <c r="I54" s="2"/>
      <c r="J54" s="19">
        <f t="shared" si="6"/>
        <v>0</v>
      </c>
      <c r="K54" s="2"/>
      <c r="L54" s="2">
        <f t="shared" si="7"/>
        <v>259.47000000000003</v>
      </c>
      <c r="M54" s="2"/>
      <c r="N54" s="19">
        <f t="shared" si="8"/>
        <v>0</v>
      </c>
      <c r="O54" s="11"/>
      <c r="P54" s="2">
        <v>5908.33</v>
      </c>
      <c r="Q54" s="2"/>
      <c r="R54" s="19">
        <f t="shared" si="9"/>
        <v>2.1976788778329141E-2</v>
      </c>
      <c r="S54" s="2"/>
      <c r="T54" s="2"/>
      <c r="U54" s="2"/>
      <c r="V54" s="19">
        <f t="shared" si="10"/>
        <v>0</v>
      </c>
      <c r="W54" s="2"/>
      <c r="X54" s="2">
        <f t="shared" si="11"/>
        <v>5908.33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"5034", " - ", "PURCHASES @ COST-SODA")</f>
        <v xml:space="preserve">          5034 - PURCHASES @ COST-SODA</v>
      </c>
      <c r="C55" s="11"/>
      <c r="D55" s="2">
        <v>42.24</v>
      </c>
      <c r="E55" s="2"/>
      <c r="F55" s="19">
        <f t="shared" si="5"/>
        <v>1.9444291001491473E-3</v>
      </c>
      <c r="G55" s="2"/>
      <c r="H55" s="2"/>
      <c r="I55" s="2"/>
      <c r="J55" s="19">
        <f t="shared" si="6"/>
        <v>0</v>
      </c>
      <c r="K55" s="2"/>
      <c r="L55" s="2">
        <f t="shared" si="7"/>
        <v>42.24</v>
      </c>
      <c r="M55" s="2"/>
      <c r="N55" s="19">
        <f t="shared" si="8"/>
        <v>0</v>
      </c>
      <c r="O55" s="11"/>
      <c r="P55" s="2">
        <v>2124.16</v>
      </c>
      <c r="Q55" s="2"/>
      <c r="R55" s="19">
        <f t="shared" si="9"/>
        <v>7.9010846806755256E-3</v>
      </c>
      <c r="S55" s="2"/>
      <c r="T55" s="2"/>
      <c r="U55" s="2"/>
      <c r="V55" s="19">
        <f t="shared" si="10"/>
        <v>0</v>
      </c>
      <c r="W55" s="2"/>
      <c r="X55" s="2">
        <f t="shared" si="11"/>
        <v>2124.16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"5035", " - ", "PURCHASES @ COST-HEALTH &amp; BEAU")</f>
        <v xml:space="preserve">          5035 - PURCHASES @ COST-HEALTH &amp; BEAU</v>
      </c>
      <c r="C56" s="11"/>
      <c r="D56" s="2">
        <v>21.41</v>
      </c>
      <c r="E56" s="2"/>
      <c r="F56" s="19">
        <f t="shared" si="5"/>
        <v>9.8556408698374158E-4</v>
      </c>
      <c r="G56" s="2"/>
      <c r="H56" s="2"/>
      <c r="I56" s="2"/>
      <c r="J56" s="19">
        <f t="shared" si="6"/>
        <v>0</v>
      </c>
      <c r="K56" s="2"/>
      <c r="L56" s="2">
        <f t="shared" si="7"/>
        <v>21.41</v>
      </c>
      <c r="M56" s="2"/>
      <c r="N56" s="19">
        <f t="shared" si="8"/>
        <v>0</v>
      </c>
      <c r="O56" s="11"/>
      <c r="P56" s="2">
        <v>788.13</v>
      </c>
      <c r="Q56" s="2"/>
      <c r="R56" s="19">
        <f t="shared" si="9"/>
        <v>2.9315502925301305E-3</v>
      </c>
      <c r="S56" s="2"/>
      <c r="T56" s="2"/>
      <c r="U56" s="2"/>
      <c r="V56" s="19">
        <f t="shared" si="10"/>
        <v>0</v>
      </c>
      <c r="W56" s="2"/>
      <c r="X56" s="2">
        <f t="shared" si="11"/>
        <v>788.13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"5037", " - ", "PURCHASES @ COST-WATER")</f>
        <v xml:space="preserve">          5037 - PURCHASES @ COST-WATER</v>
      </c>
      <c r="C57" s="11"/>
      <c r="D57" s="2">
        <v>235.9</v>
      </c>
      <c r="E57" s="2"/>
      <c r="F57" s="19">
        <f t="shared" si="5"/>
        <v>1.0859157782319695E-2</v>
      </c>
      <c r="G57" s="2"/>
      <c r="H57" s="2"/>
      <c r="I57" s="2"/>
      <c r="J57" s="19">
        <f t="shared" si="6"/>
        <v>0</v>
      </c>
      <c r="K57" s="2"/>
      <c r="L57" s="2">
        <f t="shared" si="7"/>
        <v>235.9</v>
      </c>
      <c r="M57" s="2"/>
      <c r="N57" s="19">
        <f t="shared" si="8"/>
        <v>0</v>
      </c>
      <c r="O57" s="11"/>
      <c r="P57" s="2">
        <v>3729.51</v>
      </c>
      <c r="Q57" s="2"/>
      <c r="R57" s="19">
        <f t="shared" si="9"/>
        <v>1.3872389239711784E-2</v>
      </c>
      <c r="S57" s="2"/>
      <c r="T57" s="2"/>
      <c r="U57" s="2"/>
      <c r="V57" s="19">
        <f t="shared" si="10"/>
        <v>0</v>
      </c>
      <c r="W57" s="2"/>
      <c r="X57" s="2">
        <f t="shared" si="11"/>
        <v>3729.51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"5081", " - ", "PURCHASES @ COST-ELECTRONICS")</f>
        <v xml:space="preserve">          5081 - PURCHASES @ COST-ELECTRONICS</v>
      </c>
      <c r="C58" s="11"/>
      <c r="D58" s="2">
        <v>526.74</v>
      </c>
      <c r="E58" s="2"/>
      <c r="F58" s="19">
        <f t="shared" si="5"/>
        <v>2.4247362315638302E-2</v>
      </c>
      <c r="G58" s="2"/>
      <c r="H58" s="2"/>
      <c r="I58" s="2"/>
      <c r="J58" s="19">
        <f t="shared" si="6"/>
        <v>0</v>
      </c>
      <c r="K58" s="2"/>
      <c r="L58" s="2">
        <f t="shared" si="7"/>
        <v>526.74</v>
      </c>
      <c r="M58" s="2"/>
      <c r="N58" s="19">
        <f t="shared" si="8"/>
        <v>0</v>
      </c>
      <c r="O58" s="11"/>
      <c r="P58" s="2">
        <v>1771.55</v>
      </c>
      <c r="Q58" s="2"/>
      <c r="R58" s="19">
        <f t="shared" si="9"/>
        <v>6.5895067066749817E-3</v>
      </c>
      <c r="S58" s="2"/>
      <c r="T58" s="2"/>
      <c r="U58" s="2"/>
      <c r="V58" s="19">
        <f t="shared" si="10"/>
        <v>0</v>
      </c>
      <c r="W58" s="2"/>
      <c r="X58" s="2">
        <f t="shared" si="11"/>
        <v>1771.55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"5082", " - ", "PURCHASES @ COST-COMPUTER HARD")</f>
        <v xml:space="preserve">          5082 - PURCHASES @ COST-COMPUTER HARD</v>
      </c>
      <c r="C59" s="11"/>
      <c r="D59" s="2">
        <v>105</v>
      </c>
      <c r="E59" s="2"/>
      <c r="F59" s="19">
        <f t="shared" si="5"/>
        <v>4.8334530188366585E-3</v>
      </c>
      <c r="G59" s="2"/>
      <c r="H59" s="2"/>
      <c r="I59" s="2"/>
      <c r="J59" s="19">
        <f t="shared" si="6"/>
        <v>0</v>
      </c>
      <c r="K59" s="2"/>
      <c r="L59" s="2">
        <f t="shared" si="7"/>
        <v>105</v>
      </c>
      <c r="M59" s="2"/>
      <c r="N59" s="19">
        <f t="shared" si="8"/>
        <v>0</v>
      </c>
      <c r="O59" s="11"/>
      <c r="P59" s="2">
        <v>349.6</v>
      </c>
      <c r="Q59" s="2"/>
      <c r="R59" s="19">
        <f t="shared" si="9"/>
        <v>1.3003818941907221E-3</v>
      </c>
      <c r="S59" s="2"/>
      <c r="T59" s="2"/>
      <c r="U59" s="2"/>
      <c r="V59" s="19">
        <f t="shared" si="10"/>
        <v>0</v>
      </c>
      <c r="W59" s="2"/>
      <c r="X59" s="2">
        <f t="shared" si="11"/>
        <v>349.6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"5083", " - ", "PURCHASES @ COST-COMPUTER EQUI")</f>
        <v xml:space="preserve">          5083 - PURCHASES @ COST-COMPUTER EQUI</v>
      </c>
      <c r="C60" s="11"/>
      <c r="D60" s="2">
        <v>147.19999999999999</v>
      </c>
      <c r="E60" s="2"/>
      <c r="F60" s="19">
        <f t="shared" si="5"/>
        <v>6.7760408035500586E-3</v>
      </c>
      <c r="G60" s="2"/>
      <c r="H60" s="2"/>
      <c r="I60" s="2"/>
      <c r="J60" s="19">
        <f t="shared" si="6"/>
        <v>0</v>
      </c>
      <c r="K60" s="2"/>
      <c r="L60" s="2">
        <f t="shared" si="7"/>
        <v>147.19999999999999</v>
      </c>
      <c r="M60" s="2"/>
      <c r="N60" s="19">
        <f t="shared" si="8"/>
        <v>0</v>
      </c>
      <c r="O60" s="11"/>
      <c r="P60" s="2">
        <v>339.4</v>
      </c>
      <c r="Q60" s="2"/>
      <c r="R60" s="19">
        <f t="shared" si="9"/>
        <v>1.2624416901840132E-3</v>
      </c>
      <c r="S60" s="2"/>
      <c r="T60" s="2"/>
      <c r="U60" s="2"/>
      <c r="V60" s="19">
        <f t="shared" si="10"/>
        <v>0</v>
      </c>
      <c r="W60" s="2"/>
      <c r="X60" s="2">
        <f t="shared" si="11"/>
        <v>339.4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"5086", " - ", "PURCHASES @ COST-COMPUTER SUPP")</f>
        <v xml:space="preserve">          5086 - PURCHASES @ COST-COMPUTER SUPP</v>
      </c>
      <c r="C61" s="11"/>
      <c r="D61" s="2">
        <v>151.26</v>
      </c>
      <c r="E61" s="2"/>
      <c r="F61" s="19">
        <f t="shared" si="5"/>
        <v>6.9629343202784093E-3</v>
      </c>
      <c r="G61" s="2"/>
      <c r="H61" s="2"/>
      <c r="I61" s="2"/>
      <c r="J61" s="19">
        <f t="shared" si="6"/>
        <v>0</v>
      </c>
      <c r="K61" s="2"/>
      <c r="L61" s="2">
        <f t="shared" si="7"/>
        <v>151.26</v>
      </c>
      <c r="M61" s="2"/>
      <c r="N61" s="19">
        <f t="shared" si="8"/>
        <v>0</v>
      </c>
      <c r="O61" s="11"/>
      <c r="P61" s="2">
        <v>379.26</v>
      </c>
      <c r="Q61" s="2"/>
      <c r="R61" s="19">
        <f t="shared" si="9"/>
        <v>1.4107060560376809E-3</v>
      </c>
      <c r="S61" s="2"/>
      <c r="T61" s="2"/>
      <c r="U61" s="2"/>
      <c r="V61" s="19">
        <f t="shared" si="10"/>
        <v>0</v>
      </c>
      <c r="W61" s="2"/>
      <c r="X61" s="2">
        <f t="shared" si="11"/>
        <v>379.26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-11383</v>
      </c>
      <c r="E62" s="2"/>
      <c r="F62" s="19">
        <f t="shared" si="5"/>
        <v>-0.5239923401277875</v>
      </c>
      <c r="G62" s="2"/>
      <c r="H62" s="2"/>
      <c r="I62" s="2"/>
      <c r="J62" s="19">
        <f t="shared" si="6"/>
        <v>0</v>
      </c>
      <c r="K62" s="2"/>
      <c r="L62" s="2">
        <f t="shared" si="7"/>
        <v>-11383</v>
      </c>
      <c r="M62" s="2"/>
      <c r="N62" s="19">
        <f t="shared" si="8"/>
        <v>0</v>
      </c>
      <c r="O62" s="11"/>
      <c r="P62" s="2">
        <v>-148230</v>
      </c>
      <c r="Q62" s="2"/>
      <c r="R62" s="19">
        <f t="shared" si="9"/>
        <v>-0.55136043528572865</v>
      </c>
      <c r="S62" s="2"/>
      <c r="T62" s="2"/>
      <c r="U62" s="2"/>
      <c r="V62" s="19">
        <f t="shared" si="10"/>
        <v>0</v>
      </c>
      <c r="W62" s="2"/>
      <c r="X62" s="2">
        <f t="shared" si="11"/>
        <v>-148230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"5300", " - ", "COG$ OFFSET")</f>
        <v xml:space="preserve">          5300 - COG$ OFFSET</v>
      </c>
      <c r="C63" s="11"/>
      <c r="D63" s="2">
        <v>11343</v>
      </c>
      <c r="E63" s="2"/>
      <c r="F63" s="19">
        <f t="shared" si="5"/>
        <v>0.52215102469204022</v>
      </c>
      <c r="G63" s="2"/>
      <c r="H63" s="2"/>
      <c r="I63" s="2"/>
      <c r="J63" s="19">
        <f t="shared" si="6"/>
        <v>0</v>
      </c>
      <c r="K63" s="2"/>
      <c r="L63" s="2">
        <f t="shared" si="7"/>
        <v>11343</v>
      </c>
      <c r="M63" s="2"/>
      <c r="N63" s="19">
        <f t="shared" si="8"/>
        <v>0</v>
      </c>
      <c r="O63" s="11"/>
      <c r="P63" s="2">
        <v>141110</v>
      </c>
      <c r="Q63" s="2"/>
      <c r="R63" s="19">
        <f t="shared" si="9"/>
        <v>0.52487668503790841</v>
      </c>
      <c r="S63" s="2"/>
      <c r="T63" s="2"/>
      <c r="U63" s="2"/>
      <c r="V63" s="19">
        <f t="shared" si="10"/>
        <v>0</v>
      </c>
      <c r="W63" s="2"/>
      <c r="X63" s="2">
        <f t="shared" si="11"/>
        <v>141110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"5500", " - ", "FREIGHT-IN")</f>
        <v xml:space="preserve">          5500 - FREIGHT-IN</v>
      </c>
      <c r="C64" s="11"/>
      <c r="D64" s="2">
        <v>80</v>
      </c>
      <c r="E64" s="2"/>
      <c r="F64" s="19">
        <f t="shared" si="5"/>
        <v>3.6826308714945971E-3</v>
      </c>
      <c r="G64" s="2"/>
      <c r="H64" s="2"/>
      <c r="I64" s="2"/>
      <c r="J64" s="19">
        <f t="shared" si="6"/>
        <v>0</v>
      </c>
      <c r="K64" s="2"/>
      <c r="L64" s="2">
        <f t="shared" si="7"/>
        <v>80</v>
      </c>
      <c r="M64" s="2"/>
      <c r="N64" s="19">
        <f t="shared" si="8"/>
        <v>0</v>
      </c>
      <c r="O64" s="11"/>
      <c r="P64" s="2">
        <v>80</v>
      </c>
      <c r="Q64" s="2"/>
      <c r="R64" s="19">
        <f t="shared" si="9"/>
        <v>2.9757022750359771E-4</v>
      </c>
      <c r="S64" s="2"/>
      <c r="T64" s="2"/>
      <c r="U64" s="2"/>
      <c r="V64" s="19">
        <f t="shared" si="10"/>
        <v>0</v>
      </c>
      <c r="W64" s="2"/>
      <c r="X64" s="2">
        <f t="shared" si="11"/>
        <v>80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"5527", " - ", "FREIGHT-IN-SCHOOL SUPPLIES")</f>
        <v xml:space="preserve">          5527 - FREIGHT-IN-SCHOOL SUPPLIES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12.52</v>
      </c>
      <c r="Q65" s="2"/>
      <c r="R65" s="19">
        <f t="shared" si="9"/>
        <v>4.6569740604313039E-5</v>
      </c>
      <c r="S65" s="2"/>
      <c r="T65" s="2"/>
      <c r="U65" s="2"/>
      <c r="V65" s="19">
        <f t="shared" si="10"/>
        <v>0</v>
      </c>
      <c r="W65" s="2"/>
      <c r="X65" s="2">
        <f t="shared" si="11"/>
        <v>12.52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"5528", " - ", "FREIGHT-IN-ART/TECH")</f>
        <v xml:space="preserve">          5528 - FREIGHT-IN-ART/TECH</v>
      </c>
      <c r="C66" s="11"/>
      <c r="D66" s="2">
        <v>178.04</v>
      </c>
      <c r="E66" s="2"/>
      <c r="F66" s="19">
        <f t="shared" si="5"/>
        <v>8.1956950045112258E-3</v>
      </c>
      <c r="G66" s="2"/>
      <c r="H66" s="2"/>
      <c r="I66" s="2"/>
      <c r="J66" s="19">
        <f t="shared" si="6"/>
        <v>0</v>
      </c>
      <c r="K66" s="2"/>
      <c r="L66" s="2">
        <f t="shared" si="7"/>
        <v>178.04</v>
      </c>
      <c r="M66" s="2"/>
      <c r="N66" s="19">
        <f t="shared" si="8"/>
        <v>0</v>
      </c>
      <c r="O66" s="11"/>
      <c r="P66" s="2">
        <v>1053.73</v>
      </c>
      <c r="Q66" s="2"/>
      <c r="R66" s="19">
        <f t="shared" si="9"/>
        <v>3.9194834478420756E-3</v>
      </c>
      <c r="S66" s="2"/>
      <c r="T66" s="2"/>
      <c r="U66" s="2"/>
      <c r="V66" s="19">
        <f t="shared" si="10"/>
        <v>0</v>
      </c>
      <c r="W66" s="2"/>
      <c r="X66" s="2">
        <f t="shared" si="11"/>
        <v>1053.73</v>
      </c>
      <c r="Y66" s="2"/>
      <c r="Z66" s="19">
        <f t="shared" si="12"/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6</v>
      </c>
      <c r="C68" s="29"/>
      <c r="D68" s="22">
        <f>D12-D45</f>
        <v>10300.22999999999</v>
      </c>
      <c r="E68" s="14"/>
      <c r="F68" s="20">
        <f>IF(D$12=0,0,D68/D$12)</f>
        <v>0.47414931226868451</v>
      </c>
      <c r="G68" s="14"/>
      <c r="H68" s="22">
        <f>H12-H45</f>
        <v>16478</v>
      </c>
      <c r="I68" s="14"/>
      <c r="J68" s="20">
        <f>IF(H$12=0,0,H68/H$12)</f>
        <v>0.55235988200589969</v>
      </c>
      <c r="K68" s="16"/>
      <c r="L68" s="22">
        <f>+D68-H68</f>
        <v>-6177.7700000000095</v>
      </c>
      <c r="M68" s="16"/>
      <c r="N68" s="20">
        <f>IF(H68=0,0,L68/H68)</f>
        <v>-0.37491018327466985</v>
      </c>
      <c r="O68" s="28"/>
      <c r="P68" s="22">
        <f>P12-P45</f>
        <v>127657.09000000008</v>
      </c>
      <c r="Q68" s="14"/>
      <c r="R68" s="20">
        <f>IF(P$12=0,0,P68/P$12)</f>
        <v>0.47483686642184092</v>
      </c>
      <c r="S68" s="14"/>
      <c r="T68" s="22">
        <f>T12-T45</f>
        <v>161698</v>
      </c>
      <c r="U68" s="14"/>
      <c r="V68" s="20">
        <f>IF(T$12=0,0,T68/T$12)</f>
        <v>0.56235740915920096</v>
      </c>
      <c r="W68" s="16"/>
      <c r="X68" s="22">
        <f>+P68-T68</f>
        <v>-34040.909999999916</v>
      </c>
      <c r="Y68" s="16"/>
      <c r="Z68" s="20">
        <f>IF(T68=0,0,X68/T68)</f>
        <v>-0.21052152778636665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9</v>
      </c>
      <c r="C70" s="10"/>
      <c r="D70" s="21">
        <f>SUM(OSRRefD22x_0)</f>
        <v>10040.460000000001</v>
      </c>
      <c r="E70" s="21"/>
      <c r="F70" s="30">
        <f t="shared" ref="F70:F80" si="13">IF(D$12=0,0,D70/D$12)</f>
        <v>0.46219134950008312</v>
      </c>
      <c r="G70" s="21"/>
      <c r="H70" s="21">
        <f>SUM(OSRRefH22x_0)</f>
        <v>10734.010952000001</v>
      </c>
      <c r="I70" s="21"/>
      <c r="J70" s="30">
        <f t="shared" ref="J70:J80" si="14">IF(H$12=0,0,H70/H$12)</f>
        <v>0.35981533091981766</v>
      </c>
      <c r="K70" s="4"/>
      <c r="L70" s="21">
        <f t="shared" ref="L70:L80" si="15">+D70-H70</f>
        <v>-693.5509519999996</v>
      </c>
      <c r="M70" s="4"/>
      <c r="N70" s="30">
        <f t="shared" ref="N70:N80" si="16">IF(H70=0,0,L70/H70)</f>
        <v>-6.4612469197339012E-2</v>
      </c>
      <c r="O70" s="10"/>
      <c r="P70" s="21">
        <f>SUM(OSRRefP22x_0)</f>
        <v>70669.340000000011</v>
      </c>
      <c r="Q70" s="21"/>
      <c r="R70" s="30">
        <f t="shared" ref="R70:R80" si="17">IF(P$12=0,0,P70/P$12)</f>
        <v>0.26286364476661378</v>
      </c>
      <c r="S70" s="21"/>
      <c r="T70" s="21">
        <f>SUM(OSRRefT22x_0)</f>
        <v>69680.065758000012</v>
      </c>
      <c r="U70" s="21"/>
      <c r="V70" s="30">
        <f t="shared" ref="V70:V80" si="18">IF(T$12=0,0,T70/T$12)</f>
        <v>0.24233510154554563</v>
      </c>
      <c r="W70" s="4"/>
      <c r="X70" s="21">
        <f t="shared" ref="X70:X80" si="19">+P70-T70</f>
        <v>989.2742419999995</v>
      </c>
      <c r="Y70" s="4"/>
      <c r="Z70" s="30">
        <f t="shared" ref="Z70:Z80" si="20">IF(T70=0,0,X70/T70)</f>
        <v>1.4197378134454765E-2</v>
      </c>
    </row>
    <row r="71" spans="1:26" s="25" customFormat="1" outlineLevel="1" collapsed="1" x14ac:dyDescent="0.25">
      <c r="A71" s="27"/>
      <c r="B71" s="13" t="str">
        <f>CONCATENATE("     ","*Benefits                                         ")</f>
        <v xml:space="preserve">     *Benefits                                         </v>
      </c>
      <c r="C71" s="13"/>
      <c r="D71" s="1">
        <f>SUM(OSRRefD22_0x_0)</f>
        <v>2102.62</v>
      </c>
      <c r="E71" s="1"/>
      <c r="F71" s="5">
        <f t="shared" si="13"/>
        <v>9.6789666537774627E-2</v>
      </c>
      <c r="G71" s="1"/>
      <c r="H71" s="1">
        <f>SUM(OSRRefH22_0x_0)</f>
        <v>1709.9309519999999</v>
      </c>
      <c r="I71" s="1"/>
      <c r="J71" s="5">
        <f t="shared" si="14"/>
        <v>5.7318683024939657E-2</v>
      </c>
      <c r="K71" s="1"/>
      <c r="L71" s="1">
        <f t="shared" si="15"/>
        <v>392.68904799999996</v>
      </c>
      <c r="M71" s="1"/>
      <c r="N71" s="5">
        <f t="shared" si="16"/>
        <v>0.22965199123432206</v>
      </c>
      <c r="O71" s="13"/>
      <c r="P71" s="1">
        <f>SUM(OSRRefP22_0x_0)</f>
        <v>11604.459999999997</v>
      </c>
      <c r="Q71" s="1"/>
      <c r="R71" s="5">
        <f t="shared" si="17"/>
        <v>4.3164272528204983E-2</v>
      </c>
      <c r="S71" s="1"/>
      <c r="T71" s="1">
        <f>SUM(OSRRefT22_0x_0)</f>
        <v>10893.580758</v>
      </c>
      <c r="U71" s="1"/>
      <c r="V71" s="5">
        <f t="shared" si="18"/>
        <v>3.7885971697457013E-2</v>
      </c>
      <c r="W71" s="1"/>
      <c r="X71" s="1">
        <f t="shared" si="19"/>
        <v>710.87924199999725</v>
      </c>
      <c r="Y71" s="1"/>
      <c r="Z71" s="5">
        <f t="shared" si="20"/>
        <v>6.5256710148124952E-2</v>
      </c>
    </row>
    <row r="72" spans="1:26" s="24" customFormat="1" hidden="1" outlineLevel="2" x14ac:dyDescent="0.25">
      <c r="A72" s="26"/>
      <c r="B72" s="11" t="str">
        <f>CONCATENATE("          ", "6111", " - ", "F.I.C.A.")</f>
        <v xml:space="preserve">          6111 - F.I.C.A.</v>
      </c>
      <c r="C72" s="11"/>
      <c r="D72" s="6">
        <v>254.78</v>
      </c>
      <c r="E72" s="2"/>
      <c r="F72" s="7">
        <f t="shared" si="13"/>
        <v>1.1728258667992418E-2</v>
      </c>
      <c r="G72" s="2"/>
      <c r="H72" s="6">
        <v>536.50591199999997</v>
      </c>
      <c r="I72" s="2"/>
      <c r="J72" s="7">
        <f t="shared" si="14"/>
        <v>1.7984242156074012E-2</v>
      </c>
      <c r="K72" s="2"/>
      <c r="L72" s="6">
        <f t="shared" si="15"/>
        <v>-281.72591199999999</v>
      </c>
      <c r="M72" s="2"/>
      <c r="N72" s="7">
        <f t="shared" si="16"/>
        <v>-0.52511240919932312</v>
      </c>
      <c r="O72" s="11"/>
      <c r="P72" s="6">
        <v>1777.43</v>
      </c>
      <c r="Q72" s="2"/>
      <c r="R72" s="7">
        <f t="shared" si="17"/>
        <v>6.611378118396496E-3</v>
      </c>
      <c r="S72" s="2"/>
      <c r="T72" s="6">
        <v>3451.2427980000002</v>
      </c>
      <c r="U72" s="2"/>
      <c r="V72" s="7">
        <f t="shared" si="18"/>
        <v>1.2002819813866786E-2</v>
      </c>
      <c r="W72" s="2"/>
      <c r="X72" s="6">
        <f t="shared" si="19"/>
        <v>-1673.8127980000002</v>
      </c>
      <c r="Y72" s="2"/>
      <c r="Z72" s="7">
        <f t="shared" si="20"/>
        <v>-0.48498842184327828</v>
      </c>
    </row>
    <row r="73" spans="1:26" s="24" customFormat="1" hidden="1" outlineLevel="2" x14ac:dyDescent="0.25">
      <c r="A73" s="26"/>
      <c r="B73" s="11" t="str">
        <f>CONCATENATE("          ", "6112", " - ", "COMPENSATION INSURANCE")</f>
        <v xml:space="preserve">          6112 - COMPENSATION INSURANCE</v>
      </c>
      <c r="C73" s="11"/>
      <c r="D73" s="6">
        <v>227.41</v>
      </c>
      <c r="E73" s="2"/>
      <c r="F73" s="7">
        <f t="shared" si="13"/>
        <v>1.0468338581082329E-2</v>
      </c>
      <c r="G73" s="2"/>
      <c r="H73" s="6">
        <v>133.19759999999999</v>
      </c>
      <c r="I73" s="2"/>
      <c r="J73" s="7">
        <f t="shared" si="14"/>
        <v>4.4649235720032182E-3</v>
      </c>
      <c r="K73" s="2"/>
      <c r="L73" s="6">
        <f t="shared" si="15"/>
        <v>94.212400000000002</v>
      </c>
      <c r="M73" s="2"/>
      <c r="N73" s="7">
        <f t="shared" si="16"/>
        <v>0.70731304467948375</v>
      </c>
      <c r="O73" s="11"/>
      <c r="P73" s="6">
        <v>811.47</v>
      </c>
      <c r="Q73" s="2"/>
      <c r="R73" s="7">
        <f t="shared" si="17"/>
        <v>3.0183664064043054E-3</v>
      </c>
      <c r="S73" s="2"/>
      <c r="T73" s="6">
        <v>889.23990000000003</v>
      </c>
      <c r="U73" s="2"/>
      <c r="V73" s="7">
        <f t="shared" si="18"/>
        <v>3.092621097879918E-3</v>
      </c>
      <c r="W73" s="2"/>
      <c r="X73" s="6">
        <f t="shared" si="19"/>
        <v>-77.769900000000007</v>
      </c>
      <c r="Y73" s="2"/>
      <c r="Z73" s="7">
        <f t="shared" si="20"/>
        <v>-8.7456601981085194E-2</v>
      </c>
    </row>
    <row r="74" spans="1:26" s="24" customFormat="1" hidden="1" outlineLevel="2" x14ac:dyDescent="0.25">
      <c r="A74" s="26"/>
      <c r="B74" s="11" t="str">
        <f>CONCATENATE("          ", "6113", " - ", "GROUP INSURANCE")</f>
        <v xml:space="preserve">          6113 - GROUP INSURANCE</v>
      </c>
      <c r="C74" s="11"/>
      <c r="D74" s="6">
        <v>966.41</v>
      </c>
      <c r="E74" s="2"/>
      <c r="F74" s="7">
        <f t="shared" si="13"/>
        <v>4.4486641256513672E-2</v>
      </c>
      <c r="G74" s="2"/>
      <c r="H74" s="6">
        <v>497.25</v>
      </c>
      <c r="I74" s="2"/>
      <c r="J74" s="7">
        <f t="shared" si="14"/>
        <v>1.6668342719227677E-2</v>
      </c>
      <c r="K74" s="2"/>
      <c r="L74" s="6">
        <f t="shared" si="15"/>
        <v>469.15999999999997</v>
      </c>
      <c r="M74" s="2"/>
      <c r="N74" s="7">
        <f t="shared" si="16"/>
        <v>0.94350930115635989</v>
      </c>
      <c r="O74" s="11"/>
      <c r="P74" s="6">
        <v>5061.4799999999996</v>
      </c>
      <c r="Q74" s="2"/>
      <c r="R74" s="7">
        <f t="shared" si="17"/>
        <v>1.8826821938811369E-2</v>
      </c>
      <c r="S74" s="2"/>
      <c r="T74" s="6">
        <v>2983.5</v>
      </c>
      <c r="U74" s="2"/>
      <c r="V74" s="7">
        <f t="shared" si="18"/>
        <v>1.0376092037170997E-2</v>
      </c>
      <c r="W74" s="2"/>
      <c r="X74" s="6">
        <f t="shared" si="19"/>
        <v>2077.9799999999996</v>
      </c>
      <c r="Y74" s="2"/>
      <c r="Z74" s="7">
        <f t="shared" si="20"/>
        <v>0.6964906988436399</v>
      </c>
    </row>
    <row r="75" spans="1:26" s="24" customFormat="1" hidden="1" outlineLevel="2" x14ac:dyDescent="0.25">
      <c r="A75" s="26"/>
      <c r="B75" s="11" t="str">
        <f>CONCATENATE("          ", "6114", " - ", "STATE UNEMPLOYMENT INSURANCE")</f>
        <v xml:space="preserve">          6114 - STATE UNEMPLOYMENT INSURANCE</v>
      </c>
      <c r="C75" s="11"/>
      <c r="D75" s="6">
        <v>31.12</v>
      </c>
      <c r="E75" s="2"/>
      <c r="F75" s="7">
        <f t="shared" si="13"/>
        <v>1.4325434090113984E-3</v>
      </c>
      <c r="G75" s="2"/>
      <c r="H75" s="6">
        <v>18.227039999999999</v>
      </c>
      <c r="I75" s="2"/>
      <c r="J75" s="7">
        <f t="shared" si="14"/>
        <v>6.1098954143201927E-4</v>
      </c>
      <c r="K75" s="2"/>
      <c r="L75" s="6">
        <f t="shared" si="15"/>
        <v>12.892960000000002</v>
      </c>
      <c r="M75" s="2"/>
      <c r="N75" s="7">
        <f t="shared" si="16"/>
        <v>0.7073534704483011</v>
      </c>
      <c r="O75" s="11"/>
      <c r="P75" s="6">
        <v>133.44</v>
      </c>
      <c r="Q75" s="2"/>
      <c r="R75" s="7">
        <f t="shared" si="17"/>
        <v>4.9634713947600102E-4</v>
      </c>
      <c r="S75" s="2"/>
      <c r="T75" s="6">
        <v>121.68546000000001</v>
      </c>
      <c r="U75" s="2"/>
      <c r="V75" s="7">
        <f t="shared" si="18"/>
        <v>4.2320078181514663E-4</v>
      </c>
      <c r="W75" s="2"/>
      <c r="X75" s="6">
        <f t="shared" si="19"/>
        <v>11.754539999999992</v>
      </c>
      <c r="Y75" s="2"/>
      <c r="Z75" s="7">
        <f t="shared" si="20"/>
        <v>9.6597736492100128E-2</v>
      </c>
    </row>
    <row r="76" spans="1:26" s="24" customFormat="1" hidden="1" outlineLevel="2" x14ac:dyDescent="0.25">
      <c r="A76" s="26"/>
      <c r="B76" s="11" t="str">
        <f>CONCATENATE("          ", "6115", " - ", "P.E.R.S.")</f>
        <v xml:space="preserve">          6115 - P.E.R.S.</v>
      </c>
      <c r="C76" s="11"/>
      <c r="D76" s="6">
        <v>206.11</v>
      </c>
      <c r="E76" s="2"/>
      <c r="F76" s="7">
        <f t="shared" si="13"/>
        <v>9.4878381115468934E-3</v>
      </c>
      <c r="G76" s="2"/>
      <c r="H76" s="6">
        <v>255.1104</v>
      </c>
      <c r="I76" s="2"/>
      <c r="J76" s="7">
        <f t="shared" si="14"/>
        <v>8.5515687851971042E-3</v>
      </c>
      <c r="K76" s="2"/>
      <c r="L76" s="6">
        <f t="shared" si="15"/>
        <v>-49.000399999999985</v>
      </c>
      <c r="M76" s="2"/>
      <c r="N76" s="7">
        <f t="shared" si="16"/>
        <v>-0.19207527407741898</v>
      </c>
      <c r="O76" s="11"/>
      <c r="P76" s="6">
        <v>1243.1199999999999</v>
      </c>
      <c r="Q76" s="2"/>
      <c r="R76" s="7">
        <f t="shared" si="17"/>
        <v>4.6239437651784043E-3</v>
      </c>
      <c r="S76" s="2"/>
      <c r="T76" s="6">
        <v>1658.2175999999999</v>
      </c>
      <c r="U76" s="2"/>
      <c r="V76" s="7">
        <f t="shared" si="18"/>
        <v>5.7669912637026317E-3</v>
      </c>
      <c r="W76" s="2"/>
      <c r="X76" s="6">
        <f t="shared" si="19"/>
        <v>-415.09760000000006</v>
      </c>
      <c r="Y76" s="2"/>
      <c r="Z76" s="7">
        <f t="shared" si="20"/>
        <v>-0.25032758065045269</v>
      </c>
    </row>
    <row r="77" spans="1:26" s="24" customFormat="1" hidden="1" outlineLevel="2" x14ac:dyDescent="0.25">
      <c r="A77" s="26"/>
      <c r="B77" s="11" t="str">
        <f>CONCATENATE("          ", "6116", " - ", "EDUCATIONAL BENEFITS")</f>
        <v xml:space="preserve">          6116 - EDUCATIONAL BENEFITS</v>
      </c>
      <c r="C77" s="11"/>
      <c r="D77" s="6"/>
      <c r="E77" s="2"/>
      <c r="F77" s="7">
        <f t="shared" si="13"/>
        <v>0</v>
      </c>
      <c r="G77" s="2"/>
      <c r="H77" s="6">
        <v>0</v>
      </c>
      <c r="I77" s="2"/>
      <c r="J77" s="7">
        <f t="shared" si="14"/>
        <v>0</v>
      </c>
      <c r="K77" s="2"/>
      <c r="L77" s="6">
        <f t="shared" si="15"/>
        <v>0</v>
      </c>
      <c r="M77" s="2"/>
      <c r="N77" s="7">
        <f t="shared" si="16"/>
        <v>0</v>
      </c>
      <c r="O77" s="11"/>
      <c r="P77" s="6"/>
      <c r="Q77" s="2"/>
      <c r="R77" s="7">
        <f t="shared" si="17"/>
        <v>0</v>
      </c>
      <c r="S77" s="2"/>
      <c r="T77" s="6">
        <v>0</v>
      </c>
      <c r="U77" s="2"/>
      <c r="V77" s="7">
        <f t="shared" si="18"/>
        <v>0</v>
      </c>
      <c r="W77" s="2"/>
      <c r="X77" s="6">
        <f t="shared" si="19"/>
        <v>0</v>
      </c>
      <c r="Y77" s="2"/>
      <c r="Z77" s="7">
        <f t="shared" si="20"/>
        <v>0</v>
      </c>
    </row>
    <row r="78" spans="1:26" s="24" customFormat="1" hidden="1" outlineLevel="2" x14ac:dyDescent="0.25">
      <c r="A78" s="26"/>
      <c r="B78" s="11" t="str">
        <f>CONCATENATE("          ", "6118", " - ", "VACATION")</f>
        <v xml:space="preserve">          6118 - VACATION</v>
      </c>
      <c r="C78" s="11"/>
      <c r="D78" s="6">
        <v>145.84</v>
      </c>
      <c r="E78" s="2"/>
      <c r="F78" s="7">
        <f t="shared" si="13"/>
        <v>6.7134360787346513E-3</v>
      </c>
      <c r="G78" s="2"/>
      <c r="H78" s="6">
        <v>88.992000000000004</v>
      </c>
      <c r="I78" s="2"/>
      <c r="J78" s="7">
        <f t="shared" si="14"/>
        <v>2.9831053901850364E-3</v>
      </c>
      <c r="K78" s="2"/>
      <c r="L78" s="6">
        <f t="shared" si="15"/>
        <v>56.847999999999999</v>
      </c>
      <c r="M78" s="2"/>
      <c r="N78" s="7">
        <f t="shared" si="16"/>
        <v>0.63879899316792521</v>
      </c>
      <c r="O78" s="11"/>
      <c r="P78" s="6">
        <v>1249.32</v>
      </c>
      <c r="Q78" s="2"/>
      <c r="R78" s="7">
        <f t="shared" si="17"/>
        <v>4.6470054578099333E-3</v>
      </c>
      <c r="S78" s="2"/>
      <c r="T78" s="6">
        <v>578.44799999999998</v>
      </c>
      <c r="U78" s="2"/>
      <c r="V78" s="7">
        <f t="shared" si="18"/>
        <v>2.0117411385009182E-3</v>
      </c>
      <c r="W78" s="2"/>
      <c r="X78" s="6">
        <f t="shared" si="19"/>
        <v>670.87199999999996</v>
      </c>
      <c r="Y78" s="2"/>
      <c r="Z78" s="7">
        <f t="shared" si="20"/>
        <v>1.1597792714297568</v>
      </c>
    </row>
    <row r="79" spans="1:26" s="24" customFormat="1" hidden="1" outlineLevel="2" x14ac:dyDescent="0.25">
      <c r="A79" s="26"/>
      <c r="B79" s="11" t="str">
        <f>CONCATENATE("          ", "6119", " - ", "SICK LEAVE")</f>
        <v xml:space="preserve">          6119 - SICK LEAVE</v>
      </c>
      <c r="C79" s="11"/>
      <c r="D79" s="6">
        <v>102.89</v>
      </c>
      <c r="E79" s="2"/>
      <c r="F79" s="7">
        <f t="shared" si="13"/>
        <v>4.7363236296009891E-3</v>
      </c>
      <c r="G79" s="2"/>
      <c r="H79" s="6">
        <v>180.648</v>
      </c>
      <c r="I79" s="2"/>
      <c r="J79" s="7">
        <f t="shared" si="14"/>
        <v>6.0555108608205954E-3</v>
      </c>
      <c r="K79" s="2"/>
      <c r="L79" s="6">
        <f t="shared" si="15"/>
        <v>-77.757999999999996</v>
      </c>
      <c r="M79" s="2"/>
      <c r="N79" s="7">
        <f t="shared" si="16"/>
        <v>-0.43043930738231256</v>
      </c>
      <c r="O79" s="11"/>
      <c r="P79" s="6">
        <v>376.14</v>
      </c>
      <c r="Q79" s="2"/>
      <c r="R79" s="7">
        <f t="shared" si="17"/>
        <v>1.3991008171650404E-3</v>
      </c>
      <c r="S79" s="2"/>
      <c r="T79" s="6">
        <v>1211.2470000000001</v>
      </c>
      <c r="U79" s="2"/>
      <c r="V79" s="7">
        <f t="shared" si="18"/>
        <v>4.212505564520617E-3</v>
      </c>
      <c r="W79" s="2"/>
      <c r="X79" s="6">
        <f t="shared" si="19"/>
        <v>-835.10700000000008</v>
      </c>
      <c r="Y79" s="2"/>
      <c r="Z79" s="7">
        <f t="shared" si="20"/>
        <v>-0.68946053117159423</v>
      </c>
    </row>
    <row r="80" spans="1:26" s="24" customFormat="1" hidden="1" outlineLevel="2" x14ac:dyDescent="0.25">
      <c r="A80" s="26"/>
      <c r="B80" s="11" t="str">
        <f>CONCATENATE("          ", "6156", " - ", "EMPLOYEE MEALS")</f>
        <v xml:space="preserve">          6156 - EMPLOYEE MEALS</v>
      </c>
      <c r="C80" s="11"/>
      <c r="D80" s="6">
        <v>168.06</v>
      </c>
      <c r="E80" s="2"/>
      <c r="F80" s="7">
        <f t="shared" si="13"/>
        <v>7.7362868032922749E-3</v>
      </c>
      <c r="G80" s="2"/>
      <c r="H80" s="6"/>
      <c r="I80" s="2"/>
      <c r="J80" s="7">
        <f t="shared" si="14"/>
        <v>0</v>
      </c>
      <c r="K80" s="2"/>
      <c r="L80" s="6">
        <f t="shared" si="15"/>
        <v>168.06</v>
      </c>
      <c r="M80" s="2"/>
      <c r="N80" s="7">
        <f t="shared" si="16"/>
        <v>0</v>
      </c>
      <c r="O80" s="11"/>
      <c r="P80" s="6">
        <v>952.06</v>
      </c>
      <c r="Q80" s="2"/>
      <c r="R80" s="7">
        <f t="shared" si="17"/>
        <v>3.5413088849634402E-3</v>
      </c>
      <c r="S80" s="2"/>
      <c r="T80" s="6"/>
      <c r="U80" s="2"/>
      <c r="V80" s="7">
        <f t="shared" si="18"/>
        <v>0</v>
      </c>
      <c r="W80" s="2"/>
      <c r="X80" s="6">
        <f t="shared" si="19"/>
        <v>952.06</v>
      </c>
      <c r="Y80" s="2"/>
      <c r="Z80" s="7">
        <f t="shared" si="20"/>
        <v>0</v>
      </c>
    </row>
    <row r="81" spans="1:26" s="25" customFormat="1" outlineLevel="1" collapsed="1" x14ac:dyDescent="0.25">
      <c r="A81" s="27"/>
      <c r="B81" s="13" t="str">
        <f>CONCATENATE("     ","*Payroll                                          ")</f>
        <v xml:space="preserve">     *Payroll                                          </v>
      </c>
      <c r="C81" s="13"/>
      <c r="D81" s="1">
        <f>SUM(OSRRefD22_1x_0)</f>
        <v>6985.42</v>
      </c>
      <c r="E81" s="1"/>
      <c r="F81" s="5">
        <f t="shared" ref="F81:F91" si="21">IF(D$12=0,0,D81/D$12)</f>
        <v>0.32155904177944739</v>
      </c>
      <c r="G81" s="1"/>
      <c r="H81" s="1">
        <f>SUM(OSRRefH22_1x_0)</f>
        <v>6889.08</v>
      </c>
      <c r="I81" s="1"/>
      <c r="J81" s="5">
        <f t="shared" ref="J81:J91" si="22">IF(H$12=0,0,H81/H$12)</f>
        <v>0.23092920353982302</v>
      </c>
      <c r="K81" s="1"/>
      <c r="L81" s="1">
        <f t="shared" ref="L81:L91" si="23">+D81-H81</f>
        <v>96.340000000000146</v>
      </c>
      <c r="M81" s="1"/>
      <c r="N81" s="5">
        <f t="shared" ref="N81:N91" si="24">IF(H81=0,0,L81/H81)</f>
        <v>1.3984450753946847E-2</v>
      </c>
      <c r="O81" s="13"/>
      <c r="P81" s="1">
        <f>SUM(OSRRefP22_1x_0)</f>
        <v>47640.04</v>
      </c>
      <c r="Q81" s="1"/>
      <c r="R81" s="5">
        <f t="shared" ref="R81:R91" si="25">IF(P$12=0,0,P81/P$12)</f>
        <v>0.17720321926350618</v>
      </c>
      <c r="S81" s="1"/>
      <c r="T81" s="1">
        <f>SUM(OSRRefT22_1x_0)</f>
        <v>45976.485000000001</v>
      </c>
      <c r="U81" s="1"/>
      <c r="V81" s="5">
        <f t="shared" ref="V81:V91" si="26">IF(T$12=0,0,T81/T$12)</f>
        <v>0.15989818666184408</v>
      </c>
      <c r="W81" s="1"/>
      <c r="X81" s="1">
        <f t="shared" ref="X81:X91" si="27">+P81-T81</f>
        <v>1663.5550000000003</v>
      </c>
      <c r="Y81" s="1"/>
      <c r="Z81" s="5">
        <f t="shared" ref="Z81:Z91" si="28">IF(T81=0,0,X81/T81)</f>
        <v>3.6182735587550904E-2</v>
      </c>
    </row>
    <row r="82" spans="1:26" s="24" customFormat="1" hidden="1" outlineLevel="2" x14ac:dyDescent="0.25">
      <c r="A82" s="26"/>
      <c r="B82" s="11" t="str">
        <f>CONCATENATE("          ", "6001", " - ", "ADMINISTRATIVE SALARIES")</f>
        <v xml:space="preserve">          6001 - ADMINISTRATIVE SALARIES</v>
      </c>
      <c r="C82" s="11"/>
      <c r="D82" s="6"/>
      <c r="E82" s="2"/>
      <c r="F82" s="7">
        <f t="shared" si="21"/>
        <v>0</v>
      </c>
      <c r="G82" s="2"/>
      <c r="H82" s="6">
        <v>2966.4</v>
      </c>
      <c r="I82" s="2"/>
      <c r="J82" s="7">
        <f t="shared" si="22"/>
        <v>9.9436846339501214E-2</v>
      </c>
      <c r="K82" s="2"/>
      <c r="L82" s="6">
        <f t="shared" si="23"/>
        <v>-2966.4</v>
      </c>
      <c r="M82" s="2"/>
      <c r="N82" s="7">
        <f t="shared" si="24"/>
        <v>-1</v>
      </c>
      <c r="O82" s="11"/>
      <c r="P82" s="6"/>
      <c r="Q82" s="2"/>
      <c r="R82" s="7">
        <f t="shared" si="25"/>
        <v>0</v>
      </c>
      <c r="S82" s="2"/>
      <c r="T82" s="6">
        <v>19281.599999999999</v>
      </c>
      <c r="U82" s="2"/>
      <c r="V82" s="7">
        <f t="shared" si="26"/>
        <v>6.7058037950030597E-2</v>
      </c>
      <c r="W82" s="2"/>
      <c r="X82" s="6">
        <f t="shared" si="27"/>
        <v>-19281.599999999999</v>
      </c>
      <c r="Y82" s="2"/>
      <c r="Z82" s="7">
        <f t="shared" si="28"/>
        <v>-1</v>
      </c>
    </row>
    <row r="83" spans="1:26" s="24" customFormat="1" hidden="1" outlineLevel="2" x14ac:dyDescent="0.25">
      <c r="A83" s="26"/>
      <c r="B83" s="11" t="str">
        <f>CONCATENATE("          ", "6002", " - ", "STAFF SALARIES")</f>
        <v xml:space="preserve">          6002 - STAFF SALARIES</v>
      </c>
      <c r="C83" s="11"/>
      <c r="D83" s="6">
        <v>1896.17</v>
      </c>
      <c r="E83" s="2"/>
      <c r="F83" s="7">
        <f t="shared" si="21"/>
        <v>8.7286177245023883E-2</v>
      </c>
      <c r="G83" s="2"/>
      <c r="H83" s="6">
        <v>0</v>
      </c>
      <c r="I83" s="2"/>
      <c r="J83" s="7">
        <f t="shared" si="22"/>
        <v>0</v>
      </c>
      <c r="K83" s="2"/>
      <c r="L83" s="6">
        <f t="shared" si="23"/>
        <v>1896.17</v>
      </c>
      <c r="M83" s="2"/>
      <c r="N83" s="7">
        <f t="shared" si="24"/>
        <v>0</v>
      </c>
      <c r="O83" s="11"/>
      <c r="P83" s="6">
        <v>15836.02</v>
      </c>
      <c r="Q83" s="2"/>
      <c r="R83" s="7">
        <f t="shared" si="25"/>
        <v>5.8904100926894042E-2</v>
      </c>
      <c r="S83" s="2"/>
      <c r="T83" s="6">
        <v>0</v>
      </c>
      <c r="U83" s="2"/>
      <c r="V83" s="7">
        <f t="shared" si="26"/>
        <v>0</v>
      </c>
      <c r="W83" s="2"/>
      <c r="X83" s="6">
        <f t="shared" si="27"/>
        <v>15836.02</v>
      </c>
      <c r="Y83" s="2"/>
      <c r="Z83" s="7">
        <f t="shared" si="28"/>
        <v>0</v>
      </c>
    </row>
    <row r="84" spans="1:26" s="24" customFormat="1" hidden="1" outlineLevel="2" x14ac:dyDescent="0.25">
      <c r="A84" s="26"/>
      <c r="B84" s="11" t="str">
        <f>CONCATENATE("          ", "6003", " - ", "STAFF HOURLY-9 MONTH")</f>
        <v xml:space="preserve">          6003 - STAFF HOURLY-9 MONTH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6"/>
      <c r="B85" s="11" t="str">
        <f>CONCATENATE("          ", "6004", " - ", "STAFF HOURLY")</f>
        <v xml:space="preserve">          6004 - STAFF HOURLY</v>
      </c>
      <c r="C85" s="11"/>
      <c r="D85" s="6"/>
      <c r="E85" s="2"/>
      <c r="F85" s="7">
        <f t="shared" si="21"/>
        <v>0</v>
      </c>
      <c r="G85" s="2"/>
      <c r="H85" s="6">
        <v>0</v>
      </c>
      <c r="I85" s="2"/>
      <c r="J85" s="7">
        <f t="shared" si="22"/>
        <v>0</v>
      </c>
      <c r="K85" s="2"/>
      <c r="L85" s="6">
        <f t="shared" si="23"/>
        <v>0</v>
      </c>
      <c r="M85" s="2"/>
      <c r="N85" s="7">
        <f t="shared" si="24"/>
        <v>0</v>
      </c>
      <c r="O85" s="11"/>
      <c r="P85" s="6"/>
      <c r="Q85" s="2"/>
      <c r="R85" s="7">
        <f t="shared" si="25"/>
        <v>0</v>
      </c>
      <c r="S85" s="2"/>
      <c r="T85" s="6">
        <v>0</v>
      </c>
      <c r="U85" s="2"/>
      <c r="V85" s="7">
        <f t="shared" si="26"/>
        <v>0</v>
      </c>
      <c r="W85" s="2"/>
      <c r="X85" s="6">
        <f t="shared" si="27"/>
        <v>0</v>
      </c>
      <c r="Y85" s="2"/>
      <c r="Z85" s="7">
        <f t="shared" si="28"/>
        <v>0</v>
      </c>
    </row>
    <row r="86" spans="1:26" s="24" customFormat="1" hidden="1" outlineLevel="2" x14ac:dyDescent="0.25">
      <c r="A86" s="26"/>
      <c r="B86" s="11" t="str">
        <f>CONCATENATE("          ", "6005", " - ", "TEMPORARY WAGES-HOURLY")</f>
        <v xml:space="preserve">          6005 - TEMPORARY WAGES-HOURLY</v>
      </c>
      <c r="C86" s="11"/>
      <c r="D86" s="6">
        <v>1094.76</v>
      </c>
      <c r="E86" s="2"/>
      <c r="F86" s="7">
        <f t="shared" si="21"/>
        <v>5.0394962160967817E-2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1094.76</v>
      </c>
      <c r="M86" s="2"/>
      <c r="N86" s="7">
        <f t="shared" si="24"/>
        <v>0</v>
      </c>
      <c r="O86" s="11"/>
      <c r="P86" s="6">
        <v>2776.77</v>
      </c>
      <c r="Q86" s="2"/>
      <c r="R86" s="7">
        <f t="shared" si="25"/>
        <v>1.0328551007814563E-2</v>
      </c>
      <c r="S86" s="2"/>
      <c r="T86" s="6">
        <v>0</v>
      </c>
      <c r="U86" s="2"/>
      <c r="V86" s="7">
        <f t="shared" si="26"/>
        <v>0</v>
      </c>
      <c r="W86" s="2"/>
      <c r="X86" s="6">
        <f t="shared" si="27"/>
        <v>2776.77</v>
      </c>
      <c r="Y86" s="2"/>
      <c r="Z86" s="7">
        <f t="shared" si="28"/>
        <v>0</v>
      </c>
    </row>
    <row r="87" spans="1:26" s="24" customFormat="1" hidden="1" outlineLevel="2" x14ac:dyDescent="0.25">
      <c r="A87" s="26"/>
      <c r="B87" s="11" t="str">
        <f>CONCATENATE("          ", "6006", " - ", "TEMPORARY PART TIME")</f>
        <v xml:space="preserve">          6006 - TEMPORARY PART TIME</v>
      </c>
      <c r="C87" s="11"/>
      <c r="D87" s="6"/>
      <c r="E87" s="2"/>
      <c r="F87" s="7">
        <f t="shared" si="21"/>
        <v>0</v>
      </c>
      <c r="G87" s="2"/>
      <c r="H87" s="6">
        <v>0</v>
      </c>
      <c r="I87" s="2"/>
      <c r="J87" s="7">
        <f t="shared" si="22"/>
        <v>0</v>
      </c>
      <c r="K87" s="2"/>
      <c r="L87" s="6">
        <f t="shared" si="23"/>
        <v>0</v>
      </c>
      <c r="M87" s="2"/>
      <c r="N87" s="7">
        <f t="shared" si="24"/>
        <v>0</v>
      </c>
      <c r="O87" s="11"/>
      <c r="P87" s="6">
        <v>25.5</v>
      </c>
      <c r="Q87" s="2"/>
      <c r="R87" s="7">
        <f t="shared" si="25"/>
        <v>9.4850510016771764E-5</v>
      </c>
      <c r="S87" s="2"/>
      <c r="T87" s="6">
        <v>0</v>
      </c>
      <c r="U87" s="2"/>
      <c r="V87" s="7">
        <f t="shared" si="26"/>
        <v>0</v>
      </c>
      <c r="W87" s="2"/>
      <c r="X87" s="6">
        <f t="shared" si="27"/>
        <v>25.5</v>
      </c>
      <c r="Y87" s="2"/>
      <c r="Z87" s="7">
        <f t="shared" si="28"/>
        <v>0</v>
      </c>
    </row>
    <row r="88" spans="1:26" s="24" customFormat="1" hidden="1" outlineLevel="2" x14ac:dyDescent="0.25">
      <c r="A88" s="26"/>
      <c r="B88" s="11" t="str">
        <f>CONCATENATE("          ", "6007", " - ", "STUDENT HOURLY")</f>
        <v xml:space="preserve">          6007 - STUDENT HOURLY</v>
      </c>
      <c r="C88" s="11"/>
      <c r="D88" s="6">
        <v>3994.49</v>
      </c>
      <c r="E88" s="2"/>
      <c r="F88" s="7">
        <f t="shared" si="21"/>
        <v>0.18387790237345567</v>
      </c>
      <c r="G88" s="2"/>
      <c r="H88" s="6">
        <v>3922.68</v>
      </c>
      <c r="I88" s="2"/>
      <c r="J88" s="7">
        <f t="shared" si="22"/>
        <v>0.13149235720032179</v>
      </c>
      <c r="K88" s="2"/>
      <c r="L88" s="6">
        <f t="shared" si="23"/>
        <v>71.809999999999945</v>
      </c>
      <c r="M88" s="2"/>
      <c r="N88" s="7">
        <f t="shared" si="24"/>
        <v>1.8306361977015701E-2</v>
      </c>
      <c r="O88" s="11"/>
      <c r="P88" s="6">
        <v>29001.75</v>
      </c>
      <c r="Q88" s="2"/>
      <c r="R88" s="7">
        <f t="shared" si="25"/>
        <v>0.1078757168187808</v>
      </c>
      <c r="S88" s="2"/>
      <c r="T88" s="6">
        <v>25040.550000000003</v>
      </c>
      <c r="U88" s="2"/>
      <c r="V88" s="7">
        <f t="shared" si="26"/>
        <v>8.7086660452951992E-2</v>
      </c>
      <c r="W88" s="2"/>
      <c r="X88" s="6">
        <f t="shared" si="27"/>
        <v>3961.1999999999971</v>
      </c>
      <c r="Y88" s="2"/>
      <c r="Z88" s="7">
        <f t="shared" si="28"/>
        <v>0.15819141352725866</v>
      </c>
    </row>
    <row r="89" spans="1:26" s="24" customFormat="1" hidden="1" outlineLevel="2" x14ac:dyDescent="0.25">
      <c r="A89" s="26"/>
      <c r="B89" s="11" t="str">
        <f>CONCATENATE("          ", "6008", " - ", "STUDENT HOURLY-FICA EXEMPT")</f>
        <v xml:space="preserve">          6008 - STUDENT HOURLY-FICA EXEMPT</v>
      </c>
      <c r="C89" s="11"/>
      <c r="D89" s="6"/>
      <c r="E89" s="2"/>
      <c r="F89" s="7">
        <f t="shared" si="21"/>
        <v>0</v>
      </c>
      <c r="G89" s="2"/>
      <c r="H89" s="6">
        <v>0</v>
      </c>
      <c r="I89" s="2"/>
      <c r="J89" s="7">
        <f t="shared" si="22"/>
        <v>0</v>
      </c>
      <c r="K89" s="2"/>
      <c r="L89" s="6">
        <f t="shared" si="23"/>
        <v>0</v>
      </c>
      <c r="M89" s="2"/>
      <c r="N89" s="7">
        <f t="shared" si="24"/>
        <v>0</v>
      </c>
      <c r="O89" s="11"/>
      <c r="P89" s="6"/>
      <c r="Q89" s="2"/>
      <c r="R89" s="7">
        <f t="shared" si="25"/>
        <v>0</v>
      </c>
      <c r="S89" s="2"/>
      <c r="T89" s="6">
        <v>1654.335</v>
      </c>
      <c r="U89" s="2"/>
      <c r="V89" s="7">
        <f t="shared" si="26"/>
        <v>5.7534882588614993E-3</v>
      </c>
      <c r="W89" s="2"/>
      <c r="X89" s="6">
        <f t="shared" si="27"/>
        <v>-1654.335</v>
      </c>
      <c r="Y89" s="2"/>
      <c r="Z89" s="7">
        <f t="shared" si="28"/>
        <v>-1</v>
      </c>
    </row>
    <row r="90" spans="1:26" s="24" customFormat="1" hidden="1" outlineLevel="2" x14ac:dyDescent="0.25">
      <c r="A90" s="26"/>
      <c r="B90" s="11" t="str">
        <f>CONCATENATE("          ", "6009", " - ", "TEMPORARY-SEASONAL")</f>
        <v xml:space="preserve">          6009 - TEMPORARY-SEASONAL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/>
      <c r="Q90" s="2"/>
      <c r="R90" s="7">
        <f t="shared" si="25"/>
        <v>0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0</v>
      </c>
      <c r="Y90" s="2"/>
      <c r="Z90" s="7">
        <f t="shared" si="28"/>
        <v>0</v>
      </c>
    </row>
    <row r="91" spans="1:26" s="24" customFormat="1" hidden="1" outlineLevel="2" x14ac:dyDescent="0.25">
      <c r="A91" s="26"/>
      <c r="B91" s="11" t="str">
        <f>CONCATENATE("          ", "6010", " - ", "GRATUITY")</f>
        <v xml:space="preserve">          6010 - GRATUITY</v>
      </c>
      <c r="C91" s="11"/>
      <c r="D91" s="6"/>
      <c r="E91" s="2"/>
      <c r="F91" s="7">
        <f t="shared" si="21"/>
        <v>0</v>
      </c>
      <c r="G91" s="2"/>
      <c r="H91" s="6">
        <v>0</v>
      </c>
      <c r="I91" s="2"/>
      <c r="J91" s="7">
        <f t="shared" si="22"/>
        <v>0</v>
      </c>
      <c r="K91" s="2"/>
      <c r="L91" s="6">
        <f t="shared" si="23"/>
        <v>0</v>
      </c>
      <c r="M91" s="2"/>
      <c r="N91" s="7">
        <f t="shared" si="24"/>
        <v>0</v>
      </c>
      <c r="O91" s="11"/>
      <c r="P91" s="6"/>
      <c r="Q91" s="2"/>
      <c r="R91" s="7">
        <f t="shared" si="25"/>
        <v>0</v>
      </c>
      <c r="S91" s="2"/>
      <c r="T91" s="6">
        <v>0</v>
      </c>
      <c r="U91" s="2"/>
      <c r="V91" s="7">
        <f t="shared" si="26"/>
        <v>0</v>
      </c>
      <c r="W91" s="2"/>
      <c r="X91" s="6">
        <f t="shared" si="27"/>
        <v>0</v>
      </c>
      <c r="Y91" s="2"/>
      <c r="Z91" s="7">
        <f t="shared" si="28"/>
        <v>0</v>
      </c>
    </row>
    <row r="92" spans="1:26" s="25" customFormat="1" outlineLevel="1" collapsed="1" x14ac:dyDescent="0.25">
      <c r="A92" s="27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0</v>
      </c>
      <c r="E92" s="1"/>
      <c r="F92" s="5">
        <f t="shared" ref="F92:F98" si="29">IF(D$12=0,0,D92/D$12)</f>
        <v>0</v>
      </c>
      <c r="G92" s="1"/>
      <c r="H92" s="1">
        <f>SUM(OSRRefH22_2x_0)</f>
        <v>40</v>
      </c>
      <c r="I92" s="1"/>
      <c r="J92" s="5">
        <f t="shared" ref="J92:J98" si="30">IF(H$12=0,0,H92/H$12)</f>
        <v>1.3408420488066506E-3</v>
      </c>
      <c r="K92" s="1"/>
      <c r="L92" s="1">
        <f t="shared" ref="L92:L98" si="31">+D92-H92</f>
        <v>-40</v>
      </c>
      <c r="M92" s="1"/>
      <c r="N92" s="5">
        <f t="shared" ref="N92:N98" si="32">IF(H92=0,0,L92/H92)</f>
        <v>-1</v>
      </c>
      <c r="O92" s="13"/>
      <c r="P92" s="1">
        <f>SUM(OSRRefP22_2x_0)</f>
        <v>963.62</v>
      </c>
      <c r="Q92" s="1"/>
      <c r="R92" s="5">
        <f t="shared" ref="R92:R98" si="33">IF(P$12=0,0,P92/P$12)</f>
        <v>3.5843077828377101E-3</v>
      </c>
      <c r="S92" s="1"/>
      <c r="T92" s="1">
        <f>SUM(OSRRefT22_2x_0)</f>
        <v>240</v>
      </c>
      <c r="U92" s="1"/>
      <c r="V92" s="5">
        <f t="shared" ref="V92:V98" si="34">IF(T$12=0,0,T92/T$12)</f>
        <v>8.346780924823326E-4</v>
      </c>
      <c r="W92" s="1"/>
      <c r="X92" s="1">
        <f t="shared" ref="X92:X98" si="35">+P92-T92</f>
        <v>723.62</v>
      </c>
      <c r="Y92" s="1"/>
      <c r="Z92" s="5">
        <f t="shared" ref="Z92:Z98" si="36">IF(T92=0,0,X92/T92)</f>
        <v>3.0150833333333336</v>
      </c>
    </row>
    <row r="93" spans="1:26" s="24" customFormat="1" hidden="1" outlineLevel="2" x14ac:dyDescent="0.25">
      <c r="A93" s="26"/>
      <c r="B93" s="11" t="str">
        <f>CONCATENATE("          ", "6362", " - ", "ADVERTISING EXPENSE")</f>
        <v xml:space="preserve">          6362 - ADVERTISING EXPENSE</v>
      </c>
      <c r="C93" s="11"/>
      <c r="D93" s="6"/>
      <c r="E93" s="2"/>
      <c r="F93" s="7">
        <f t="shared" si="29"/>
        <v>0</v>
      </c>
      <c r="G93" s="2"/>
      <c r="H93" s="6">
        <v>40</v>
      </c>
      <c r="I93" s="2"/>
      <c r="J93" s="7">
        <f t="shared" si="30"/>
        <v>1.3408420488066506E-3</v>
      </c>
      <c r="K93" s="2"/>
      <c r="L93" s="6">
        <f t="shared" si="31"/>
        <v>-40</v>
      </c>
      <c r="M93" s="2"/>
      <c r="N93" s="7">
        <f t="shared" si="32"/>
        <v>-1</v>
      </c>
      <c r="O93" s="11"/>
      <c r="P93" s="6">
        <v>963.62</v>
      </c>
      <c r="Q93" s="2"/>
      <c r="R93" s="7">
        <f t="shared" si="33"/>
        <v>3.5843077828377101E-3</v>
      </c>
      <c r="S93" s="2"/>
      <c r="T93" s="6">
        <v>240</v>
      </c>
      <c r="U93" s="2"/>
      <c r="V93" s="7">
        <f t="shared" si="34"/>
        <v>8.346780924823326E-4</v>
      </c>
      <c r="W93" s="2"/>
      <c r="X93" s="6">
        <f t="shared" si="35"/>
        <v>723.62</v>
      </c>
      <c r="Y93" s="2"/>
      <c r="Z93" s="7">
        <f t="shared" si="36"/>
        <v>3.0150833333333336</v>
      </c>
    </row>
    <row r="94" spans="1:26" s="25" customFormat="1" outlineLevel="1" collapsed="1" x14ac:dyDescent="0.25">
      <c r="A94" s="27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0.23</v>
      </c>
      <c r="E94" s="1"/>
      <c r="F94" s="5">
        <f t="shared" si="29"/>
        <v>1.0587563755546967E-5</v>
      </c>
      <c r="G94" s="1"/>
      <c r="H94" s="1">
        <f>SUM(OSRRefH22_3x_0)</f>
        <v>0</v>
      </c>
      <c r="I94" s="1"/>
      <c r="J94" s="5">
        <f t="shared" si="30"/>
        <v>0</v>
      </c>
      <c r="K94" s="1"/>
      <c r="L94" s="1">
        <f t="shared" si="31"/>
        <v>0.23</v>
      </c>
      <c r="M94" s="1"/>
      <c r="N94" s="5">
        <f t="shared" si="32"/>
        <v>0</v>
      </c>
      <c r="O94" s="13"/>
      <c r="P94" s="1">
        <f>SUM(OSRRefP22_3x_0)</f>
        <v>-46.98</v>
      </c>
      <c r="Q94" s="1"/>
      <c r="R94" s="5">
        <f t="shared" si="33"/>
        <v>-1.7474811610148773E-4</v>
      </c>
      <c r="S94" s="1"/>
      <c r="T94" s="1">
        <f>SUM(OSRRefT22_3x_0)</f>
        <v>0</v>
      </c>
      <c r="U94" s="1"/>
      <c r="V94" s="5">
        <f t="shared" si="34"/>
        <v>0</v>
      </c>
      <c r="W94" s="1"/>
      <c r="X94" s="1">
        <f t="shared" si="35"/>
        <v>-46.98</v>
      </c>
      <c r="Y94" s="1"/>
      <c r="Z94" s="5">
        <f t="shared" si="36"/>
        <v>0</v>
      </c>
    </row>
    <row r="95" spans="1:26" s="24" customFormat="1" hidden="1" outlineLevel="2" x14ac:dyDescent="0.25">
      <c r="A95" s="26"/>
      <c r="B95" s="11" t="str">
        <f>CONCATENATE("          ", "6272", " - ", "CASH (OVER/SHORT)")</f>
        <v xml:space="preserve">          6272 - CASH (OVER/SHORT)</v>
      </c>
      <c r="C95" s="11"/>
      <c r="D95" s="6">
        <v>0.23</v>
      </c>
      <c r="E95" s="2"/>
      <c r="F95" s="7">
        <f t="shared" si="29"/>
        <v>1.0587563755546967E-5</v>
      </c>
      <c r="G95" s="2"/>
      <c r="H95" s="6"/>
      <c r="I95" s="2"/>
      <c r="J95" s="7">
        <f t="shared" si="30"/>
        <v>0</v>
      </c>
      <c r="K95" s="2"/>
      <c r="L95" s="6">
        <f t="shared" si="31"/>
        <v>0.23</v>
      </c>
      <c r="M95" s="2"/>
      <c r="N95" s="7">
        <f t="shared" si="32"/>
        <v>0</v>
      </c>
      <c r="O95" s="11"/>
      <c r="P95" s="6">
        <v>-46.98</v>
      </c>
      <c r="Q95" s="2"/>
      <c r="R95" s="7">
        <f t="shared" si="33"/>
        <v>-1.7474811610148773E-4</v>
      </c>
      <c r="S95" s="2"/>
      <c r="T95" s="6"/>
      <c r="U95" s="2"/>
      <c r="V95" s="7">
        <f t="shared" si="34"/>
        <v>0</v>
      </c>
      <c r="W95" s="2"/>
      <c r="X95" s="6">
        <f t="shared" si="35"/>
        <v>-46.98</v>
      </c>
      <c r="Y95" s="2"/>
      <c r="Z95" s="7">
        <f t="shared" si="36"/>
        <v>0</v>
      </c>
    </row>
    <row r="96" spans="1:26" s="25" customFormat="1" outlineLevel="1" collapsed="1" x14ac:dyDescent="0.25">
      <c r="A96" s="27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SUM(OSRRefD22_4x_0)</f>
        <v>261.77</v>
      </c>
      <c r="E96" s="1"/>
      <c r="F96" s="5">
        <f t="shared" si="29"/>
        <v>1.2050028540389258E-2</v>
      </c>
      <c r="G96" s="1"/>
      <c r="H96" s="1">
        <f>SUM(OSRRefH22_4x_0)</f>
        <v>1250</v>
      </c>
      <c r="I96" s="1"/>
      <c r="J96" s="5">
        <f t="shared" si="30"/>
        <v>4.1901314025207831E-2</v>
      </c>
      <c r="K96" s="1"/>
      <c r="L96" s="1">
        <f t="shared" si="31"/>
        <v>-988.23</v>
      </c>
      <c r="M96" s="1"/>
      <c r="N96" s="5">
        <f t="shared" si="32"/>
        <v>-0.79058400000000006</v>
      </c>
      <c r="O96" s="13"/>
      <c r="P96" s="1">
        <f>SUM(OSRRefP22_4x_0)</f>
        <v>5537.38</v>
      </c>
      <c r="Q96" s="1"/>
      <c r="R96" s="5">
        <f t="shared" si="33"/>
        <v>2.0596992829673397E-2</v>
      </c>
      <c r="S96" s="1"/>
      <c r="T96" s="1">
        <f>SUM(OSRRefT22_4x_0)</f>
        <v>7500</v>
      </c>
      <c r="U96" s="1"/>
      <c r="V96" s="5">
        <f t="shared" si="34"/>
        <v>2.6083690390072894E-2</v>
      </c>
      <c r="W96" s="1"/>
      <c r="X96" s="1">
        <f t="shared" si="35"/>
        <v>-1962.62</v>
      </c>
      <c r="Y96" s="1"/>
      <c r="Z96" s="5">
        <f t="shared" si="36"/>
        <v>-0.26168266666666667</v>
      </c>
    </row>
    <row r="97" spans="1:26" s="24" customFormat="1" hidden="1" outlineLevel="2" x14ac:dyDescent="0.25">
      <c r="A97" s="26"/>
      <c r="B97" s="11" t="str">
        <f>CONCATENATE("          ", "6382", " - ", "DISCOUNTS/MARK DOWNS")</f>
        <v xml:space="preserve">          6382 - DISCOUNTS/MARK DOWNS</v>
      </c>
      <c r="C97" s="11"/>
      <c r="D97" s="6">
        <v>261.77</v>
      </c>
      <c r="E97" s="2"/>
      <c r="F97" s="7">
        <f t="shared" si="29"/>
        <v>1.2050028540389258E-2</v>
      </c>
      <c r="G97" s="2"/>
      <c r="H97" s="6">
        <v>1250</v>
      </c>
      <c r="I97" s="2"/>
      <c r="J97" s="7">
        <f t="shared" si="30"/>
        <v>4.1901314025207831E-2</v>
      </c>
      <c r="K97" s="2"/>
      <c r="L97" s="6">
        <f t="shared" si="31"/>
        <v>-988.23</v>
      </c>
      <c r="M97" s="2"/>
      <c r="N97" s="7">
        <f t="shared" si="32"/>
        <v>-0.79058400000000006</v>
      </c>
      <c r="O97" s="11"/>
      <c r="P97" s="6">
        <v>5537.38</v>
      </c>
      <c r="Q97" s="2"/>
      <c r="R97" s="7">
        <f t="shared" si="33"/>
        <v>2.0596992829673397E-2</v>
      </c>
      <c r="S97" s="2"/>
      <c r="T97" s="6">
        <v>7500</v>
      </c>
      <c r="U97" s="2"/>
      <c r="V97" s="7">
        <f t="shared" si="34"/>
        <v>2.6083690390072894E-2</v>
      </c>
      <c r="W97" s="2"/>
      <c r="X97" s="6">
        <f t="shared" si="35"/>
        <v>-1962.62</v>
      </c>
      <c r="Y97" s="2"/>
      <c r="Z97" s="7">
        <f t="shared" si="36"/>
        <v>-0.26168266666666667</v>
      </c>
    </row>
    <row r="98" spans="1:26" s="24" customFormat="1" hidden="1" outlineLevel="2" x14ac:dyDescent="0.25">
      <c r="A98" s="26"/>
      <c r="B98" s="11" t="str">
        <f>CONCATENATE("          ", "9175", " - ", "EARNED DISCOUNTS")</f>
        <v xml:space="preserve">          9175 - EARNED DISCOUNTS</v>
      </c>
      <c r="C98" s="11"/>
      <c r="D98" s="6"/>
      <c r="E98" s="2"/>
      <c r="F98" s="7">
        <f t="shared" si="29"/>
        <v>0</v>
      </c>
      <c r="G98" s="2"/>
      <c r="H98" s="6"/>
      <c r="I98" s="2"/>
      <c r="J98" s="7">
        <f t="shared" si="30"/>
        <v>0</v>
      </c>
      <c r="K98" s="2"/>
      <c r="L98" s="6">
        <f t="shared" si="31"/>
        <v>0</v>
      </c>
      <c r="M98" s="2"/>
      <c r="N98" s="7">
        <f t="shared" si="32"/>
        <v>0</v>
      </c>
      <c r="O98" s="11"/>
      <c r="P98" s="6">
        <v>0</v>
      </c>
      <c r="Q98" s="2"/>
      <c r="R98" s="7">
        <f t="shared" si="33"/>
        <v>0</v>
      </c>
      <c r="S98" s="2"/>
      <c r="T98" s="6"/>
      <c r="U98" s="2"/>
      <c r="V98" s="7">
        <f t="shared" si="34"/>
        <v>0</v>
      </c>
      <c r="W98" s="2"/>
      <c r="X98" s="6">
        <f t="shared" si="35"/>
        <v>0</v>
      </c>
      <c r="Y98" s="2"/>
      <c r="Z98" s="7">
        <f t="shared" si="36"/>
        <v>0</v>
      </c>
    </row>
    <row r="99" spans="1:26" s="25" customFormat="1" outlineLevel="1" collapsed="1" x14ac:dyDescent="0.25">
      <c r="A99" s="27"/>
      <c r="B99" s="13" t="str">
        <f>CONCATENATE("     ","Employees' Appreciation                           ")</f>
        <v xml:space="preserve">     Employees' Appreciation                           </v>
      </c>
      <c r="C99" s="13"/>
      <c r="D99" s="1">
        <f>SUM(OSRRefD22_5x_0)</f>
        <v>0</v>
      </c>
      <c r="E99" s="1"/>
      <c r="F99" s="5">
        <f t="shared" ref="F99:F107" si="37">IF(D$12=0,0,D99/D$12)</f>
        <v>0</v>
      </c>
      <c r="G99" s="1"/>
      <c r="H99" s="1">
        <f>SUM(OSRRefH22_5x_0)</f>
        <v>25</v>
      </c>
      <c r="I99" s="1"/>
      <c r="J99" s="5">
        <f t="shared" ref="J99:J107" si="38">IF(H$12=0,0,H99/H$12)</f>
        <v>8.3802628050415665E-4</v>
      </c>
      <c r="K99" s="1"/>
      <c r="L99" s="1">
        <f t="shared" ref="L99:L107" si="39">+D99-H99</f>
        <v>-25</v>
      </c>
      <c r="M99" s="1"/>
      <c r="N99" s="5">
        <f t="shared" ref="N99:N107" si="40">IF(H99=0,0,L99/H99)</f>
        <v>-1</v>
      </c>
      <c r="O99" s="13"/>
      <c r="P99" s="1">
        <f>SUM(OSRRefP22_5x_0)</f>
        <v>0</v>
      </c>
      <c r="Q99" s="1"/>
      <c r="R99" s="5">
        <f t="shared" ref="R99:R107" si="41">IF(P$12=0,0,P99/P$12)</f>
        <v>0</v>
      </c>
      <c r="S99" s="1"/>
      <c r="T99" s="1">
        <f>SUM(OSRRefT22_5x_0)</f>
        <v>150</v>
      </c>
      <c r="U99" s="1"/>
      <c r="V99" s="5">
        <f t="shared" ref="V99:V107" si="42">IF(T$12=0,0,T99/T$12)</f>
        <v>5.2167380780145794E-4</v>
      </c>
      <c r="W99" s="1"/>
      <c r="X99" s="1">
        <f t="shared" ref="X99:X107" si="43">+P99-T99</f>
        <v>-150</v>
      </c>
      <c r="Y99" s="1"/>
      <c r="Z99" s="5">
        <f t="shared" ref="Z99:Z107" si="44">IF(T99=0,0,X99/T99)</f>
        <v>-1</v>
      </c>
    </row>
    <row r="100" spans="1:26" s="24" customFormat="1" hidden="1" outlineLevel="2" x14ac:dyDescent="0.25">
      <c r="A100" s="26"/>
      <c r="B100" s="11" t="str">
        <f>CONCATENATE("          ", "6277", " - ", "EMPLOYEE APPRECIATION")</f>
        <v xml:space="preserve">          6277 - EMPLOYEE APPRECIATION</v>
      </c>
      <c r="C100" s="11"/>
      <c r="D100" s="6"/>
      <c r="E100" s="2"/>
      <c r="F100" s="7">
        <f t="shared" si="37"/>
        <v>0</v>
      </c>
      <c r="G100" s="2"/>
      <c r="H100" s="6">
        <v>25</v>
      </c>
      <c r="I100" s="2"/>
      <c r="J100" s="7">
        <f t="shared" si="38"/>
        <v>8.3802628050415665E-4</v>
      </c>
      <c r="K100" s="2"/>
      <c r="L100" s="6">
        <f t="shared" si="39"/>
        <v>-25</v>
      </c>
      <c r="M100" s="2"/>
      <c r="N100" s="7">
        <f t="shared" si="40"/>
        <v>-1</v>
      </c>
      <c r="O100" s="11"/>
      <c r="P100" s="6"/>
      <c r="Q100" s="2"/>
      <c r="R100" s="7">
        <f t="shared" si="41"/>
        <v>0</v>
      </c>
      <c r="S100" s="2"/>
      <c r="T100" s="6">
        <v>150</v>
      </c>
      <c r="U100" s="2"/>
      <c r="V100" s="7">
        <f t="shared" si="42"/>
        <v>5.2167380780145794E-4</v>
      </c>
      <c r="W100" s="2"/>
      <c r="X100" s="6">
        <f t="shared" si="43"/>
        <v>-150</v>
      </c>
      <c r="Y100" s="2"/>
      <c r="Z100" s="7">
        <f t="shared" si="44"/>
        <v>-1</v>
      </c>
    </row>
    <row r="101" spans="1:26" s="25" customFormat="1" outlineLevel="1" collapsed="1" x14ac:dyDescent="0.25">
      <c r="A101" s="27"/>
      <c r="B101" s="13" t="str">
        <f>CONCATENATE("     ","General                                           ")</f>
        <v xml:space="preserve">     General                                           </v>
      </c>
      <c r="C101" s="13"/>
      <c r="D101" s="1">
        <f>SUM(OSRRefD22_6x_0)</f>
        <v>160</v>
      </c>
      <c r="E101" s="1"/>
      <c r="F101" s="5">
        <f t="shared" si="37"/>
        <v>7.3652617429891942E-3</v>
      </c>
      <c r="G101" s="1"/>
      <c r="H101" s="1">
        <f>SUM(OSRRefH22_6x_0)</f>
        <v>80</v>
      </c>
      <c r="I101" s="1"/>
      <c r="J101" s="5">
        <f t="shared" si="38"/>
        <v>2.6816840976133013E-3</v>
      </c>
      <c r="K101" s="1"/>
      <c r="L101" s="1">
        <f t="shared" si="39"/>
        <v>80</v>
      </c>
      <c r="M101" s="1"/>
      <c r="N101" s="5">
        <f t="shared" si="40"/>
        <v>1</v>
      </c>
      <c r="O101" s="13"/>
      <c r="P101" s="1">
        <f>SUM(OSRRefP22_6x_0)</f>
        <v>954.05</v>
      </c>
      <c r="Q101" s="1"/>
      <c r="R101" s="5">
        <f t="shared" si="41"/>
        <v>3.5487109443725923E-3</v>
      </c>
      <c r="S101" s="1"/>
      <c r="T101" s="1">
        <f>SUM(OSRRefT22_6x_0)</f>
        <v>480</v>
      </c>
      <c r="U101" s="1"/>
      <c r="V101" s="5">
        <f t="shared" si="42"/>
        <v>1.6693561849646652E-3</v>
      </c>
      <c r="W101" s="1"/>
      <c r="X101" s="1">
        <f t="shared" si="43"/>
        <v>474.04999999999995</v>
      </c>
      <c r="Y101" s="1"/>
      <c r="Z101" s="5">
        <f t="shared" si="44"/>
        <v>0.98760416666666662</v>
      </c>
    </row>
    <row r="102" spans="1:26" s="24" customFormat="1" hidden="1" outlineLevel="2" x14ac:dyDescent="0.25">
      <c r="A102" s="26"/>
      <c r="B102" s="11" t="str">
        <f>CONCATENATE("          ", "6279", " - ", "GENERAL EXPENSE")</f>
        <v xml:space="preserve">          6279 - GENERAL EXPENSE</v>
      </c>
      <c r="C102" s="11"/>
      <c r="D102" s="6">
        <v>160</v>
      </c>
      <c r="E102" s="2"/>
      <c r="F102" s="7">
        <f t="shared" si="37"/>
        <v>7.3652617429891942E-3</v>
      </c>
      <c r="G102" s="2"/>
      <c r="H102" s="6">
        <v>80</v>
      </c>
      <c r="I102" s="2"/>
      <c r="J102" s="7">
        <f t="shared" si="38"/>
        <v>2.6816840976133013E-3</v>
      </c>
      <c r="K102" s="2"/>
      <c r="L102" s="6">
        <f t="shared" si="39"/>
        <v>80</v>
      </c>
      <c r="M102" s="2"/>
      <c r="N102" s="7">
        <f t="shared" si="40"/>
        <v>1</v>
      </c>
      <c r="O102" s="11"/>
      <c r="P102" s="6">
        <v>954.05</v>
      </c>
      <c r="Q102" s="2"/>
      <c r="R102" s="7">
        <f t="shared" si="41"/>
        <v>3.5487109443725923E-3</v>
      </c>
      <c r="S102" s="2"/>
      <c r="T102" s="6">
        <v>480</v>
      </c>
      <c r="U102" s="2"/>
      <c r="V102" s="7">
        <f t="shared" si="42"/>
        <v>1.6693561849646652E-3</v>
      </c>
      <c r="W102" s="2"/>
      <c r="X102" s="6">
        <f t="shared" si="43"/>
        <v>474.04999999999995</v>
      </c>
      <c r="Y102" s="2"/>
      <c r="Z102" s="7">
        <f t="shared" si="44"/>
        <v>0.98760416666666662</v>
      </c>
    </row>
    <row r="103" spans="1:26" s="25" customFormat="1" outlineLevel="1" collapsed="1" x14ac:dyDescent="0.25">
      <c r="A103" s="27"/>
      <c r="B103" s="13" t="str">
        <f>CONCATENATE("     ","Professional Services                             ")</f>
        <v xml:space="preserve">     Professional Services                             </v>
      </c>
      <c r="C103" s="13"/>
      <c r="D103" s="1">
        <f>SUM(OSRRefD22_7x_0)</f>
        <v>41.15</v>
      </c>
      <c r="E103" s="1"/>
      <c r="F103" s="5">
        <f t="shared" si="37"/>
        <v>1.8942532545250335E-3</v>
      </c>
      <c r="G103" s="1"/>
      <c r="H103" s="1">
        <f>SUM(OSRRefH22_7x_0)</f>
        <v>115</v>
      </c>
      <c r="I103" s="1"/>
      <c r="J103" s="5">
        <f t="shared" si="38"/>
        <v>3.8549208903191205E-3</v>
      </c>
      <c r="K103" s="1"/>
      <c r="L103" s="1">
        <f t="shared" si="39"/>
        <v>-73.849999999999994</v>
      </c>
      <c r="M103" s="1"/>
      <c r="N103" s="5">
        <f t="shared" si="40"/>
        <v>-0.64217391304347826</v>
      </c>
      <c r="O103" s="13"/>
      <c r="P103" s="1">
        <f>SUM(OSRRefP22_7x_0)</f>
        <v>791.15</v>
      </c>
      <c r="Q103" s="1"/>
      <c r="R103" s="5">
        <f t="shared" si="41"/>
        <v>2.9427835686183916E-3</v>
      </c>
      <c r="S103" s="1"/>
      <c r="T103" s="1">
        <f>SUM(OSRRefT22_7x_0)</f>
        <v>690</v>
      </c>
      <c r="U103" s="1"/>
      <c r="V103" s="5">
        <f t="shared" si="42"/>
        <v>2.3996995158867065E-3</v>
      </c>
      <c r="W103" s="1"/>
      <c r="X103" s="1">
        <f t="shared" si="43"/>
        <v>101.14999999999998</v>
      </c>
      <c r="Y103" s="1"/>
      <c r="Z103" s="5">
        <f t="shared" si="44"/>
        <v>0.14659420289855069</v>
      </c>
    </row>
    <row r="104" spans="1:26" s="24" customFormat="1" hidden="1" outlineLevel="2" x14ac:dyDescent="0.25">
      <c r="A104" s="26"/>
      <c r="B104" s="11" t="str">
        <f>CONCATENATE("          ", "6336", " - ", "PROFESSIONAL SERVICES")</f>
        <v xml:space="preserve">          6336 - PROFESSIONAL SERVICES</v>
      </c>
      <c r="C104" s="11"/>
      <c r="D104" s="6">
        <v>41.15</v>
      </c>
      <c r="E104" s="2"/>
      <c r="F104" s="7">
        <f t="shared" si="37"/>
        <v>1.8942532545250335E-3</v>
      </c>
      <c r="G104" s="2"/>
      <c r="H104" s="6">
        <v>115</v>
      </c>
      <c r="I104" s="2"/>
      <c r="J104" s="7">
        <f t="shared" si="38"/>
        <v>3.8549208903191205E-3</v>
      </c>
      <c r="K104" s="2"/>
      <c r="L104" s="6">
        <f t="shared" si="39"/>
        <v>-73.849999999999994</v>
      </c>
      <c r="M104" s="2"/>
      <c r="N104" s="7">
        <f t="shared" si="40"/>
        <v>-0.64217391304347826</v>
      </c>
      <c r="O104" s="11"/>
      <c r="P104" s="6">
        <v>791.15</v>
      </c>
      <c r="Q104" s="2"/>
      <c r="R104" s="7">
        <f t="shared" si="41"/>
        <v>2.9427835686183916E-3</v>
      </c>
      <c r="S104" s="2"/>
      <c r="T104" s="6">
        <v>690</v>
      </c>
      <c r="U104" s="2"/>
      <c r="V104" s="7">
        <f t="shared" si="42"/>
        <v>2.3996995158867065E-3</v>
      </c>
      <c r="W104" s="2"/>
      <c r="X104" s="6">
        <f t="shared" si="43"/>
        <v>101.14999999999998</v>
      </c>
      <c r="Y104" s="2"/>
      <c r="Z104" s="7">
        <f t="shared" si="44"/>
        <v>0.14659420289855069</v>
      </c>
    </row>
    <row r="105" spans="1:26" s="25" customFormat="1" outlineLevel="1" collapsed="1" x14ac:dyDescent="0.25">
      <c r="A105" s="27"/>
      <c r="B105" s="13" t="str">
        <f>CONCATENATE("     ","Repair and Maintenance                            ")</f>
        <v xml:space="preserve">     Repair and Maintenance                            </v>
      </c>
      <c r="C105" s="13"/>
      <c r="D105" s="1">
        <f>SUM(OSRRefD22_8x_0)</f>
        <v>61.11</v>
      </c>
      <c r="E105" s="1"/>
      <c r="F105" s="5">
        <f t="shared" si="37"/>
        <v>2.8130696569629355E-3</v>
      </c>
      <c r="G105" s="1"/>
      <c r="H105" s="1">
        <f>SUM(OSRRefH22_8x_0)</f>
        <v>125</v>
      </c>
      <c r="I105" s="1"/>
      <c r="J105" s="5">
        <f t="shared" si="38"/>
        <v>4.1901314025207829E-3</v>
      </c>
      <c r="K105" s="1"/>
      <c r="L105" s="1">
        <f t="shared" si="39"/>
        <v>-63.89</v>
      </c>
      <c r="M105" s="1"/>
      <c r="N105" s="5">
        <f t="shared" si="40"/>
        <v>-0.51112000000000002</v>
      </c>
      <c r="O105" s="13"/>
      <c r="P105" s="1">
        <f>SUM(OSRRefP22_8x_0)</f>
        <v>129.53</v>
      </c>
      <c r="Q105" s="1"/>
      <c r="R105" s="5">
        <f t="shared" si="41"/>
        <v>4.8180339460676263E-4</v>
      </c>
      <c r="S105" s="1"/>
      <c r="T105" s="1">
        <f>SUM(OSRRefT22_8x_0)</f>
        <v>750</v>
      </c>
      <c r="U105" s="1"/>
      <c r="V105" s="5">
        <f t="shared" si="42"/>
        <v>2.6083690390072897E-3</v>
      </c>
      <c r="W105" s="1"/>
      <c r="X105" s="1">
        <f t="shared" si="43"/>
        <v>-620.47</v>
      </c>
      <c r="Y105" s="1"/>
      <c r="Z105" s="5">
        <f t="shared" si="44"/>
        <v>-0.82729333333333333</v>
      </c>
    </row>
    <row r="106" spans="1:26" s="24" customFormat="1" hidden="1" outlineLevel="2" x14ac:dyDescent="0.25">
      <c r="A106" s="26"/>
      <c r="B106" s="11" t="str">
        <f>CONCATENATE("          ", "6373", " - ", "MAINTENANCE CONTRACTS")</f>
        <v xml:space="preserve">          6373 - MAINTENANCE CONTRACTS</v>
      </c>
      <c r="C106" s="11"/>
      <c r="D106" s="6">
        <v>61.11</v>
      </c>
      <c r="E106" s="2"/>
      <c r="F106" s="7">
        <f t="shared" si="37"/>
        <v>2.8130696569629355E-3</v>
      </c>
      <c r="G106" s="2"/>
      <c r="H106" s="6"/>
      <c r="I106" s="2"/>
      <c r="J106" s="7">
        <f t="shared" si="38"/>
        <v>0</v>
      </c>
      <c r="K106" s="2"/>
      <c r="L106" s="6">
        <f t="shared" si="39"/>
        <v>61.11</v>
      </c>
      <c r="M106" s="2"/>
      <c r="N106" s="7">
        <f t="shared" si="40"/>
        <v>0</v>
      </c>
      <c r="O106" s="11"/>
      <c r="P106" s="6">
        <v>119.73</v>
      </c>
      <c r="Q106" s="2"/>
      <c r="R106" s="7">
        <f t="shared" si="41"/>
        <v>4.4535104173757192E-4</v>
      </c>
      <c r="S106" s="2"/>
      <c r="T106" s="6"/>
      <c r="U106" s="2"/>
      <c r="V106" s="7">
        <f t="shared" si="42"/>
        <v>0</v>
      </c>
      <c r="W106" s="2"/>
      <c r="X106" s="6">
        <f t="shared" si="43"/>
        <v>119.73</v>
      </c>
      <c r="Y106" s="2"/>
      <c r="Z106" s="7">
        <f t="shared" si="44"/>
        <v>0</v>
      </c>
    </row>
    <row r="107" spans="1:26" s="24" customFormat="1" hidden="1" outlineLevel="2" x14ac:dyDescent="0.25">
      <c r="A107" s="26"/>
      <c r="B107" s="11" t="str">
        <f>CONCATENATE("          ", "6375", " - ", "OUTSIDE REPAIRS &amp; MAINTENANCE")</f>
        <v xml:space="preserve">          6375 - OUTSIDE REPAIRS &amp; MAINTENANCE</v>
      </c>
      <c r="C107" s="11"/>
      <c r="D107" s="6"/>
      <c r="E107" s="2"/>
      <c r="F107" s="7">
        <f t="shared" si="37"/>
        <v>0</v>
      </c>
      <c r="G107" s="2"/>
      <c r="H107" s="6">
        <v>125</v>
      </c>
      <c r="I107" s="2"/>
      <c r="J107" s="7">
        <f t="shared" si="38"/>
        <v>4.1901314025207829E-3</v>
      </c>
      <c r="K107" s="2"/>
      <c r="L107" s="6">
        <f t="shared" si="39"/>
        <v>-125</v>
      </c>
      <c r="M107" s="2"/>
      <c r="N107" s="7">
        <f t="shared" si="40"/>
        <v>-1</v>
      </c>
      <c r="O107" s="11"/>
      <c r="P107" s="6">
        <v>9.8000000000000007</v>
      </c>
      <c r="Q107" s="2"/>
      <c r="R107" s="7">
        <f t="shared" si="41"/>
        <v>3.6452352869190725E-5</v>
      </c>
      <c r="S107" s="2"/>
      <c r="T107" s="6">
        <v>750</v>
      </c>
      <c r="U107" s="2"/>
      <c r="V107" s="7">
        <f t="shared" si="42"/>
        <v>2.6083690390072897E-3</v>
      </c>
      <c r="W107" s="2"/>
      <c r="X107" s="6">
        <f t="shared" si="43"/>
        <v>-740.2</v>
      </c>
      <c r="Y107" s="2"/>
      <c r="Z107" s="7">
        <f t="shared" si="44"/>
        <v>-0.98693333333333344</v>
      </c>
    </row>
    <row r="108" spans="1:26" s="25" customFormat="1" outlineLevel="1" collapsed="1" x14ac:dyDescent="0.25">
      <c r="A108" s="27"/>
      <c r="B108" s="13" t="str">
        <f>CONCATENATE("     ","Services                                          ")</f>
        <v xml:space="preserve">     Services                                          </v>
      </c>
      <c r="C108" s="13"/>
      <c r="D108" s="1">
        <f>SUM(OSRRefD22_9x_0)</f>
        <v>109.66</v>
      </c>
      <c r="E108" s="1"/>
      <c r="F108" s="5">
        <f t="shared" ref="F108:F110" si="45">IF(D$12=0,0,D108/D$12)</f>
        <v>5.0479662671012188E-3</v>
      </c>
      <c r="G108" s="1"/>
      <c r="H108" s="1">
        <f>SUM(OSRRefH22_9x_0)</f>
        <v>100</v>
      </c>
      <c r="I108" s="1"/>
      <c r="J108" s="5">
        <f t="shared" ref="J108:J110" si="46">IF(H$12=0,0,H108/H$12)</f>
        <v>3.3521051220166266E-3</v>
      </c>
      <c r="K108" s="1"/>
      <c r="L108" s="1">
        <f t="shared" ref="L108:L110" si="47">+D108-H108</f>
        <v>9.6599999999999966</v>
      </c>
      <c r="M108" s="1"/>
      <c r="N108" s="5">
        <f t="shared" ref="N108:N110" si="48">IF(H108=0,0,L108/H108)</f>
        <v>9.6599999999999964E-2</v>
      </c>
      <c r="O108" s="13"/>
      <c r="P108" s="1">
        <f>SUM(OSRRefP22_9x_0)</f>
        <v>1230.69</v>
      </c>
      <c r="Q108" s="1"/>
      <c r="R108" s="5">
        <f t="shared" ref="R108:R110" si="49">IF(P$12=0,0,P108/P$12)</f>
        <v>4.5777087910800337E-3</v>
      </c>
      <c r="S108" s="1"/>
      <c r="T108" s="1">
        <f>SUM(OSRRefT22_9x_0)</f>
        <v>600</v>
      </c>
      <c r="U108" s="1"/>
      <c r="V108" s="5">
        <f t="shared" ref="V108:V110" si="50">IF(T$12=0,0,T108/T$12)</f>
        <v>2.0866952312058318E-3</v>
      </c>
      <c r="W108" s="1"/>
      <c r="X108" s="1">
        <f t="shared" ref="X108:X110" si="51">+P108-T108</f>
        <v>630.69000000000005</v>
      </c>
      <c r="Y108" s="1"/>
      <c r="Z108" s="5">
        <f t="shared" ref="Z108:Z110" si="52">IF(T108=0,0,X108/T108)</f>
        <v>1.05115</v>
      </c>
    </row>
    <row r="109" spans="1:26" s="24" customFormat="1" hidden="1" outlineLevel="2" x14ac:dyDescent="0.25">
      <c r="A109" s="26"/>
      <c r="B109" s="11" t="str">
        <f>CONCATENATE("          ", "6282", " - ", "JANITORIAL/EXTERMINATOR EXPENS")</f>
        <v xml:space="preserve">          6282 - JANITORIAL/EXTERMINATOR EXPENS</v>
      </c>
      <c r="C109" s="11"/>
      <c r="D109" s="6">
        <v>44</v>
      </c>
      <c r="E109" s="2"/>
      <c r="F109" s="7">
        <f t="shared" si="45"/>
        <v>2.0254469793220286E-3</v>
      </c>
      <c r="G109" s="2"/>
      <c r="H109" s="6">
        <v>50</v>
      </c>
      <c r="I109" s="2"/>
      <c r="J109" s="7">
        <f t="shared" si="46"/>
        <v>1.6760525610083133E-3</v>
      </c>
      <c r="K109" s="2"/>
      <c r="L109" s="6">
        <f t="shared" si="47"/>
        <v>-6</v>
      </c>
      <c r="M109" s="2"/>
      <c r="N109" s="7">
        <f t="shared" si="48"/>
        <v>-0.12</v>
      </c>
      <c r="O109" s="11"/>
      <c r="P109" s="6">
        <v>264</v>
      </c>
      <c r="Q109" s="2"/>
      <c r="R109" s="7">
        <f t="shared" si="49"/>
        <v>9.8198175076187242E-4</v>
      </c>
      <c r="S109" s="2"/>
      <c r="T109" s="6">
        <v>300</v>
      </c>
      <c r="U109" s="2"/>
      <c r="V109" s="7">
        <f t="shared" si="50"/>
        <v>1.0433476156029159E-3</v>
      </c>
      <c r="W109" s="2"/>
      <c r="X109" s="6">
        <f t="shared" si="51"/>
        <v>-36</v>
      </c>
      <c r="Y109" s="2"/>
      <c r="Z109" s="7">
        <f t="shared" si="52"/>
        <v>-0.12</v>
      </c>
    </row>
    <row r="110" spans="1:26" s="24" customFormat="1" hidden="1" outlineLevel="2" x14ac:dyDescent="0.25">
      <c r="A110" s="26"/>
      <c r="B110" s="11" t="str">
        <f>CONCATENATE("          ", "6285", " - ", "JANITORIAL SERVICES")</f>
        <v xml:space="preserve">          6285 - JANITORIAL SERVICES</v>
      </c>
      <c r="C110" s="11"/>
      <c r="D110" s="6">
        <v>65.66</v>
      </c>
      <c r="E110" s="2"/>
      <c r="F110" s="7">
        <f t="shared" si="45"/>
        <v>3.0225192877791907E-3</v>
      </c>
      <c r="G110" s="2"/>
      <c r="H110" s="6">
        <v>50</v>
      </c>
      <c r="I110" s="2"/>
      <c r="J110" s="7">
        <f t="shared" si="46"/>
        <v>1.6760525610083133E-3</v>
      </c>
      <c r="K110" s="2"/>
      <c r="L110" s="6">
        <f t="shared" si="47"/>
        <v>15.659999999999997</v>
      </c>
      <c r="M110" s="2"/>
      <c r="N110" s="7">
        <f t="shared" si="48"/>
        <v>0.31319999999999992</v>
      </c>
      <c r="O110" s="11"/>
      <c r="P110" s="6">
        <v>966.69</v>
      </c>
      <c r="Q110" s="2"/>
      <c r="R110" s="7">
        <f t="shared" si="49"/>
        <v>3.5957270403181611E-3</v>
      </c>
      <c r="S110" s="2"/>
      <c r="T110" s="6">
        <v>300</v>
      </c>
      <c r="U110" s="2"/>
      <c r="V110" s="7">
        <f t="shared" si="50"/>
        <v>1.0433476156029159E-3</v>
      </c>
      <c r="W110" s="2"/>
      <c r="X110" s="6">
        <f t="shared" si="51"/>
        <v>666.69</v>
      </c>
      <c r="Y110" s="2"/>
      <c r="Z110" s="7">
        <f t="shared" si="52"/>
        <v>2.2223000000000002</v>
      </c>
    </row>
    <row r="111" spans="1:26" s="25" customFormat="1" outlineLevel="1" collapsed="1" x14ac:dyDescent="0.25">
      <c r="A111" s="27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SUM(OSRRefD22_10x_0)</f>
        <v>230.66</v>
      </c>
      <c r="E111" s="1"/>
      <c r="F111" s="5">
        <f t="shared" ref="F111:F113" si="53">IF(D$12=0,0,D111/D$12)</f>
        <v>1.0617945460236797E-2</v>
      </c>
      <c r="G111" s="1"/>
      <c r="H111" s="1">
        <f>SUM(OSRRefH22_10x_0)</f>
        <v>150</v>
      </c>
      <c r="I111" s="1"/>
      <c r="J111" s="5">
        <f t="shared" ref="J111:J113" si="54">IF(H$12=0,0,H111/H$12)</f>
        <v>5.0281576830249397E-3</v>
      </c>
      <c r="K111" s="1"/>
      <c r="L111" s="1">
        <f t="shared" ref="L111:L113" si="55">+D111-H111</f>
        <v>80.66</v>
      </c>
      <c r="M111" s="1"/>
      <c r="N111" s="5">
        <f t="shared" ref="N111:N113" si="56">IF(H111=0,0,L111/H111)</f>
        <v>0.53773333333333329</v>
      </c>
      <c r="O111" s="13"/>
      <c r="P111" s="1">
        <f>SUM(OSRRefP22_10x_0)</f>
        <v>1208.83</v>
      </c>
      <c r="Q111" s="1"/>
      <c r="R111" s="5">
        <f t="shared" ref="R111:R113" si="57">IF(P$12=0,0,P111/P$12)</f>
        <v>4.496397726414675E-3</v>
      </c>
      <c r="S111" s="1"/>
      <c r="T111" s="1">
        <f>SUM(OSRRefT22_10x_0)</f>
        <v>900</v>
      </c>
      <c r="U111" s="1"/>
      <c r="V111" s="5">
        <f t="shared" ref="V111:V113" si="58">IF(T$12=0,0,T111/T$12)</f>
        <v>3.1300428468087472E-3</v>
      </c>
      <c r="W111" s="1"/>
      <c r="X111" s="1">
        <f t="shared" ref="X111:X113" si="59">+P111-T111</f>
        <v>308.82999999999993</v>
      </c>
      <c r="Y111" s="1"/>
      <c r="Z111" s="5">
        <f t="shared" ref="Z111:Z113" si="60">IF(T111=0,0,X111/T111)</f>
        <v>0.34314444444444436</v>
      </c>
    </row>
    <row r="112" spans="1:26" s="24" customFormat="1" hidden="1" outlineLevel="2" x14ac:dyDescent="0.25">
      <c r="A112" s="26"/>
      <c r="B112" s="11" t="str">
        <f>CONCATENATE("          ", "6241", " - ", "OFFICE EXPENSE")</f>
        <v xml:space="preserve">          6241 - OFFICE EXPENSE</v>
      </c>
      <c r="C112" s="11"/>
      <c r="D112" s="6">
        <v>231.06</v>
      </c>
      <c r="E112" s="2"/>
      <c r="F112" s="7">
        <f t="shared" si="53"/>
        <v>1.063635861459427E-2</v>
      </c>
      <c r="G112" s="2"/>
      <c r="H112" s="6">
        <v>150</v>
      </c>
      <c r="I112" s="2"/>
      <c r="J112" s="7">
        <f t="shared" si="54"/>
        <v>5.0281576830249397E-3</v>
      </c>
      <c r="K112" s="2"/>
      <c r="L112" s="6">
        <f t="shared" si="55"/>
        <v>81.06</v>
      </c>
      <c r="M112" s="2"/>
      <c r="N112" s="7">
        <f t="shared" si="56"/>
        <v>0.54039999999999999</v>
      </c>
      <c r="O112" s="11"/>
      <c r="P112" s="6">
        <v>1209.33</v>
      </c>
      <c r="Q112" s="2"/>
      <c r="R112" s="7">
        <f t="shared" si="57"/>
        <v>4.4982575403365727E-3</v>
      </c>
      <c r="S112" s="2"/>
      <c r="T112" s="6">
        <v>900</v>
      </c>
      <c r="U112" s="2"/>
      <c r="V112" s="7">
        <f t="shared" si="58"/>
        <v>3.1300428468087472E-3</v>
      </c>
      <c r="W112" s="2"/>
      <c r="X112" s="6">
        <f t="shared" si="59"/>
        <v>309.32999999999993</v>
      </c>
      <c r="Y112" s="2"/>
      <c r="Z112" s="7">
        <f t="shared" si="60"/>
        <v>0.34369999999999989</v>
      </c>
    </row>
    <row r="113" spans="1:26" s="24" customFormat="1" hidden="1" outlineLevel="2" x14ac:dyDescent="0.25">
      <c r="A113" s="26"/>
      <c r="B113" s="11" t="str">
        <f>CONCATENATE("          ", "6247", " - ", "STORE SUPPLIES")</f>
        <v xml:space="preserve">          6247 - STORE SUPPLIES</v>
      </c>
      <c r="C113" s="11"/>
      <c r="D113" s="6">
        <v>-0.4</v>
      </c>
      <c r="E113" s="2"/>
      <c r="F113" s="7">
        <f t="shared" si="53"/>
        <v>-1.8413154357472989E-5</v>
      </c>
      <c r="G113" s="2"/>
      <c r="H113" s="6"/>
      <c r="I113" s="2"/>
      <c r="J113" s="7">
        <f t="shared" si="54"/>
        <v>0</v>
      </c>
      <c r="K113" s="2"/>
      <c r="L113" s="6">
        <f t="shared" si="55"/>
        <v>-0.4</v>
      </c>
      <c r="M113" s="2"/>
      <c r="N113" s="7">
        <f t="shared" si="56"/>
        <v>0</v>
      </c>
      <c r="O113" s="11"/>
      <c r="P113" s="6">
        <v>-0.5</v>
      </c>
      <c r="Q113" s="2"/>
      <c r="R113" s="7">
        <f t="shared" si="57"/>
        <v>-1.8598139218974856E-6</v>
      </c>
      <c r="S113" s="2"/>
      <c r="T113" s="6"/>
      <c r="U113" s="2"/>
      <c r="V113" s="7">
        <f t="shared" si="58"/>
        <v>0</v>
      </c>
      <c r="W113" s="2"/>
      <c r="X113" s="6">
        <f t="shared" si="59"/>
        <v>-0.5</v>
      </c>
      <c r="Y113" s="2"/>
      <c r="Z113" s="7">
        <f t="shared" si="60"/>
        <v>0</v>
      </c>
    </row>
    <row r="114" spans="1:26" s="25" customFormat="1" outlineLevel="1" collapsed="1" x14ac:dyDescent="0.25">
      <c r="A114" s="27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SUM(OSRRefD22_11x_0)</f>
        <v>87.84</v>
      </c>
      <c r="E114" s="1"/>
      <c r="F114" s="5">
        <f t="shared" ref="F114:F117" si="61">IF(D$12=0,0,D114/D$12)</f>
        <v>4.0435286969010683E-3</v>
      </c>
      <c r="G114" s="1"/>
      <c r="H114" s="1">
        <f>SUM(OSRRefH22_11x_0)</f>
        <v>75</v>
      </c>
      <c r="I114" s="1"/>
      <c r="J114" s="5">
        <f t="shared" ref="J114:J117" si="62">IF(H$12=0,0,H114/H$12)</f>
        <v>2.5140788415124698E-3</v>
      </c>
      <c r="K114" s="1"/>
      <c r="L114" s="1">
        <f t="shared" ref="L114:L117" si="63">+D114-H114</f>
        <v>12.840000000000003</v>
      </c>
      <c r="M114" s="1"/>
      <c r="N114" s="5">
        <f t="shared" ref="N114:N117" si="64">IF(H114=0,0,L114/H114)</f>
        <v>0.17120000000000005</v>
      </c>
      <c r="O114" s="13"/>
      <c r="P114" s="1">
        <f>SUM(OSRRefP22_11x_0)</f>
        <v>576.57000000000005</v>
      </c>
      <c r="Q114" s="1"/>
      <c r="R114" s="5">
        <f t="shared" ref="R114:R117" si="65">IF(P$12=0,0,P114/P$12)</f>
        <v>2.1446258258968668E-3</v>
      </c>
      <c r="S114" s="1"/>
      <c r="T114" s="1">
        <f>SUM(OSRRefT22_11x_0)</f>
        <v>450</v>
      </c>
      <c r="U114" s="1"/>
      <c r="V114" s="5">
        <f t="shared" ref="V114:V117" si="66">IF(T$12=0,0,T114/T$12)</f>
        <v>1.5650214234043736E-3</v>
      </c>
      <c r="W114" s="1"/>
      <c r="X114" s="1">
        <f t="shared" ref="X114:X117" si="67">+P114-T114</f>
        <v>126.57000000000005</v>
      </c>
      <c r="Y114" s="1"/>
      <c r="Z114" s="5">
        <f t="shared" ref="Z114:Z117" si="68">IF(T114=0,0,X114/T114)</f>
        <v>0.28126666666666678</v>
      </c>
    </row>
    <row r="115" spans="1:26" s="24" customFormat="1" hidden="1" outlineLevel="2" x14ac:dyDescent="0.25">
      <c r="A115" s="26"/>
      <c r="B115" s="11" t="str">
        <f>CONCATENATE("          ", "6309", " - ", "TELEPHONE")</f>
        <v xml:space="preserve">          6309 - TELEPHONE</v>
      </c>
      <c r="C115" s="11"/>
      <c r="D115" s="6">
        <v>87.84</v>
      </c>
      <c r="E115" s="2"/>
      <c r="F115" s="7">
        <f t="shared" si="61"/>
        <v>4.0435286969010683E-3</v>
      </c>
      <c r="G115" s="2"/>
      <c r="H115" s="6">
        <v>75</v>
      </c>
      <c r="I115" s="2"/>
      <c r="J115" s="7">
        <f t="shared" si="62"/>
        <v>2.5140788415124698E-3</v>
      </c>
      <c r="K115" s="2"/>
      <c r="L115" s="6">
        <f t="shared" si="63"/>
        <v>12.840000000000003</v>
      </c>
      <c r="M115" s="2"/>
      <c r="N115" s="7">
        <f t="shared" si="64"/>
        <v>0.17120000000000005</v>
      </c>
      <c r="O115" s="11"/>
      <c r="P115" s="6">
        <v>576.57000000000005</v>
      </c>
      <c r="Q115" s="2"/>
      <c r="R115" s="7">
        <f t="shared" si="65"/>
        <v>2.1446258258968668E-3</v>
      </c>
      <c r="S115" s="2"/>
      <c r="T115" s="6">
        <v>450</v>
      </c>
      <c r="U115" s="2"/>
      <c r="V115" s="7">
        <f t="shared" si="66"/>
        <v>1.5650214234043736E-3</v>
      </c>
      <c r="W115" s="2"/>
      <c r="X115" s="6">
        <f t="shared" si="67"/>
        <v>126.57000000000005</v>
      </c>
      <c r="Y115" s="2"/>
      <c r="Z115" s="7">
        <f t="shared" si="68"/>
        <v>0.28126666666666678</v>
      </c>
    </row>
    <row r="116" spans="1:26" s="25" customFormat="1" outlineLevel="1" collapsed="1" x14ac:dyDescent="0.25">
      <c r="A116" s="27"/>
      <c r="B116" s="13" t="str">
        <f>CONCATENATE("     ","Training                                          ")</f>
        <v xml:space="preserve">     Training                                          </v>
      </c>
      <c r="C116" s="13"/>
      <c r="D116" s="1">
        <f>SUM(OSRRefD22_12x_0)</f>
        <v>0</v>
      </c>
      <c r="E116" s="1"/>
      <c r="F116" s="5">
        <f t="shared" si="61"/>
        <v>0</v>
      </c>
      <c r="G116" s="1"/>
      <c r="H116" s="1">
        <f>SUM(OSRRefH22_12x_0)</f>
        <v>175</v>
      </c>
      <c r="I116" s="1"/>
      <c r="J116" s="5">
        <f t="shared" si="62"/>
        <v>5.8661839635290964E-3</v>
      </c>
      <c r="K116" s="1"/>
      <c r="L116" s="1">
        <f t="shared" si="63"/>
        <v>-175</v>
      </c>
      <c r="M116" s="1"/>
      <c r="N116" s="5">
        <f t="shared" si="64"/>
        <v>-1</v>
      </c>
      <c r="O116" s="13"/>
      <c r="P116" s="1">
        <f>SUM(OSRRefP22_12x_0)</f>
        <v>80</v>
      </c>
      <c r="Q116" s="1"/>
      <c r="R116" s="5">
        <f t="shared" si="65"/>
        <v>2.9757022750359771E-4</v>
      </c>
      <c r="S116" s="1"/>
      <c r="T116" s="1">
        <f>SUM(OSRRefT22_12x_0)</f>
        <v>1050</v>
      </c>
      <c r="U116" s="1"/>
      <c r="V116" s="5">
        <f t="shared" si="66"/>
        <v>3.6517166546102052E-3</v>
      </c>
      <c r="W116" s="1"/>
      <c r="X116" s="1">
        <f t="shared" si="67"/>
        <v>-970</v>
      </c>
      <c r="Y116" s="1"/>
      <c r="Z116" s="5">
        <f t="shared" si="68"/>
        <v>-0.92380952380952386</v>
      </c>
    </row>
    <row r="117" spans="1:26" s="24" customFormat="1" hidden="1" outlineLevel="2" x14ac:dyDescent="0.25">
      <c r="A117" s="26"/>
      <c r="B117" s="11" t="str">
        <f>CONCATENATE("          ", "6376", " - ", "TRAINING")</f>
        <v xml:space="preserve">          6376 - TRAINING</v>
      </c>
      <c r="C117" s="11"/>
      <c r="D117" s="6"/>
      <c r="E117" s="2"/>
      <c r="F117" s="7">
        <f t="shared" si="61"/>
        <v>0</v>
      </c>
      <c r="G117" s="2"/>
      <c r="H117" s="6">
        <v>175</v>
      </c>
      <c r="I117" s="2"/>
      <c r="J117" s="7">
        <f t="shared" si="62"/>
        <v>5.8661839635290964E-3</v>
      </c>
      <c r="K117" s="2"/>
      <c r="L117" s="6">
        <f t="shared" si="63"/>
        <v>-175</v>
      </c>
      <c r="M117" s="2"/>
      <c r="N117" s="7">
        <f t="shared" si="64"/>
        <v>-1</v>
      </c>
      <c r="O117" s="11"/>
      <c r="P117" s="6">
        <v>80</v>
      </c>
      <c r="Q117" s="2"/>
      <c r="R117" s="7">
        <f t="shared" si="65"/>
        <v>2.9757022750359771E-4</v>
      </c>
      <c r="S117" s="2"/>
      <c r="T117" s="6">
        <v>1050</v>
      </c>
      <c r="U117" s="2"/>
      <c r="V117" s="7">
        <f t="shared" si="66"/>
        <v>3.6517166546102052E-3</v>
      </c>
      <c r="W117" s="2"/>
      <c r="X117" s="6">
        <f t="shared" si="67"/>
        <v>-970</v>
      </c>
      <c r="Y117" s="2"/>
      <c r="Z117" s="7">
        <f t="shared" si="68"/>
        <v>-0.92380952380952386</v>
      </c>
    </row>
    <row r="118" spans="1:26" s="53" customFormat="1" x14ac:dyDescent="0.25">
      <c r="A118" s="36"/>
      <c r="B118" s="36"/>
      <c r="C118" s="36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6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8" t="s">
        <v>0</v>
      </c>
      <c r="C119" s="10"/>
      <c r="D119" s="4">
        <f>SUM(OSRRefD25x_0)</f>
        <v>68.760000000000005</v>
      </c>
      <c r="E119" s="4"/>
      <c r="F119" s="12">
        <f t="shared" ref="F119:F120" si="69">IF(D$12=0,0,D119/D$12)</f>
        <v>3.1652212340496067E-3</v>
      </c>
      <c r="G119" s="4"/>
      <c r="H119" s="4">
        <f>SUM(OSRRefH25x_0)</f>
        <v>0</v>
      </c>
      <c r="I119" s="4"/>
      <c r="J119" s="12">
        <f t="shared" ref="J119:J120" si="70">IF(H$12=0,0,H119/H$12)</f>
        <v>0</v>
      </c>
      <c r="K119" s="4"/>
      <c r="L119" s="4">
        <f t="shared" ref="L119:L120" si="71">+D119-H119</f>
        <v>68.760000000000005</v>
      </c>
      <c r="M119" s="4"/>
      <c r="N119" s="12">
        <f t="shared" ref="N119:N120" si="72">IF(H119=0,0,L119/H119)</f>
        <v>0</v>
      </c>
      <c r="O119" s="10"/>
      <c r="P119" s="4">
        <f>SUM(OSRRefP25x_0)</f>
        <v>68.760000000000005</v>
      </c>
      <c r="Q119" s="4"/>
      <c r="R119" s="12">
        <f t="shared" ref="R119:R120" si="73">IF(P$12=0,0,P119/P$12)</f>
        <v>2.5576161053934225E-4</v>
      </c>
      <c r="S119" s="4"/>
      <c r="T119" s="4">
        <f>SUM(OSRRefT25x_0)</f>
        <v>0</v>
      </c>
      <c r="U119" s="4"/>
      <c r="V119" s="12">
        <f t="shared" ref="V119:V120" si="74">IF(T$12=0,0,T119/T$12)</f>
        <v>0</v>
      </c>
      <c r="W119" s="4"/>
      <c r="X119" s="4">
        <f t="shared" ref="X119:X120" si="75">+P119-T119</f>
        <v>68.760000000000005</v>
      </c>
      <c r="Y119" s="4"/>
      <c r="Z119" s="12">
        <f t="shared" ref="Z119:Z120" si="76">IF(T119=0,0,X119/T119)</f>
        <v>0</v>
      </c>
    </row>
    <row r="120" spans="1:26" s="24" customFormat="1" hidden="1" outlineLevel="1" x14ac:dyDescent="0.25">
      <c r="A120" s="44"/>
      <c r="B120" s="11" t="str">
        <f>CONCATENATE("          ", "9150", " - ", "MISC. INCOME")</f>
        <v xml:space="preserve">          9150 - MISC. INCOME</v>
      </c>
      <c r="C120" s="11"/>
      <c r="D120" s="2">
        <f>--68.76</f>
        <v>68.760000000000005</v>
      </c>
      <c r="E120" s="2"/>
      <c r="F120" s="19">
        <f t="shared" si="69"/>
        <v>3.1652212340496067E-3</v>
      </c>
      <c r="G120" s="2"/>
      <c r="H120" s="2"/>
      <c r="I120" s="2"/>
      <c r="J120" s="19">
        <f t="shared" si="70"/>
        <v>0</v>
      </c>
      <c r="K120" s="2"/>
      <c r="L120" s="2">
        <f t="shared" si="71"/>
        <v>68.760000000000005</v>
      </c>
      <c r="M120" s="2"/>
      <c r="N120" s="19">
        <f t="shared" si="72"/>
        <v>0</v>
      </c>
      <c r="O120" s="11"/>
      <c r="P120" s="2">
        <f>--68.76</f>
        <v>68.760000000000005</v>
      </c>
      <c r="Q120" s="2"/>
      <c r="R120" s="19">
        <f t="shared" si="73"/>
        <v>2.5576161053934225E-4</v>
      </c>
      <c r="S120" s="2"/>
      <c r="T120" s="2"/>
      <c r="U120" s="2"/>
      <c r="V120" s="19">
        <f t="shared" si="74"/>
        <v>0</v>
      </c>
      <c r="W120" s="2"/>
      <c r="X120" s="2">
        <f t="shared" si="75"/>
        <v>68.760000000000005</v>
      </c>
      <c r="Y120" s="2"/>
      <c r="Z120" s="19">
        <f t="shared" si="76"/>
        <v>0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9" t="s">
        <v>3</v>
      </c>
      <c r="C122" s="29"/>
      <c r="D122" s="22">
        <f>+D68-D70+D119</f>
        <v>328.52999999998951</v>
      </c>
      <c r="E122" s="14"/>
      <c r="F122" s="20">
        <f>IF(D$12=0,0,D122/D$12)</f>
        <v>1.5123184002651018E-2</v>
      </c>
      <c r="G122" s="14"/>
      <c r="H122" s="22">
        <f>+H68-H70+H119</f>
        <v>5743.9890479999995</v>
      </c>
      <c r="I122" s="14"/>
      <c r="J122" s="20">
        <f>IF(H$12=0,0,H122/H$12)</f>
        <v>0.19254455108608204</v>
      </c>
      <c r="K122" s="16"/>
      <c r="L122" s="22">
        <f>+D122-H122</f>
        <v>-5415.4590480000097</v>
      </c>
      <c r="M122" s="16"/>
      <c r="N122" s="20">
        <f>IF(H122=0,0,L122/H122)</f>
        <v>-0.94280455668445595</v>
      </c>
      <c r="O122" s="28"/>
      <c r="P122" s="22">
        <f>+P68-P70+P119</f>
        <v>57056.510000000075</v>
      </c>
      <c r="Q122" s="14"/>
      <c r="R122" s="20">
        <f>IF(P$12=0,0,P122/P$12)</f>
        <v>0.2122289832657665</v>
      </c>
      <c r="S122" s="14"/>
      <c r="T122" s="22">
        <f>+T68-T70+T119</f>
        <v>92017.934241999988</v>
      </c>
      <c r="U122" s="14"/>
      <c r="V122" s="20">
        <f>IF(T$12=0,0,T122/T$12)</f>
        <v>0.3200223076136553</v>
      </c>
      <c r="W122" s="16"/>
      <c r="X122" s="22">
        <f>+P122-T122</f>
        <v>-34961.424241999914</v>
      </c>
      <c r="Y122" s="16"/>
      <c r="Z122" s="20">
        <f>IF(T122=0,0,X122/T122)</f>
        <v>-0.37994141609454191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14</v>
      </c>
      <c r="C124" s="10"/>
      <c r="D124" s="4">
        <v>2868.84</v>
      </c>
      <c r="E124" s="4"/>
      <c r="F124" s="12">
        <f>IF(D$12=0,0,D124/D$12)</f>
        <v>0.13206098436723201</v>
      </c>
      <c r="G124" s="4"/>
      <c r="H124" s="4">
        <v>4380</v>
      </c>
      <c r="I124" s="4"/>
      <c r="J124" s="12">
        <f>IF(H$12=0,0,H124/H$12)</f>
        <v>0.14682220434432824</v>
      </c>
      <c r="K124" s="4"/>
      <c r="L124" s="4">
        <f>+D124-H124</f>
        <v>-1511.1599999999999</v>
      </c>
      <c r="M124" s="4"/>
      <c r="N124" s="12">
        <f>IF(H124=0,0,L124/H124)</f>
        <v>-0.34501369863013698</v>
      </c>
      <c r="O124" s="10"/>
      <c r="P124" s="4">
        <v>29037.230000000003</v>
      </c>
      <c r="Q124" s="4"/>
      <c r="R124" s="12">
        <f>IF(P$12=0,0,P124/P$12)</f>
        <v>0.10800768921467867</v>
      </c>
      <c r="S124" s="4"/>
      <c r="T124" s="4">
        <v>37039</v>
      </c>
      <c r="U124" s="4"/>
      <c r="V124" s="12">
        <f>IF(T$12=0,0,T124/T$12)</f>
        <v>0.12881517444772134</v>
      </c>
      <c r="W124" s="4"/>
      <c r="X124" s="4">
        <f>+P124-T124</f>
        <v>-8001.7699999999968</v>
      </c>
      <c r="Y124" s="4"/>
      <c r="Z124" s="12">
        <f>IF(T124=0,0,X124/T124)</f>
        <v>-0.21603634007397599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4</v>
      </c>
      <c r="C126" s="29"/>
      <c r="D126" s="31">
        <f>+D122-D124</f>
        <v>-2540.3100000000104</v>
      </c>
      <c r="E126" s="14"/>
      <c r="F126" s="32">
        <f>IF(D$12=0,0,D126/D$12)</f>
        <v>-0.11693780036458098</v>
      </c>
      <c r="G126" s="14"/>
      <c r="H126" s="31">
        <f>+H122-H124</f>
        <v>1363.9890479999995</v>
      </c>
      <c r="I126" s="14"/>
      <c r="J126" s="32">
        <f>IF(H$12=0,0,H126/H$12)</f>
        <v>4.5722346741753801E-2</v>
      </c>
      <c r="K126" s="16"/>
      <c r="L126" s="31">
        <f>D126-H126</f>
        <v>-3904.2990480000099</v>
      </c>
      <c r="M126" s="16"/>
      <c r="N126" s="32">
        <f>IF(H126=0,0,L126/H126)</f>
        <v>-2.8624123146185347</v>
      </c>
      <c r="O126" s="28"/>
      <c r="P126" s="31">
        <f>+P122-P124</f>
        <v>28019.280000000072</v>
      </c>
      <c r="Q126" s="14"/>
      <c r="R126" s="32">
        <f>IF(P$12=0,0,P126/P$12)</f>
        <v>0.10422129405108783</v>
      </c>
      <c r="S126" s="14"/>
      <c r="T126" s="31">
        <f>+T122-T124</f>
        <v>54978.934241999988</v>
      </c>
      <c r="U126" s="14"/>
      <c r="V126" s="32">
        <f>IF(T$12=0,0,T126/T$12)</f>
        <v>0.19120713316593396</v>
      </c>
      <c r="W126" s="16"/>
      <c r="X126" s="31">
        <f>P126-T126</f>
        <v>-26959.654241999917</v>
      </c>
      <c r="Y126" s="16"/>
      <c r="Z126" s="32">
        <f>IF(T126=0,0,X126/T126)</f>
        <v>-0.49036334759295247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5</v>
      </c>
      <c r="C129" s="29"/>
      <c r="D129" s="35">
        <f>SUM(D126:D128)</f>
        <v>-2540.3100000000104</v>
      </c>
      <c r="E129" s="14"/>
      <c r="F129" s="34">
        <f>IF(D$12=0,0,D129/D$12)</f>
        <v>-0.11693780036458098</v>
      </c>
      <c r="G129" s="14"/>
      <c r="H129" s="35">
        <f>SUM(H126:H128)</f>
        <v>1363.9890479999995</v>
      </c>
      <c r="I129" s="14"/>
      <c r="J129" s="34">
        <f>IF(H$12=0,0,H129/H$12)</f>
        <v>4.5722346741753801E-2</v>
      </c>
      <c r="K129" s="16"/>
      <c r="L129" s="35">
        <f>+D129-H129</f>
        <v>-3904.2990480000099</v>
      </c>
      <c r="M129" s="16"/>
      <c r="N129" s="34">
        <f>IF(H129=0,0,L129/H129)</f>
        <v>-2.8624123146185347</v>
      </c>
      <c r="O129" s="28"/>
      <c r="P129" s="35">
        <f>SUM(P126:P128)</f>
        <v>28019.280000000072</v>
      </c>
      <c r="Q129" s="14"/>
      <c r="R129" s="34">
        <f>IF(P$12=0,0,P129/P$12)</f>
        <v>0.10422129405108783</v>
      </c>
      <c r="S129" s="14"/>
      <c r="T129" s="35">
        <f>SUM(T126:T128)</f>
        <v>54978.934241999988</v>
      </c>
      <c r="U129" s="14"/>
      <c r="V129" s="34">
        <f>IF(T$12=0,0,T129/T$12)</f>
        <v>0.19120713316593396</v>
      </c>
      <c r="W129" s="16"/>
      <c r="X129" s="35">
        <f>+P129-T129</f>
        <v>-26959.654241999917</v>
      </c>
      <c r="Y129" s="16"/>
      <c r="Z129" s="34">
        <f>IF(T129=0,0,X129/T129)</f>
        <v>-0.49036334759295247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6" x14ac:dyDescent="0.25">
      <c r="A131" s="9"/>
      <c r="B131" s="63">
        <v>43847.445871643518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55" t="s">
        <v>314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6"/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","314", " - ", "Supplies")</f>
        <v>Department 314 - Supplies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22472.85</v>
      </c>
      <c r="E12" s="4"/>
      <c r="F12" s="12"/>
      <c r="G12" s="4"/>
      <c r="H12" s="4">
        <f>SUM(OSRRefH13x_0)</f>
        <v>22714</v>
      </c>
      <c r="I12" s="4"/>
      <c r="J12" s="12"/>
      <c r="K12" s="4"/>
      <c r="L12" s="4">
        <f t="shared" ref="L12:L34" si="0">+D12-H12</f>
        <v>-241.15000000000146</v>
      </c>
      <c r="M12" s="4"/>
      <c r="N12" s="12">
        <f t="shared" ref="N12:N34" si="1">IF(H12=0,0,L12/H12)</f>
        <v>-1.0616800211323477E-2</v>
      </c>
      <c r="O12" s="10"/>
      <c r="P12" s="4">
        <f>SUM(OSRRefP13x_0)</f>
        <v>247133.21000000002</v>
      </c>
      <c r="Q12" s="4"/>
      <c r="R12" s="12"/>
      <c r="S12" s="4"/>
      <c r="T12" s="4">
        <f>SUM(OSRRefT13x_0)</f>
        <v>276867</v>
      </c>
      <c r="U12" s="4"/>
      <c r="V12" s="12"/>
      <c r="W12" s="4"/>
      <c r="X12" s="4">
        <f t="shared" ref="X12:X34" si="2">+P12-T12</f>
        <v>-29733.789999999979</v>
      </c>
      <c r="Y12" s="4"/>
      <c r="Z12" s="12">
        <f t="shared" ref="Z12:Z34" si="3">IF(T12=0,0,X12/T12)</f>
        <v>-0.10739376668219751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20896</v>
      </c>
      <c r="I13" s="2"/>
      <c r="J13" s="19"/>
      <c r="K13" s="2"/>
      <c r="L13" s="2">
        <f t="shared" si="0"/>
        <v>-20896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254717.00000000003</v>
      </c>
      <c r="U13" s="2"/>
      <c r="V13" s="19"/>
      <c r="W13" s="2"/>
      <c r="X13" s="2">
        <f t="shared" si="2"/>
        <v>-254717.00000000003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--209.2</f>
        <v>209.2</v>
      </c>
      <c r="Q14" s="2"/>
      <c r="R14" s="19"/>
      <c r="S14" s="2"/>
      <c r="T14" s="2"/>
      <c r="U14" s="2"/>
      <c r="V14" s="19"/>
      <c r="W14" s="2"/>
      <c r="X14" s="2">
        <f t="shared" si="2"/>
        <v>209.2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--5292.54</f>
        <v>5292.54</v>
      </c>
      <c r="E16" s="2"/>
      <c r="F16" s="19"/>
      <c r="G16" s="2"/>
      <c r="H16" s="2"/>
      <c r="I16" s="2"/>
      <c r="J16" s="19"/>
      <c r="K16" s="2"/>
      <c r="L16" s="2">
        <f t="shared" si="0"/>
        <v>5292.54</v>
      </c>
      <c r="M16" s="2"/>
      <c r="N16" s="19">
        <f t="shared" si="1"/>
        <v>0</v>
      </c>
      <c r="O16" s="11"/>
      <c r="P16" s="2">
        <f>--33528.09</f>
        <v>33528.089999999997</v>
      </c>
      <c r="Q16" s="2"/>
      <c r="R16" s="19"/>
      <c r="S16" s="2"/>
      <c r="T16" s="2"/>
      <c r="U16" s="2"/>
      <c r="V16" s="19"/>
      <c r="W16" s="2"/>
      <c r="X16" s="2">
        <f t="shared" si="2"/>
        <v>33528.089999999997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--5746.25</f>
        <v>5746.25</v>
      </c>
      <c r="E17" s="2"/>
      <c r="F17" s="19"/>
      <c r="G17" s="2"/>
      <c r="H17" s="2"/>
      <c r="I17" s="2"/>
      <c r="J17" s="19"/>
      <c r="K17" s="2"/>
      <c r="L17" s="2">
        <f t="shared" si="0"/>
        <v>5746.25</v>
      </c>
      <c r="M17" s="2"/>
      <c r="N17" s="19">
        <f t="shared" si="1"/>
        <v>0</v>
      </c>
      <c r="O17" s="11"/>
      <c r="P17" s="2">
        <f>--45820.98</f>
        <v>45820.98</v>
      </c>
      <c r="Q17" s="2"/>
      <c r="R17" s="19"/>
      <c r="S17" s="2"/>
      <c r="T17" s="2"/>
      <c r="U17" s="2"/>
      <c r="V17" s="19"/>
      <c r="W17" s="2"/>
      <c r="X17" s="2">
        <f t="shared" si="2"/>
        <v>45820.98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--10317.01</f>
        <v>10317.01</v>
      </c>
      <c r="E18" s="2"/>
      <c r="F18" s="19"/>
      <c r="G18" s="2"/>
      <c r="H18" s="2"/>
      <c r="I18" s="2"/>
      <c r="J18" s="19"/>
      <c r="K18" s="2"/>
      <c r="L18" s="2">
        <f t="shared" si="0"/>
        <v>10317.01</v>
      </c>
      <c r="M18" s="2"/>
      <c r="N18" s="19">
        <f t="shared" si="1"/>
        <v>0</v>
      </c>
      <c r="O18" s="11"/>
      <c r="P18" s="2">
        <f>--159493.64</f>
        <v>159493.64000000001</v>
      </c>
      <c r="Q18" s="2"/>
      <c r="R18" s="19"/>
      <c r="S18" s="2"/>
      <c r="T18" s="2"/>
      <c r="U18" s="2"/>
      <c r="V18" s="19"/>
      <c r="W18" s="2"/>
      <c r="X18" s="2">
        <f t="shared" si="2"/>
        <v>159493.64000000001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--1001.73</f>
        <v>1001.73</v>
      </c>
      <c r="E19" s="2"/>
      <c r="F19" s="19"/>
      <c r="G19" s="2"/>
      <c r="H19" s="2"/>
      <c r="I19" s="2"/>
      <c r="J19" s="19"/>
      <c r="K19" s="2"/>
      <c r="L19" s="2">
        <f t="shared" si="0"/>
        <v>1001.73</v>
      </c>
      <c r="M19" s="2"/>
      <c r="N19" s="19">
        <f t="shared" si="1"/>
        <v>0</v>
      </c>
      <c r="O19" s="11"/>
      <c r="P19" s="2">
        <f>--7686.51</f>
        <v>7686.51</v>
      </c>
      <c r="Q19" s="2"/>
      <c r="R19" s="19"/>
      <c r="S19" s="2"/>
      <c r="T19" s="2"/>
      <c r="U19" s="2"/>
      <c r="V19" s="19"/>
      <c r="W19" s="2"/>
      <c r="X19" s="2">
        <f t="shared" si="2"/>
        <v>7686.51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1818</v>
      </c>
      <c r="I21" s="2"/>
      <c r="J21" s="19"/>
      <c r="K21" s="2"/>
      <c r="L21" s="2">
        <f t="shared" si="0"/>
        <v>-1818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22150</v>
      </c>
      <c r="U21" s="2"/>
      <c r="V21" s="19"/>
      <c r="W21" s="2"/>
      <c r="X21" s="2">
        <f t="shared" si="2"/>
        <v>-22150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--124.18</f>
        <v>124.18</v>
      </c>
      <c r="Q22" s="2"/>
      <c r="R22" s="19"/>
      <c r="S22" s="2"/>
      <c r="T22" s="2"/>
      <c r="U22" s="2"/>
      <c r="V22" s="19"/>
      <c r="W22" s="2"/>
      <c r="X22" s="2">
        <f t="shared" si="2"/>
        <v>124.18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--38.73</f>
        <v>38.729999999999997</v>
      </c>
      <c r="E23" s="2"/>
      <c r="F23" s="19"/>
      <c r="G23" s="2"/>
      <c r="H23" s="2"/>
      <c r="I23" s="2"/>
      <c r="J23" s="19"/>
      <c r="K23" s="2"/>
      <c r="L23" s="2">
        <f t="shared" si="0"/>
        <v>38.729999999999997</v>
      </c>
      <c r="M23" s="2"/>
      <c r="N23" s="19">
        <f t="shared" si="1"/>
        <v>0</v>
      </c>
      <c r="O23" s="11"/>
      <c r="P23" s="2">
        <f>--1509.11</f>
        <v>1509.11</v>
      </c>
      <c r="Q23" s="2"/>
      <c r="R23" s="19"/>
      <c r="S23" s="2"/>
      <c r="T23" s="2"/>
      <c r="U23" s="2"/>
      <c r="V23" s="19"/>
      <c r="W23" s="2"/>
      <c r="X23" s="2">
        <f t="shared" si="2"/>
        <v>1509.11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 t="shared" ref="D24:D25" si="6"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--2591.23</f>
        <v>2591.23</v>
      </c>
      <c r="Q24" s="2"/>
      <c r="R24" s="19"/>
      <c r="S24" s="2"/>
      <c r="T24" s="2"/>
      <c r="U24" s="2"/>
      <c r="V24" s="19"/>
      <c r="W24" s="2"/>
      <c r="X24" s="2">
        <f t="shared" si="2"/>
        <v>2591.23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 t="shared" si="6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--253.32</f>
        <v>253.32</v>
      </c>
      <c r="Q25" s="2"/>
      <c r="R25" s="19"/>
      <c r="S25" s="2"/>
      <c r="T25" s="2"/>
      <c r="U25" s="2"/>
      <c r="V25" s="19"/>
      <c r="W25" s="2"/>
      <c r="X25" s="2">
        <f t="shared" si="2"/>
        <v>253.32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--160.66</f>
        <v>160.66</v>
      </c>
      <c r="E26" s="2"/>
      <c r="F26" s="19"/>
      <c r="G26" s="2"/>
      <c r="H26" s="2"/>
      <c r="I26" s="2"/>
      <c r="J26" s="19"/>
      <c r="K26" s="2"/>
      <c r="L26" s="2">
        <f t="shared" si="0"/>
        <v>160.66</v>
      </c>
      <c r="M26" s="2"/>
      <c r="N26" s="19">
        <f t="shared" si="1"/>
        <v>0</v>
      </c>
      <c r="O26" s="11"/>
      <c r="P26" s="2">
        <f>--954.49</f>
        <v>954.49</v>
      </c>
      <c r="Q26" s="2"/>
      <c r="R26" s="19"/>
      <c r="S26" s="2"/>
      <c r="T26" s="2"/>
      <c r="U26" s="2"/>
      <c r="V26" s="19"/>
      <c r="W26" s="2"/>
      <c r="X26" s="2">
        <f t="shared" si="2"/>
        <v>954.49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--173.67</f>
        <v>173.67</v>
      </c>
      <c r="E27" s="2"/>
      <c r="F27" s="19"/>
      <c r="G27" s="2"/>
      <c r="H27" s="2"/>
      <c r="I27" s="2"/>
      <c r="J27" s="19"/>
      <c r="K27" s="2"/>
      <c r="L27" s="2">
        <f t="shared" si="0"/>
        <v>173.67</v>
      </c>
      <c r="M27" s="2"/>
      <c r="N27" s="19">
        <f t="shared" si="1"/>
        <v>0</v>
      </c>
      <c r="O27" s="11"/>
      <c r="P27" s="2">
        <f>--1514.79</f>
        <v>1514.79</v>
      </c>
      <c r="Q27" s="2"/>
      <c r="R27" s="19"/>
      <c r="S27" s="2"/>
      <c r="T27" s="2"/>
      <c r="U27" s="2"/>
      <c r="V27" s="19"/>
      <c r="W27" s="2"/>
      <c r="X27" s="2">
        <f t="shared" si="2"/>
        <v>1514.79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7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7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-14.61</f>
        <v>-14.61</v>
      </c>
      <c r="E30" s="2"/>
      <c r="F30" s="19"/>
      <c r="G30" s="2"/>
      <c r="H30" s="2"/>
      <c r="I30" s="2"/>
      <c r="J30" s="19"/>
      <c r="K30" s="2"/>
      <c r="L30" s="2">
        <f t="shared" si="0"/>
        <v>-14.61</v>
      </c>
      <c r="M30" s="2"/>
      <c r="N30" s="19">
        <f t="shared" si="1"/>
        <v>0</v>
      </c>
      <c r="O30" s="11"/>
      <c r="P30" s="2">
        <f>-79.58</f>
        <v>-79.58</v>
      </c>
      <c r="Q30" s="2"/>
      <c r="R30" s="19"/>
      <c r="S30" s="2"/>
      <c r="T30" s="2"/>
      <c r="U30" s="2"/>
      <c r="V30" s="19"/>
      <c r="W30" s="2"/>
      <c r="X30" s="2">
        <f t="shared" si="2"/>
        <v>-79.58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-40.86</f>
        <v>-40.86</v>
      </c>
      <c r="E31" s="2"/>
      <c r="F31" s="19"/>
      <c r="G31" s="2"/>
      <c r="H31" s="2"/>
      <c r="I31" s="2"/>
      <c r="J31" s="19"/>
      <c r="K31" s="2"/>
      <c r="L31" s="2">
        <f t="shared" si="0"/>
        <v>-40.86</v>
      </c>
      <c r="M31" s="2"/>
      <c r="N31" s="19">
        <f t="shared" si="1"/>
        <v>0</v>
      </c>
      <c r="O31" s="11"/>
      <c r="P31" s="2">
        <f>-389.79</f>
        <v>-389.79</v>
      </c>
      <c r="Q31" s="2"/>
      <c r="R31" s="19"/>
      <c r="S31" s="2"/>
      <c r="T31" s="2"/>
      <c r="U31" s="2"/>
      <c r="V31" s="19"/>
      <c r="W31" s="2"/>
      <c r="X31" s="2">
        <f t="shared" si="2"/>
        <v>-389.79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-202.27</f>
        <v>-202.27</v>
      </c>
      <c r="E32" s="2"/>
      <c r="F32" s="19"/>
      <c r="G32" s="2"/>
      <c r="H32" s="2"/>
      <c r="I32" s="2"/>
      <c r="J32" s="19"/>
      <c r="K32" s="2"/>
      <c r="L32" s="2">
        <f t="shared" si="0"/>
        <v>-202.27</v>
      </c>
      <c r="M32" s="2"/>
      <c r="N32" s="19">
        <f t="shared" si="1"/>
        <v>0</v>
      </c>
      <c r="O32" s="11"/>
      <c r="P32" s="2">
        <f>-5920.6</f>
        <v>-5920.6</v>
      </c>
      <c r="Q32" s="2"/>
      <c r="R32" s="19"/>
      <c r="S32" s="2"/>
      <c r="T32" s="2"/>
      <c r="U32" s="2"/>
      <c r="V32" s="19"/>
      <c r="W32" s="2"/>
      <c r="X32" s="2">
        <f t="shared" si="2"/>
        <v>-5920.6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 t="shared" ref="D33:D34" si="8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-237.75</f>
        <v>-237.75</v>
      </c>
      <c r="Q33" s="2"/>
      <c r="R33" s="19"/>
      <c r="S33" s="2"/>
      <c r="T33" s="2"/>
      <c r="U33" s="2"/>
      <c r="V33" s="19"/>
      <c r="W33" s="2"/>
      <c r="X33" s="2">
        <f t="shared" si="2"/>
        <v>-237.75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 t="shared" si="8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10839.510000000002</v>
      </c>
      <c r="E36" s="4"/>
      <c r="F36" s="12">
        <f t="shared" ref="F36:F52" si="9">IF(D$12=0,0,D36/D$12)</f>
        <v>0.48233802121226294</v>
      </c>
      <c r="G36" s="4"/>
      <c r="H36" s="4">
        <f>SUM(OSRRefH16x_0)</f>
        <v>11584</v>
      </c>
      <c r="I36" s="4"/>
      <c r="J36" s="12">
        <f t="shared" ref="J36:J52" si="10">IF(H$12=0,0,H36/H$12)</f>
        <v>0.50999383640045792</v>
      </c>
      <c r="K36" s="4"/>
      <c r="L36" s="4">
        <f t="shared" ref="L36:L52" si="11">+D36-H36</f>
        <v>-744.48999999999796</v>
      </c>
      <c r="M36" s="4"/>
      <c r="N36" s="12">
        <f t="shared" ref="N36:N52" si="12">IF(H36=0,0,L36/H36)</f>
        <v>-6.4268819060773308E-2</v>
      </c>
      <c r="O36" s="10"/>
      <c r="P36" s="4">
        <f>SUM(OSRRefP16x_0)</f>
        <v>115405.70000000004</v>
      </c>
      <c r="Q36" s="4"/>
      <c r="R36" s="12">
        <f t="shared" ref="R36:R52" si="13">IF(P$12=0,0,P36/P$12)</f>
        <v>0.46697770809516065</v>
      </c>
      <c r="S36" s="4"/>
      <c r="T36" s="4">
        <f>SUM(OSRRefT16x_0)</f>
        <v>141200</v>
      </c>
      <c r="U36" s="4"/>
      <c r="V36" s="12">
        <f t="shared" ref="V36:V52" si="14">IF(T$12=0,0,T36/T$12)</f>
        <v>0.50999216230175504</v>
      </c>
      <c r="W36" s="4"/>
      <c r="X36" s="4">
        <f t="shared" ref="X36:X52" si="15">+P36-T36</f>
        <v>-25794.299999999959</v>
      </c>
      <c r="Y36" s="4"/>
      <c r="Z36" s="12">
        <f t="shared" ref="Z36:Z52" si="16">IF(T36=0,0,X36/T36)</f>
        <v>-0.18267917847025467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9"/>
        <v>0</v>
      </c>
      <c r="G37" s="2"/>
      <c r="H37" s="2">
        <v>11584</v>
      </c>
      <c r="I37" s="2"/>
      <c r="J37" s="19">
        <f t="shared" si="10"/>
        <v>0.50999383640045792</v>
      </c>
      <c r="K37" s="2"/>
      <c r="L37" s="2">
        <f t="shared" si="11"/>
        <v>-11584</v>
      </c>
      <c r="M37" s="2"/>
      <c r="N37" s="19">
        <f t="shared" si="12"/>
        <v>-1</v>
      </c>
      <c r="O37" s="11"/>
      <c r="P37" s="2"/>
      <c r="Q37" s="2"/>
      <c r="R37" s="19">
        <f t="shared" si="13"/>
        <v>0</v>
      </c>
      <c r="S37" s="2"/>
      <c r="T37" s="2">
        <v>141200</v>
      </c>
      <c r="U37" s="2"/>
      <c r="V37" s="19">
        <f t="shared" si="14"/>
        <v>0.50999216230175504</v>
      </c>
      <c r="W37" s="2"/>
      <c r="X37" s="2">
        <f t="shared" si="15"/>
        <v>-141200</v>
      </c>
      <c r="Y37" s="2"/>
      <c r="Z37" s="19">
        <f t="shared" si="16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9"/>
        <v>0</v>
      </c>
      <c r="G38" s="2"/>
      <c r="H38" s="2"/>
      <c r="I38" s="2"/>
      <c r="J38" s="19">
        <f t="shared" si="10"/>
        <v>0</v>
      </c>
      <c r="K38" s="2"/>
      <c r="L38" s="2">
        <f t="shared" si="11"/>
        <v>0</v>
      </c>
      <c r="M38" s="2"/>
      <c r="N38" s="19">
        <f t="shared" si="12"/>
        <v>0</v>
      </c>
      <c r="O38" s="11"/>
      <c r="P38" s="2">
        <v>0</v>
      </c>
      <c r="Q38" s="2"/>
      <c r="R38" s="19">
        <f t="shared" si="13"/>
        <v>0</v>
      </c>
      <c r="S38" s="2"/>
      <c r="T38" s="2"/>
      <c r="U38" s="2"/>
      <c r="V38" s="19">
        <f t="shared" si="14"/>
        <v>0</v>
      </c>
      <c r="W38" s="2"/>
      <c r="X38" s="2">
        <f t="shared" si="15"/>
        <v>0</v>
      </c>
      <c r="Y38" s="2"/>
      <c r="Z38" s="19">
        <f t="shared" si="16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-68.08</v>
      </c>
      <c r="E39" s="2"/>
      <c r="F39" s="19">
        <f t="shared" si="9"/>
        <v>-3.0294332939524806E-3</v>
      </c>
      <c r="G39" s="2"/>
      <c r="H39" s="2"/>
      <c r="I39" s="2"/>
      <c r="J39" s="19">
        <f t="shared" si="10"/>
        <v>0</v>
      </c>
      <c r="K39" s="2"/>
      <c r="L39" s="2">
        <f t="shared" si="11"/>
        <v>-68.08</v>
      </c>
      <c r="M39" s="2"/>
      <c r="N39" s="19">
        <f t="shared" si="12"/>
        <v>0</v>
      </c>
      <c r="O39" s="11"/>
      <c r="P39" s="2">
        <v>21626.030000000002</v>
      </c>
      <c r="Q39" s="2"/>
      <c r="R39" s="19">
        <f t="shared" si="13"/>
        <v>8.7507583460757862E-2</v>
      </c>
      <c r="S39" s="2"/>
      <c r="T39" s="2"/>
      <c r="U39" s="2"/>
      <c r="V39" s="19">
        <f t="shared" si="14"/>
        <v>0</v>
      </c>
      <c r="W39" s="2"/>
      <c r="X39" s="2">
        <f t="shared" si="15"/>
        <v>21626.030000000002</v>
      </c>
      <c r="Y39" s="2"/>
      <c r="Z39" s="19">
        <f t="shared" si="16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4317.49</v>
      </c>
      <c r="E40" s="2"/>
      <c r="F40" s="19">
        <f t="shared" si="9"/>
        <v>0.19212026956972525</v>
      </c>
      <c r="G40" s="2"/>
      <c r="H40" s="2"/>
      <c r="I40" s="2"/>
      <c r="J40" s="19">
        <f t="shared" si="10"/>
        <v>0</v>
      </c>
      <c r="K40" s="2"/>
      <c r="L40" s="2">
        <f t="shared" si="11"/>
        <v>4317.49</v>
      </c>
      <c r="M40" s="2"/>
      <c r="N40" s="19">
        <f t="shared" si="12"/>
        <v>0</v>
      </c>
      <c r="O40" s="11"/>
      <c r="P40" s="2">
        <v>31727.820000000003</v>
      </c>
      <c r="Q40" s="2"/>
      <c r="R40" s="19">
        <f t="shared" si="13"/>
        <v>0.12838347383583129</v>
      </c>
      <c r="S40" s="2"/>
      <c r="T40" s="2"/>
      <c r="U40" s="2"/>
      <c r="V40" s="19">
        <f t="shared" si="14"/>
        <v>0</v>
      </c>
      <c r="W40" s="2"/>
      <c r="X40" s="2">
        <f t="shared" si="15"/>
        <v>31727.820000000003</v>
      </c>
      <c r="Y40" s="2"/>
      <c r="Z40" s="19">
        <f t="shared" si="16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2406.77</v>
      </c>
      <c r="E41" s="2"/>
      <c r="F41" s="19">
        <f t="shared" si="9"/>
        <v>0.10709678567693907</v>
      </c>
      <c r="G41" s="2"/>
      <c r="H41" s="2"/>
      <c r="I41" s="2"/>
      <c r="J41" s="19">
        <f t="shared" si="10"/>
        <v>0</v>
      </c>
      <c r="K41" s="2"/>
      <c r="L41" s="2">
        <f t="shared" si="11"/>
        <v>2406.77</v>
      </c>
      <c r="M41" s="2"/>
      <c r="N41" s="19">
        <f t="shared" si="12"/>
        <v>0</v>
      </c>
      <c r="O41" s="11"/>
      <c r="P41" s="2">
        <v>76006.77</v>
      </c>
      <c r="Q41" s="2"/>
      <c r="R41" s="19">
        <f t="shared" si="13"/>
        <v>0.30755384919736201</v>
      </c>
      <c r="S41" s="2"/>
      <c r="T41" s="2"/>
      <c r="U41" s="2"/>
      <c r="V41" s="19">
        <f t="shared" si="14"/>
        <v>0</v>
      </c>
      <c r="W41" s="2"/>
      <c r="X41" s="2">
        <f t="shared" si="15"/>
        <v>76006.77</v>
      </c>
      <c r="Y41" s="2"/>
      <c r="Z41" s="19">
        <f t="shared" si="16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231.73</v>
      </c>
      <c r="E42" s="2"/>
      <c r="F42" s="19">
        <f t="shared" si="9"/>
        <v>1.0311553719265691E-2</v>
      </c>
      <c r="G42" s="2"/>
      <c r="H42" s="2"/>
      <c r="I42" s="2"/>
      <c r="J42" s="19">
        <f t="shared" si="10"/>
        <v>0</v>
      </c>
      <c r="K42" s="2"/>
      <c r="L42" s="2">
        <f t="shared" si="11"/>
        <v>231.73</v>
      </c>
      <c r="M42" s="2"/>
      <c r="N42" s="19">
        <f t="shared" si="12"/>
        <v>0</v>
      </c>
      <c r="O42" s="11"/>
      <c r="P42" s="2">
        <v>3509.99</v>
      </c>
      <c r="Q42" s="2"/>
      <c r="R42" s="19">
        <f t="shared" si="13"/>
        <v>1.4202826079101224E-2</v>
      </c>
      <c r="S42" s="2"/>
      <c r="T42" s="2"/>
      <c r="U42" s="2"/>
      <c r="V42" s="19">
        <f t="shared" si="14"/>
        <v>0</v>
      </c>
      <c r="W42" s="2"/>
      <c r="X42" s="2">
        <f t="shared" si="15"/>
        <v>3509.99</v>
      </c>
      <c r="Y42" s="2"/>
      <c r="Z42" s="19">
        <f t="shared" si="16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2.33</v>
      </c>
      <c r="E43" s="2"/>
      <c r="F43" s="19">
        <f t="shared" si="9"/>
        <v>1.0368066355624677E-4</v>
      </c>
      <c r="G43" s="2"/>
      <c r="H43" s="2"/>
      <c r="I43" s="2"/>
      <c r="J43" s="19">
        <f t="shared" si="10"/>
        <v>0</v>
      </c>
      <c r="K43" s="2"/>
      <c r="L43" s="2">
        <f t="shared" si="11"/>
        <v>2.33</v>
      </c>
      <c r="M43" s="2"/>
      <c r="N43" s="19">
        <f t="shared" si="12"/>
        <v>0</v>
      </c>
      <c r="O43" s="11"/>
      <c r="P43" s="2">
        <v>268.17</v>
      </c>
      <c r="Q43" s="2"/>
      <c r="R43" s="19">
        <f t="shared" si="13"/>
        <v>1.0851232822978343E-3</v>
      </c>
      <c r="S43" s="2"/>
      <c r="T43" s="2"/>
      <c r="U43" s="2"/>
      <c r="V43" s="19">
        <f t="shared" si="14"/>
        <v>0</v>
      </c>
      <c r="W43" s="2"/>
      <c r="X43" s="2">
        <f t="shared" si="15"/>
        <v>268.17</v>
      </c>
      <c r="Y43" s="2"/>
      <c r="Z43" s="19">
        <f t="shared" si="16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0.72</v>
      </c>
      <c r="E44" s="2"/>
      <c r="F44" s="19">
        <f t="shared" si="9"/>
        <v>3.2038659983046208E-5</v>
      </c>
      <c r="G44" s="2"/>
      <c r="H44" s="2"/>
      <c r="I44" s="2"/>
      <c r="J44" s="19">
        <f t="shared" si="10"/>
        <v>0</v>
      </c>
      <c r="K44" s="2"/>
      <c r="L44" s="2">
        <f t="shared" si="11"/>
        <v>0.72</v>
      </c>
      <c r="M44" s="2"/>
      <c r="N44" s="19">
        <f t="shared" si="12"/>
        <v>0</v>
      </c>
      <c r="O44" s="11"/>
      <c r="P44" s="2">
        <v>289.60000000000002</v>
      </c>
      <c r="Q44" s="2"/>
      <c r="R44" s="19">
        <f t="shared" si="13"/>
        <v>1.1718376498245622E-3</v>
      </c>
      <c r="S44" s="2"/>
      <c r="T44" s="2"/>
      <c r="U44" s="2"/>
      <c r="V44" s="19">
        <f t="shared" si="14"/>
        <v>0</v>
      </c>
      <c r="W44" s="2"/>
      <c r="X44" s="2">
        <f t="shared" si="15"/>
        <v>289.60000000000002</v>
      </c>
      <c r="Y44" s="2"/>
      <c r="Z44" s="19">
        <f t="shared" si="16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>
        <v>1.76</v>
      </c>
      <c r="E45" s="2"/>
      <c r="F45" s="19">
        <f t="shared" si="9"/>
        <v>7.8316724403001845E-5</v>
      </c>
      <c r="G45" s="2"/>
      <c r="H45" s="2"/>
      <c r="I45" s="2"/>
      <c r="J45" s="19">
        <f t="shared" si="10"/>
        <v>0</v>
      </c>
      <c r="K45" s="2"/>
      <c r="L45" s="2">
        <f t="shared" si="11"/>
        <v>1.76</v>
      </c>
      <c r="M45" s="2"/>
      <c r="N45" s="19">
        <f t="shared" si="12"/>
        <v>0</v>
      </c>
      <c r="O45" s="11"/>
      <c r="P45" s="2">
        <v>36.25</v>
      </c>
      <c r="Q45" s="2"/>
      <c r="R45" s="19">
        <f t="shared" si="13"/>
        <v>1.4668202626429689E-4</v>
      </c>
      <c r="S45" s="2"/>
      <c r="T45" s="2"/>
      <c r="U45" s="2"/>
      <c r="V45" s="19">
        <f t="shared" si="14"/>
        <v>0</v>
      </c>
      <c r="W45" s="2"/>
      <c r="X45" s="2">
        <f t="shared" si="15"/>
        <v>36.25</v>
      </c>
      <c r="Y45" s="2"/>
      <c r="Z45" s="19">
        <f t="shared" si="16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-7217</v>
      </c>
      <c r="E46" s="2"/>
      <c r="F46" s="19">
        <f t="shared" si="9"/>
        <v>-0.32114306819117294</v>
      </c>
      <c r="G46" s="2"/>
      <c r="H46" s="2"/>
      <c r="I46" s="2"/>
      <c r="J46" s="19">
        <f t="shared" si="10"/>
        <v>0</v>
      </c>
      <c r="K46" s="2"/>
      <c r="L46" s="2">
        <f t="shared" si="11"/>
        <v>-7217</v>
      </c>
      <c r="M46" s="2"/>
      <c r="N46" s="19">
        <f t="shared" si="12"/>
        <v>0</v>
      </c>
      <c r="O46" s="11"/>
      <c r="P46" s="2">
        <v>-135290</v>
      </c>
      <c r="Q46" s="2"/>
      <c r="R46" s="19">
        <f t="shared" si="13"/>
        <v>-0.54743755402197858</v>
      </c>
      <c r="S46" s="2"/>
      <c r="T46" s="2"/>
      <c r="U46" s="2"/>
      <c r="V46" s="19">
        <f t="shared" si="14"/>
        <v>0</v>
      </c>
      <c r="W46" s="2"/>
      <c r="X46" s="2">
        <f t="shared" si="15"/>
        <v>-135290</v>
      </c>
      <c r="Y46" s="2"/>
      <c r="Z46" s="19">
        <f t="shared" si="16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10839</v>
      </c>
      <c r="E47" s="2"/>
      <c r="F47" s="19">
        <f t="shared" si="9"/>
        <v>0.48231532716144149</v>
      </c>
      <c r="G47" s="2"/>
      <c r="H47" s="2"/>
      <c r="I47" s="2"/>
      <c r="J47" s="19">
        <f t="shared" si="10"/>
        <v>0</v>
      </c>
      <c r="K47" s="2"/>
      <c r="L47" s="2">
        <f t="shared" si="11"/>
        <v>10839</v>
      </c>
      <c r="M47" s="2"/>
      <c r="N47" s="19">
        <f t="shared" si="12"/>
        <v>0</v>
      </c>
      <c r="O47" s="11"/>
      <c r="P47" s="2">
        <v>115400</v>
      </c>
      <c r="Q47" s="2"/>
      <c r="R47" s="19">
        <f t="shared" si="13"/>
        <v>0.46695464361103062</v>
      </c>
      <c r="S47" s="2"/>
      <c r="T47" s="2"/>
      <c r="U47" s="2"/>
      <c r="V47" s="19">
        <f t="shared" si="14"/>
        <v>0</v>
      </c>
      <c r="W47" s="2"/>
      <c r="X47" s="2">
        <f t="shared" si="15"/>
        <v>115400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6</v>
      </c>
      <c r="Q48" s="2"/>
      <c r="R48" s="19">
        <f t="shared" si="13"/>
        <v>2.4278404347193966E-5</v>
      </c>
      <c r="S48" s="2"/>
      <c r="T48" s="2"/>
      <c r="U48" s="2"/>
      <c r="V48" s="19">
        <f t="shared" si="14"/>
        <v>0</v>
      </c>
      <c r="W48" s="2"/>
      <c r="X48" s="2">
        <f t="shared" si="15"/>
        <v>6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247.49</v>
      </c>
      <c r="E49" s="2"/>
      <c r="F49" s="19">
        <f t="shared" si="9"/>
        <v>1.1012844387783481E-2</v>
      </c>
      <c r="G49" s="2"/>
      <c r="H49" s="2"/>
      <c r="I49" s="2"/>
      <c r="J49" s="19">
        <f t="shared" si="10"/>
        <v>0</v>
      </c>
      <c r="K49" s="2"/>
      <c r="L49" s="2">
        <f t="shared" si="11"/>
        <v>247.49</v>
      </c>
      <c r="M49" s="2"/>
      <c r="N49" s="19">
        <f t="shared" si="12"/>
        <v>0</v>
      </c>
      <c r="O49" s="11"/>
      <c r="P49" s="2">
        <v>622.41</v>
      </c>
      <c r="Q49" s="2"/>
      <c r="R49" s="19">
        <f t="shared" si="13"/>
        <v>2.5185202749561661E-3</v>
      </c>
      <c r="S49" s="2"/>
      <c r="T49" s="2"/>
      <c r="U49" s="2"/>
      <c r="V49" s="19">
        <f t="shared" si="14"/>
        <v>0</v>
      </c>
      <c r="W49" s="2"/>
      <c r="X49" s="2">
        <f t="shared" si="15"/>
        <v>622.41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>
        <v>42.86</v>
      </c>
      <c r="E50" s="2"/>
      <c r="F50" s="19">
        <f t="shared" si="9"/>
        <v>1.9071902317685564E-3</v>
      </c>
      <c r="G50" s="2"/>
      <c r="H50" s="2"/>
      <c r="I50" s="2"/>
      <c r="J50" s="19">
        <f t="shared" si="10"/>
        <v>0</v>
      </c>
      <c r="K50" s="2"/>
      <c r="L50" s="2">
        <f t="shared" si="11"/>
        <v>42.86</v>
      </c>
      <c r="M50" s="2"/>
      <c r="N50" s="19">
        <f t="shared" si="12"/>
        <v>0</v>
      </c>
      <c r="O50" s="11"/>
      <c r="P50" s="2">
        <v>260.35000000000002</v>
      </c>
      <c r="Q50" s="2"/>
      <c r="R50" s="19">
        <f t="shared" si="13"/>
        <v>1.0534804286319915E-3</v>
      </c>
      <c r="S50" s="2"/>
      <c r="T50" s="2"/>
      <c r="U50" s="2"/>
      <c r="V50" s="19">
        <f t="shared" si="14"/>
        <v>0</v>
      </c>
      <c r="W50" s="2"/>
      <c r="X50" s="2">
        <f t="shared" si="15"/>
        <v>260.35000000000002</v>
      </c>
      <c r="Y50" s="2"/>
      <c r="Z50" s="19">
        <f t="shared" si="16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25.34</v>
      </c>
      <c r="E51" s="2"/>
      <c r="F51" s="19">
        <f t="shared" si="9"/>
        <v>1.1275828388477654E-3</v>
      </c>
      <c r="G51" s="2"/>
      <c r="H51" s="2"/>
      <c r="I51" s="2"/>
      <c r="J51" s="19">
        <f t="shared" si="10"/>
        <v>0</v>
      </c>
      <c r="K51" s="2"/>
      <c r="L51" s="2">
        <f t="shared" si="11"/>
        <v>25.34</v>
      </c>
      <c r="M51" s="2"/>
      <c r="N51" s="19">
        <f t="shared" si="12"/>
        <v>0</v>
      </c>
      <c r="O51" s="11"/>
      <c r="P51" s="2">
        <v>885.4</v>
      </c>
      <c r="Q51" s="2"/>
      <c r="R51" s="19">
        <f t="shared" si="13"/>
        <v>3.5826832015009229E-3</v>
      </c>
      <c r="S51" s="2"/>
      <c r="T51" s="2"/>
      <c r="U51" s="2"/>
      <c r="V51" s="19">
        <f t="shared" si="14"/>
        <v>0</v>
      </c>
      <c r="W51" s="2"/>
      <c r="X51" s="2">
        <f t="shared" si="15"/>
        <v>885.4</v>
      </c>
      <c r="Y51" s="2"/>
      <c r="Z51" s="19">
        <f t="shared" si="16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>
        <v>9.1</v>
      </c>
      <c r="E52" s="2"/>
      <c r="F52" s="19">
        <f t="shared" si="9"/>
        <v>4.0493306367461181E-4</v>
      </c>
      <c r="G52" s="2"/>
      <c r="H52" s="2"/>
      <c r="I52" s="2"/>
      <c r="J52" s="19">
        <f t="shared" si="10"/>
        <v>0</v>
      </c>
      <c r="K52" s="2"/>
      <c r="L52" s="2">
        <f t="shared" si="11"/>
        <v>9.1</v>
      </c>
      <c r="M52" s="2"/>
      <c r="N52" s="19">
        <f t="shared" si="12"/>
        <v>0</v>
      </c>
      <c r="O52" s="11"/>
      <c r="P52" s="2">
        <v>56.91</v>
      </c>
      <c r="Q52" s="2"/>
      <c r="R52" s="19">
        <f t="shared" si="13"/>
        <v>2.3028066523313477E-4</v>
      </c>
      <c r="S52" s="2"/>
      <c r="T52" s="2"/>
      <c r="U52" s="2"/>
      <c r="V52" s="19">
        <f t="shared" si="14"/>
        <v>0</v>
      </c>
      <c r="W52" s="2"/>
      <c r="X52" s="2">
        <f t="shared" si="15"/>
        <v>56.91</v>
      </c>
      <c r="Y52" s="2"/>
      <c r="Z52" s="19">
        <f t="shared" si="16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D12-D36</f>
        <v>11633.339999999997</v>
      </c>
      <c r="E54" s="14"/>
      <c r="F54" s="20">
        <f>IF(D$12=0,0,D54/D$12)</f>
        <v>0.51766197878773712</v>
      </c>
      <c r="G54" s="14"/>
      <c r="H54" s="22">
        <f>H12-H36</f>
        <v>11130</v>
      </c>
      <c r="I54" s="14"/>
      <c r="J54" s="20">
        <f>IF(H$12=0,0,H54/H$12)</f>
        <v>0.49000616359954213</v>
      </c>
      <c r="K54" s="16"/>
      <c r="L54" s="22">
        <f>+D54-H54</f>
        <v>503.33999999999651</v>
      </c>
      <c r="M54" s="16"/>
      <c r="N54" s="20">
        <f>IF(H54=0,0,L54/H54)</f>
        <v>4.5223719676549548E-2</v>
      </c>
      <c r="O54" s="28"/>
      <c r="P54" s="22">
        <f>P12-P36</f>
        <v>131727.50999999998</v>
      </c>
      <c r="Q54" s="14"/>
      <c r="R54" s="20">
        <f>IF(P$12=0,0,P54/P$12)</f>
        <v>0.53302229190483941</v>
      </c>
      <c r="S54" s="14"/>
      <c r="T54" s="22">
        <f>T12-T36</f>
        <v>135667</v>
      </c>
      <c r="U54" s="14"/>
      <c r="V54" s="20">
        <f>IF(T$12=0,0,T54/T$12)</f>
        <v>0.49000783769824502</v>
      </c>
      <c r="W54" s="16"/>
      <c r="X54" s="22">
        <f>+P54-T54</f>
        <v>-3939.4900000000198</v>
      </c>
      <c r="Y54" s="16"/>
      <c r="Z54" s="20">
        <f>IF(T54=0,0,X54/T54)</f>
        <v>-2.9037938481723778E-2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8744.32</v>
      </c>
      <c r="E56" s="21"/>
      <c r="F56" s="30">
        <f t="shared" ref="F56:F65" si="17">IF(D$12=0,0,D56/D$12)</f>
        <v>0.389105965642987</v>
      </c>
      <c r="G56" s="21"/>
      <c r="H56" s="21">
        <f>SUM(OSRRefH22x_0)</f>
        <v>8664.4332055446102</v>
      </c>
      <c r="I56" s="21"/>
      <c r="J56" s="30">
        <f t="shared" ref="J56:J65" si="18">IF(H$12=0,0,H56/H$12)</f>
        <v>0.381457832418095</v>
      </c>
      <c r="K56" s="4"/>
      <c r="L56" s="21">
        <f t="shared" ref="L56:L65" si="19">+D56-H56</f>
        <v>79.886794455389463</v>
      </c>
      <c r="M56" s="4"/>
      <c r="N56" s="30">
        <f t="shared" ref="N56:N65" si="20">IF(H56=0,0,L56/H56)</f>
        <v>9.2200831329933616E-3</v>
      </c>
      <c r="O56" s="10"/>
      <c r="P56" s="21">
        <f>SUM(OSRRefP22x_0)</f>
        <v>59579.82</v>
      </c>
      <c r="Q56" s="21"/>
      <c r="R56" s="30">
        <f t="shared" ref="R56:R65" si="21">IF(P$12=0,0,P56/P$12)</f>
        <v>0.24108382681550566</v>
      </c>
      <c r="S56" s="21"/>
      <c r="T56" s="21">
        <f>SUM(OSRRefT22x_0)</f>
        <v>60258.501911039981</v>
      </c>
      <c r="U56" s="21"/>
      <c r="V56" s="30">
        <f t="shared" ref="V56:V65" si="22">IF(T$12=0,0,T56/T$12)</f>
        <v>0.21764421874416229</v>
      </c>
      <c r="W56" s="4"/>
      <c r="X56" s="21">
        <f t="shared" ref="X56:X65" si="23">+P56-T56</f>
        <v>-678.68191103998106</v>
      </c>
      <c r="Y56" s="4"/>
      <c r="Z56" s="30">
        <f t="shared" ref="Z56:Z65" si="24">IF(T56=0,0,X56/T56)</f>
        <v>-1.1262840753026413E-2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2042.7599999999998</v>
      </c>
      <c r="E57" s="1"/>
      <c r="F57" s="5">
        <f t="shared" si="17"/>
        <v>9.0899018148565935E-2</v>
      </c>
      <c r="G57" s="1"/>
      <c r="H57" s="1">
        <f>SUM(OSRRefH22_0x_0)</f>
        <v>1507.525611698461</v>
      </c>
      <c r="I57" s="1"/>
      <c r="J57" s="5">
        <f t="shared" si="18"/>
        <v>6.6369886928698649E-2</v>
      </c>
      <c r="K57" s="1"/>
      <c r="L57" s="1">
        <f t="shared" si="19"/>
        <v>535.23438830153873</v>
      </c>
      <c r="M57" s="1"/>
      <c r="N57" s="5">
        <f t="shared" si="20"/>
        <v>0.35504165511225666</v>
      </c>
      <c r="O57" s="13"/>
      <c r="P57" s="1">
        <f>SUM(OSRRefP22_0x_0)</f>
        <v>10639.530000000002</v>
      </c>
      <c r="Q57" s="1"/>
      <c r="R57" s="5">
        <f t="shared" si="21"/>
        <v>4.3051801900683445E-2</v>
      </c>
      <c r="S57" s="1"/>
      <c r="T57" s="1">
        <f>SUM(OSRRefT22_0x_0)</f>
        <v>10279.852551039998</v>
      </c>
      <c r="U57" s="1"/>
      <c r="V57" s="5">
        <f t="shared" si="22"/>
        <v>3.7129208432351984E-2</v>
      </c>
      <c r="W57" s="1"/>
      <c r="X57" s="1">
        <f t="shared" si="23"/>
        <v>359.67744896000477</v>
      </c>
      <c r="Y57" s="1"/>
      <c r="Z57" s="5">
        <f t="shared" si="24"/>
        <v>3.4988580543756607E-2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254.5</v>
      </c>
      <c r="E58" s="2"/>
      <c r="F58" s="7">
        <f t="shared" si="17"/>
        <v>1.1324776341229529E-2</v>
      </c>
      <c r="G58" s="2"/>
      <c r="H58" s="6">
        <v>174.43080234461499</v>
      </c>
      <c r="I58" s="2"/>
      <c r="J58" s="7">
        <f t="shared" si="18"/>
        <v>7.6794400961792278E-3</v>
      </c>
      <c r="K58" s="2"/>
      <c r="L58" s="6">
        <f t="shared" si="19"/>
        <v>80.069197655385011</v>
      </c>
      <c r="M58" s="2"/>
      <c r="N58" s="7">
        <f t="shared" si="20"/>
        <v>0.45903129825199074</v>
      </c>
      <c r="O58" s="11"/>
      <c r="P58" s="6">
        <v>1669.67</v>
      </c>
      <c r="Q58" s="2"/>
      <c r="R58" s="7">
        <f t="shared" si="21"/>
        <v>6.7561538977298921E-3</v>
      </c>
      <c r="S58" s="2"/>
      <c r="T58" s="6">
        <v>1878.2457902399979</v>
      </c>
      <c r="U58" s="2"/>
      <c r="V58" s="7">
        <f t="shared" si="22"/>
        <v>6.7839279879508855E-3</v>
      </c>
      <c r="W58" s="2"/>
      <c r="X58" s="6">
        <f t="shared" si="23"/>
        <v>-208.57579023999779</v>
      </c>
      <c r="Y58" s="2"/>
      <c r="Z58" s="7">
        <f t="shared" si="24"/>
        <v>-0.11104818726272585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177.32</v>
      </c>
      <c r="E59" s="2"/>
      <c r="F59" s="7">
        <f t="shared" si="17"/>
        <v>7.8904099836024366E-3</v>
      </c>
      <c r="G59" s="2"/>
      <c r="H59" s="6">
        <v>112.27570030769201</v>
      </c>
      <c r="I59" s="2"/>
      <c r="J59" s="7">
        <f t="shared" si="18"/>
        <v>4.9430175357793437E-3</v>
      </c>
      <c r="K59" s="2"/>
      <c r="L59" s="6">
        <f t="shared" si="19"/>
        <v>65.044299692307987</v>
      </c>
      <c r="M59" s="2"/>
      <c r="N59" s="7">
        <f t="shared" si="20"/>
        <v>0.57932659973666456</v>
      </c>
      <c r="O59" s="11"/>
      <c r="P59" s="6">
        <v>704.38</v>
      </c>
      <c r="Q59" s="2"/>
      <c r="R59" s="7">
        <f t="shared" si="21"/>
        <v>2.8502037423460812E-3</v>
      </c>
      <c r="S59" s="2"/>
      <c r="T59" s="6">
        <v>809.09330199999795</v>
      </c>
      <c r="U59" s="2"/>
      <c r="V59" s="7">
        <f t="shared" si="22"/>
        <v>2.9223175820881431E-3</v>
      </c>
      <c r="W59" s="2"/>
      <c r="X59" s="6">
        <f t="shared" si="23"/>
        <v>-104.71330199999795</v>
      </c>
      <c r="Y59" s="2"/>
      <c r="Z59" s="7">
        <f t="shared" si="24"/>
        <v>-0.12942055229125876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1138.32</v>
      </c>
      <c r="E60" s="2"/>
      <c r="F60" s="7">
        <f t="shared" si="17"/>
        <v>5.0653121433196058E-2</v>
      </c>
      <c r="G60" s="2"/>
      <c r="H60" s="6">
        <v>790.8</v>
      </c>
      <c r="I60" s="2"/>
      <c r="J60" s="7">
        <f t="shared" si="18"/>
        <v>3.4815532270846175E-2</v>
      </c>
      <c r="K60" s="2"/>
      <c r="L60" s="6">
        <f t="shared" si="19"/>
        <v>347.52</v>
      </c>
      <c r="M60" s="2"/>
      <c r="N60" s="7">
        <f t="shared" si="20"/>
        <v>0.43945371775417297</v>
      </c>
      <c r="O60" s="11"/>
      <c r="P60" s="6">
        <v>5018.76</v>
      </c>
      <c r="Q60" s="2"/>
      <c r="R60" s="7">
        <f t="shared" si="21"/>
        <v>2.0307914100253868E-2</v>
      </c>
      <c r="S60" s="2"/>
      <c r="T60" s="6">
        <v>4744.8</v>
      </c>
      <c r="U60" s="2"/>
      <c r="V60" s="7">
        <f t="shared" si="22"/>
        <v>1.7137470337743394E-2</v>
      </c>
      <c r="W60" s="2"/>
      <c r="X60" s="6">
        <f t="shared" si="23"/>
        <v>273.96000000000004</v>
      </c>
      <c r="Y60" s="2"/>
      <c r="Z60" s="7">
        <f t="shared" si="24"/>
        <v>5.773899848254932E-2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24.26</v>
      </c>
      <c r="E61" s="2"/>
      <c r="F61" s="7">
        <f t="shared" si="17"/>
        <v>1.079524848873196E-3</v>
      </c>
      <c r="G61" s="2"/>
      <c r="H61" s="6">
        <v>15.364043199999999</v>
      </c>
      <c r="I61" s="2"/>
      <c r="J61" s="7">
        <f t="shared" si="18"/>
        <v>6.7641292594875402E-4</v>
      </c>
      <c r="K61" s="2"/>
      <c r="L61" s="6">
        <f t="shared" si="19"/>
        <v>8.8959568000000022</v>
      </c>
      <c r="M61" s="2"/>
      <c r="N61" s="7">
        <f t="shared" si="20"/>
        <v>0.57901144146743888</v>
      </c>
      <c r="O61" s="11"/>
      <c r="P61" s="6">
        <v>115.96</v>
      </c>
      <c r="Q61" s="2"/>
      <c r="R61" s="7">
        <f t="shared" si="21"/>
        <v>4.692206280167687E-4</v>
      </c>
      <c r="S61" s="2"/>
      <c r="T61" s="6">
        <v>110.71803079999999</v>
      </c>
      <c r="U61" s="2"/>
      <c r="V61" s="7">
        <f t="shared" si="22"/>
        <v>3.9989609018048375E-4</v>
      </c>
      <c r="W61" s="2"/>
      <c r="X61" s="6">
        <f t="shared" si="23"/>
        <v>5.2419691999999998</v>
      </c>
      <c r="Y61" s="2"/>
      <c r="Z61" s="7">
        <f t="shared" si="24"/>
        <v>4.7345217053842328E-2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232.24</v>
      </c>
      <c r="E62" s="2"/>
      <c r="F62" s="7">
        <f t="shared" si="17"/>
        <v>1.0334247770087018E-2</v>
      </c>
      <c r="G62" s="2"/>
      <c r="H62" s="6">
        <v>196.01527507692302</v>
      </c>
      <c r="I62" s="2"/>
      <c r="J62" s="7">
        <f t="shared" si="18"/>
        <v>8.6297118551079965E-3</v>
      </c>
      <c r="K62" s="2"/>
      <c r="L62" s="6">
        <f t="shared" si="19"/>
        <v>36.224724923076991</v>
      </c>
      <c r="M62" s="2"/>
      <c r="N62" s="7">
        <f t="shared" si="20"/>
        <v>0.1848056224641737</v>
      </c>
      <c r="O62" s="11"/>
      <c r="P62" s="6">
        <v>1027.52</v>
      </c>
      <c r="Q62" s="2"/>
      <c r="R62" s="7">
        <f t="shared" si="21"/>
        <v>4.1577576724714576E-3</v>
      </c>
      <c r="S62" s="2"/>
      <c r="T62" s="6">
        <v>1274.0992879999999</v>
      </c>
      <c r="U62" s="2"/>
      <c r="V62" s="7">
        <f t="shared" si="22"/>
        <v>4.6018459693643512E-3</v>
      </c>
      <c r="W62" s="2"/>
      <c r="X62" s="6">
        <f t="shared" si="23"/>
        <v>-246.57928799999991</v>
      </c>
      <c r="Y62" s="2"/>
      <c r="Z62" s="7">
        <f t="shared" si="24"/>
        <v>-0.19353223906675626</v>
      </c>
    </row>
    <row r="63" spans="1:26" s="24" customFormat="1" hidden="1" outlineLevel="2" x14ac:dyDescent="0.25">
      <c r="A63" s="26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7"/>
        <v>0</v>
      </c>
      <c r="G63" s="2"/>
      <c r="H63" s="6">
        <v>0</v>
      </c>
      <c r="I63" s="2"/>
      <c r="J63" s="7">
        <f t="shared" si="18"/>
        <v>0</v>
      </c>
      <c r="K63" s="2"/>
      <c r="L63" s="6">
        <f t="shared" si="19"/>
        <v>0</v>
      </c>
      <c r="M63" s="2"/>
      <c r="N63" s="7">
        <f t="shared" si="20"/>
        <v>0</v>
      </c>
      <c r="O63" s="11"/>
      <c r="P63" s="6"/>
      <c r="Q63" s="2"/>
      <c r="R63" s="7">
        <f t="shared" si="21"/>
        <v>0</v>
      </c>
      <c r="S63" s="2"/>
      <c r="T63" s="6">
        <v>0</v>
      </c>
      <c r="U63" s="2"/>
      <c r="V63" s="7">
        <f t="shared" si="22"/>
        <v>0</v>
      </c>
      <c r="W63" s="2"/>
      <c r="X63" s="6">
        <f t="shared" si="23"/>
        <v>0</v>
      </c>
      <c r="Y63" s="2"/>
      <c r="Z63" s="7">
        <f t="shared" si="24"/>
        <v>0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62.76</v>
      </c>
      <c r="E64" s="2"/>
      <c r="F64" s="7">
        <f t="shared" si="17"/>
        <v>2.7927031951888613E-3</v>
      </c>
      <c r="G64" s="2"/>
      <c r="H64" s="6">
        <v>113.962369230769</v>
      </c>
      <c r="I64" s="2"/>
      <c r="J64" s="7">
        <f t="shared" si="18"/>
        <v>5.0172743343651054E-3</v>
      </c>
      <c r="K64" s="2"/>
      <c r="L64" s="6">
        <f t="shared" si="19"/>
        <v>-51.202369230769001</v>
      </c>
      <c r="M64" s="2"/>
      <c r="N64" s="7">
        <f t="shared" si="20"/>
        <v>-0.44929189851332729</v>
      </c>
      <c r="O64" s="11"/>
      <c r="P64" s="6">
        <v>997.86</v>
      </c>
      <c r="Q64" s="2"/>
      <c r="R64" s="7">
        <f t="shared" si="21"/>
        <v>4.0377414269818284E-3</v>
      </c>
      <c r="S64" s="2"/>
      <c r="T64" s="6">
        <v>740.75540000000001</v>
      </c>
      <c r="U64" s="2"/>
      <c r="V64" s="7">
        <f t="shared" si="22"/>
        <v>2.6754918426536928E-3</v>
      </c>
      <c r="W64" s="2"/>
      <c r="X64" s="6">
        <f t="shared" si="23"/>
        <v>257.1046</v>
      </c>
      <c r="Y64" s="2"/>
      <c r="Z64" s="7">
        <f t="shared" si="24"/>
        <v>0.34708434120088766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153.36000000000001</v>
      </c>
      <c r="E65" s="2"/>
      <c r="F65" s="7">
        <f t="shared" si="17"/>
        <v>6.824234576388844E-3</v>
      </c>
      <c r="G65" s="2"/>
      <c r="H65" s="6">
        <v>104.677421538462</v>
      </c>
      <c r="I65" s="2"/>
      <c r="J65" s="7">
        <f t="shared" si="18"/>
        <v>4.6084979104720437E-3</v>
      </c>
      <c r="K65" s="2"/>
      <c r="L65" s="6">
        <f t="shared" si="19"/>
        <v>48.682578461538014</v>
      </c>
      <c r="M65" s="2"/>
      <c r="N65" s="7">
        <f t="shared" si="20"/>
        <v>0.46507238854417521</v>
      </c>
      <c r="O65" s="11"/>
      <c r="P65" s="6">
        <v>1105.3800000000001</v>
      </c>
      <c r="Q65" s="2"/>
      <c r="R65" s="7">
        <f t="shared" si="21"/>
        <v>4.4728104328835448E-3</v>
      </c>
      <c r="S65" s="2"/>
      <c r="T65" s="6">
        <v>722.1407400000021</v>
      </c>
      <c r="U65" s="2"/>
      <c r="V65" s="7">
        <f t="shared" si="22"/>
        <v>2.6082586223710375E-3</v>
      </c>
      <c r="W65" s="2"/>
      <c r="X65" s="6">
        <f t="shared" si="23"/>
        <v>383.23925999999801</v>
      </c>
      <c r="Y65" s="2"/>
      <c r="Z65" s="7">
        <f t="shared" si="24"/>
        <v>0.5306988496452878</v>
      </c>
    </row>
    <row r="66" spans="1:26" s="25" customFormat="1" outlineLevel="1" collapsed="1" x14ac:dyDescent="0.25">
      <c r="A66" s="27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5878.3</v>
      </c>
      <c r="E66" s="1"/>
      <c r="F66" s="5">
        <f t="shared" ref="F66:F76" si="25">IF(D$12=0,0,D66/D$12)</f>
        <v>0.26157340969213966</v>
      </c>
      <c r="G66" s="1"/>
      <c r="H66" s="1">
        <f>SUM(OSRRefH22_1x_0)</f>
        <v>5726.9075938461501</v>
      </c>
      <c r="I66" s="1"/>
      <c r="J66" s="5">
        <f t="shared" ref="J66:J76" si="26">IF(H$12=0,0,H66/H$12)</f>
        <v>0.25213117873761337</v>
      </c>
      <c r="K66" s="1"/>
      <c r="L66" s="1">
        <f t="shared" ref="L66:L76" si="27">+D66-H66</f>
        <v>151.39240615385006</v>
      </c>
      <c r="M66" s="1"/>
      <c r="N66" s="5">
        <f t="shared" ref="N66:N76" si="28">IF(H66=0,0,L66/H66)</f>
        <v>2.6435280065724966E-2</v>
      </c>
      <c r="O66" s="13"/>
      <c r="P66" s="1">
        <f>SUM(OSRRefP22_1x_0)</f>
        <v>41907.949999999997</v>
      </c>
      <c r="Q66" s="1"/>
      <c r="R66" s="5">
        <f t="shared" ref="R66:R76" si="29">IF(P$12=0,0,P66/P$12)</f>
        <v>0.16957635924366454</v>
      </c>
      <c r="S66" s="1"/>
      <c r="T66" s="1">
        <f>SUM(OSRRefT22_1x_0)</f>
        <v>41398.649359999981</v>
      </c>
      <c r="U66" s="1"/>
      <c r="V66" s="5">
        <f t="shared" ref="V66:V76" si="30">IF(T$12=0,0,T66/T$12)</f>
        <v>0.14952540158270933</v>
      </c>
      <c r="W66" s="1"/>
      <c r="X66" s="1">
        <f t="shared" ref="X66:X76" si="31">+P66-T66</f>
        <v>509.30064000001585</v>
      </c>
      <c r="Y66" s="1"/>
      <c r="Z66" s="5">
        <f t="shared" ref="Z66:Z76" si="32">IF(T66=0,0,X66/T66)</f>
        <v>1.23023491798288E-2</v>
      </c>
    </row>
    <row r="67" spans="1:26" s="24" customFormat="1" hidden="1" outlineLevel="2" x14ac:dyDescent="0.25">
      <c r="A67" s="26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5"/>
        <v>0</v>
      </c>
      <c r="G67" s="2"/>
      <c r="H67" s="6">
        <v>2096.9075938461501</v>
      </c>
      <c r="I67" s="2"/>
      <c r="J67" s="7">
        <f t="shared" si="26"/>
        <v>9.2317847752317952E-2</v>
      </c>
      <c r="K67" s="2"/>
      <c r="L67" s="6">
        <f t="shared" si="27"/>
        <v>-2096.9075938461501</v>
      </c>
      <c r="M67" s="2"/>
      <c r="N67" s="7">
        <f t="shared" si="28"/>
        <v>-1</v>
      </c>
      <c r="O67" s="11"/>
      <c r="P67" s="6"/>
      <c r="Q67" s="2"/>
      <c r="R67" s="7">
        <f t="shared" si="29"/>
        <v>0</v>
      </c>
      <c r="S67" s="2"/>
      <c r="T67" s="6">
        <v>13629.899359999981</v>
      </c>
      <c r="U67" s="2"/>
      <c r="V67" s="7">
        <f t="shared" si="30"/>
        <v>4.9229049904827883E-2</v>
      </c>
      <c r="W67" s="2"/>
      <c r="X67" s="6">
        <f t="shared" si="31"/>
        <v>-13629.899359999981</v>
      </c>
      <c r="Y67" s="2"/>
      <c r="Z67" s="7">
        <f t="shared" si="32"/>
        <v>-1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3228.8</v>
      </c>
      <c r="E68" s="2"/>
      <c r="F68" s="7">
        <f t="shared" si="25"/>
        <v>0.14367559076841613</v>
      </c>
      <c r="G68" s="2"/>
      <c r="H68" s="6">
        <v>0</v>
      </c>
      <c r="I68" s="2"/>
      <c r="J68" s="7">
        <f t="shared" si="26"/>
        <v>0</v>
      </c>
      <c r="K68" s="2"/>
      <c r="L68" s="6">
        <f t="shared" si="27"/>
        <v>3228.8</v>
      </c>
      <c r="M68" s="2"/>
      <c r="N68" s="7">
        <f t="shared" si="28"/>
        <v>0</v>
      </c>
      <c r="O68" s="11"/>
      <c r="P68" s="6">
        <v>14225.71</v>
      </c>
      <c r="Q68" s="2"/>
      <c r="R68" s="7">
        <f t="shared" si="29"/>
        <v>5.7562923250986775E-2</v>
      </c>
      <c r="S68" s="2"/>
      <c r="T68" s="6">
        <v>0</v>
      </c>
      <c r="U68" s="2"/>
      <c r="V68" s="7">
        <f t="shared" si="30"/>
        <v>0</v>
      </c>
      <c r="W68" s="2"/>
      <c r="X68" s="6">
        <f t="shared" si="31"/>
        <v>14225.71</v>
      </c>
      <c r="Y68" s="2"/>
      <c r="Z68" s="7">
        <f t="shared" si="32"/>
        <v>0</v>
      </c>
    </row>
    <row r="69" spans="1:26" s="24" customFormat="1" hidden="1" outlineLevel="2" x14ac:dyDescent="0.25">
      <c r="A69" s="26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5"/>
        <v>0</v>
      </c>
      <c r="G69" s="2"/>
      <c r="H69" s="6">
        <v>0</v>
      </c>
      <c r="I69" s="2"/>
      <c r="J69" s="7">
        <f t="shared" si="26"/>
        <v>0</v>
      </c>
      <c r="K69" s="2"/>
      <c r="L69" s="6">
        <f t="shared" si="27"/>
        <v>0</v>
      </c>
      <c r="M69" s="2"/>
      <c r="N69" s="7">
        <f t="shared" si="28"/>
        <v>0</v>
      </c>
      <c r="O69" s="11"/>
      <c r="P69" s="6"/>
      <c r="Q69" s="2"/>
      <c r="R69" s="7">
        <f t="shared" si="29"/>
        <v>0</v>
      </c>
      <c r="S69" s="2"/>
      <c r="T69" s="6">
        <v>0</v>
      </c>
      <c r="U69" s="2"/>
      <c r="V69" s="7">
        <f t="shared" si="30"/>
        <v>0</v>
      </c>
      <c r="W69" s="2"/>
      <c r="X69" s="6">
        <f t="shared" si="31"/>
        <v>0</v>
      </c>
      <c r="Y69" s="2"/>
      <c r="Z69" s="7">
        <f t="shared" si="32"/>
        <v>0</v>
      </c>
    </row>
    <row r="70" spans="1:26" s="24" customFormat="1" hidden="1" outlineLevel="2" x14ac:dyDescent="0.25">
      <c r="A70" s="26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5"/>
        <v>0</v>
      </c>
      <c r="G70" s="2"/>
      <c r="H70" s="6">
        <v>0</v>
      </c>
      <c r="I70" s="2"/>
      <c r="J70" s="7">
        <f t="shared" si="26"/>
        <v>0</v>
      </c>
      <c r="K70" s="2"/>
      <c r="L70" s="6">
        <f t="shared" si="27"/>
        <v>0</v>
      </c>
      <c r="M70" s="2"/>
      <c r="N70" s="7">
        <f t="shared" si="28"/>
        <v>0</v>
      </c>
      <c r="O70" s="11"/>
      <c r="P70" s="6">
        <v>-48</v>
      </c>
      <c r="Q70" s="2"/>
      <c r="R70" s="7">
        <f t="shared" si="29"/>
        <v>-1.9422723477755172E-4</v>
      </c>
      <c r="S70" s="2"/>
      <c r="T70" s="6">
        <v>0</v>
      </c>
      <c r="U70" s="2"/>
      <c r="V70" s="7">
        <f t="shared" si="30"/>
        <v>0</v>
      </c>
      <c r="W70" s="2"/>
      <c r="X70" s="6">
        <f t="shared" si="31"/>
        <v>-48</v>
      </c>
      <c r="Y70" s="2"/>
      <c r="Z70" s="7">
        <f t="shared" si="32"/>
        <v>0</v>
      </c>
    </row>
    <row r="71" spans="1:26" s="24" customFormat="1" hidden="1" outlineLevel="2" x14ac:dyDescent="0.25">
      <c r="A71" s="26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5"/>
        <v>0</v>
      </c>
      <c r="G71" s="2"/>
      <c r="H71" s="6">
        <v>0</v>
      </c>
      <c r="I71" s="2"/>
      <c r="J71" s="7">
        <f t="shared" si="26"/>
        <v>0</v>
      </c>
      <c r="K71" s="2"/>
      <c r="L71" s="6">
        <f t="shared" si="27"/>
        <v>0</v>
      </c>
      <c r="M71" s="2"/>
      <c r="N71" s="7">
        <f t="shared" si="28"/>
        <v>0</v>
      </c>
      <c r="O71" s="11"/>
      <c r="P71" s="6"/>
      <c r="Q71" s="2"/>
      <c r="R71" s="7">
        <f t="shared" si="29"/>
        <v>0</v>
      </c>
      <c r="S71" s="2"/>
      <c r="T71" s="6">
        <v>0</v>
      </c>
      <c r="U71" s="2"/>
      <c r="V71" s="7">
        <f t="shared" si="30"/>
        <v>0</v>
      </c>
      <c r="W71" s="2"/>
      <c r="X71" s="6">
        <f t="shared" si="31"/>
        <v>0</v>
      </c>
      <c r="Y71" s="2"/>
      <c r="Z71" s="7">
        <f t="shared" si="32"/>
        <v>0</v>
      </c>
    </row>
    <row r="72" spans="1:26" s="24" customFormat="1" hidden="1" outlineLevel="2" x14ac:dyDescent="0.25">
      <c r="A72" s="26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5"/>
        <v>0</v>
      </c>
      <c r="G72" s="2"/>
      <c r="H72" s="6">
        <v>0</v>
      </c>
      <c r="I72" s="2"/>
      <c r="J72" s="7">
        <f t="shared" si="26"/>
        <v>0</v>
      </c>
      <c r="K72" s="2"/>
      <c r="L72" s="6">
        <f t="shared" si="27"/>
        <v>0</v>
      </c>
      <c r="M72" s="2"/>
      <c r="N72" s="7">
        <f t="shared" si="28"/>
        <v>0</v>
      </c>
      <c r="O72" s="11"/>
      <c r="P72" s="6"/>
      <c r="Q72" s="2"/>
      <c r="R72" s="7">
        <f t="shared" si="29"/>
        <v>0</v>
      </c>
      <c r="S72" s="2"/>
      <c r="T72" s="6">
        <v>0</v>
      </c>
      <c r="U72" s="2"/>
      <c r="V72" s="7">
        <f t="shared" si="30"/>
        <v>0</v>
      </c>
      <c r="W72" s="2"/>
      <c r="X72" s="6">
        <f t="shared" si="31"/>
        <v>0</v>
      </c>
      <c r="Y72" s="2"/>
      <c r="Z72" s="7">
        <f t="shared" si="32"/>
        <v>0</v>
      </c>
    </row>
    <row r="73" spans="1:26" s="24" customFormat="1" hidden="1" outlineLevel="2" x14ac:dyDescent="0.25">
      <c r="A73" s="26"/>
      <c r="B73" s="11" t="str">
        <f>CONCATENATE("          ", "6007", " - ", "STUDENT HOURLY")</f>
        <v xml:space="preserve">          6007 - STUDENT HOURLY</v>
      </c>
      <c r="C73" s="11"/>
      <c r="D73" s="6">
        <v>2649.5</v>
      </c>
      <c r="E73" s="2"/>
      <c r="F73" s="7">
        <f t="shared" si="25"/>
        <v>0.11789781892372353</v>
      </c>
      <c r="G73" s="2"/>
      <c r="H73" s="6">
        <v>0</v>
      </c>
      <c r="I73" s="2"/>
      <c r="J73" s="7">
        <f t="shared" si="26"/>
        <v>0</v>
      </c>
      <c r="K73" s="2"/>
      <c r="L73" s="6">
        <f t="shared" si="27"/>
        <v>2649.5</v>
      </c>
      <c r="M73" s="2"/>
      <c r="N73" s="7">
        <f t="shared" si="28"/>
        <v>0</v>
      </c>
      <c r="O73" s="11"/>
      <c r="P73" s="6">
        <v>27730.240000000002</v>
      </c>
      <c r="Q73" s="2"/>
      <c r="R73" s="7">
        <f t="shared" si="29"/>
        <v>0.11220766322745535</v>
      </c>
      <c r="S73" s="2"/>
      <c r="T73" s="6">
        <v>9727.5</v>
      </c>
      <c r="U73" s="2"/>
      <c r="V73" s="7">
        <f t="shared" si="30"/>
        <v>3.513419800843004E-2</v>
      </c>
      <c r="W73" s="2"/>
      <c r="X73" s="6">
        <f t="shared" si="31"/>
        <v>18002.740000000002</v>
      </c>
      <c r="Y73" s="2"/>
      <c r="Z73" s="7">
        <f t="shared" si="32"/>
        <v>1.8507057311745054</v>
      </c>
    </row>
    <row r="74" spans="1:26" s="24" customFormat="1" hidden="1" outlineLevel="2" x14ac:dyDescent="0.25">
      <c r="A74" s="26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5"/>
        <v>0</v>
      </c>
      <c r="G74" s="2"/>
      <c r="H74" s="6">
        <v>3630</v>
      </c>
      <c r="I74" s="2"/>
      <c r="J74" s="7">
        <f t="shared" si="26"/>
        <v>0.1598133309852954</v>
      </c>
      <c r="K74" s="2"/>
      <c r="L74" s="6">
        <f t="shared" si="27"/>
        <v>-3630</v>
      </c>
      <c r="M74" s="2"/>
      <c r="N74" s="7">
        <f t="shared" si="28"/>
        <v>-1</v>
      </c>
      <c r="O74" s="11"/>
      <c r="P74" s="6"/>
      <c r="Q74" s="2"/>
      <c r="R74" s="7">
        <f t="shared" si="29"/>
        <v>0</v>
      </c>
      <c r="S74" s="2"/>
      <c r="T74" s="6">
        <v>18041.25</v>
      </c>
      <c r="U74" s="2"/>
      <c r="V74" s="7">
        <f t="shared" si="30"/>
        <v>6.5162153669451398E-2</v>
      </c>
      <c r="W74" s="2"/>
      <c r="X74" s="6">
        <f t="shared" si="31"/>
        <v>-18041.25</v>
      </c>
      <c r="Y74" s="2"/>
      <c r="Z74" s="7">
        <f t="shared" si="32"/>
        <v>-1</v>
      </c>
    </row>
    <row r="75" spans="1:26" s="24" customFormat="1" hidden="1" outlineLevel="2" x14ac:dyDescent="0.25">
      <c r="A75" s="26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5"/>
        <v>0</v>
      </c>
      <c r="G75" s="2"/>
      <c r="H75" s="6">
        <v>0</v>
      </c>
      <c r="I75" s="2"/>
      <c r="J75" s="7">
        <f t="shared" si="26"/>
        <v>0</v>
      </c>
      <c r="K75" s="2"/>
      <c r="L75" s="6">
        <f t="shared" si="27"/>
        <v>0</v>
      </c>
      <c r="M75" s="2"/>
      <c r="N75" s="7">
        <f t="shared" si="28"/>
        <v>0</v>
      </c>
      <c r="O75" s="11"/>
      <c r="P75" s="6"/>
      <c r="Q75" s="2"/>
      <c r="R75" s="7">
        <f t="shared" si="29"/>
        <v>0</v>
      </c>
      <c r="S75" s="2"/>
      <c r="T75" s="6">
        <v>0</v>
      </c>
      <c r="U75" s="2"/>
      <c r="V75" s="7">
        <f t="shared" si="30"/>
        <v>0</v>
      </c>
      <c r="W75" s="2"/>
      <c r="X75" s="6">
        <f t="shared" si="31"/>
        <v>0</v>
      </c>
      <c r="Y75" s="2"/>
      <c r="Z75" s="7">
        <f t="shared" si="32"/>
        <v>0</v>
      </c>
    </row>
    <row r="76" spans="1:26" s="24" customFormat="1" hidden="1" outlineLevel="2" x14ac:dyDescent="0.25">
      <c r="A76" s="26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5"/>
        <v>0</v>
      </c>
      <c r="G76" s="2"/>
      <c r="H76" s="6">
        <v>0</v>
      </c>
      <c r="I76" s="2"/>
      <c r="J76" s="7">
        <f t="shared" si="26"/>
        <v>0</v>
      </c>
      <c r="K76" s="2"/>
      <c r="L76" s="6">
        <f t="shared" si="27"/>
        <v>0</v>
      </c>
      <c r="M76" s="2"/>
      <c r="N76" s="7">
        <f t="shared" si="28"/>
        <v>0</v>
      </c>
      <c r="O76" s="11"/>
      <c r="P76" s="6"/>
      <c r="Q76" s="2"/>
      <c r="R76" s="7">
        <f t="shared" si="29"/>
        <v>0</v>
      </c>
      <c r="S76" s="2"/>
      <c r="T76" s="6">
        <v>0</v>
      </c>
      <c r="U76" s="2"/>
      <c r="V76" s="7">
        <f t="shared" si="30"/>
        <v>0</v>
      </c>
      <c r="W76" s="2"/>
      <c r="X76" s="6">
        <f t="shared" si="31"/>
        <v>0</v>
      </c>
      <c r="Y76" s="2"/>
      <c r="Z76" s="7">
        <f t="shared" si="32"/>
        <v>0</v>
      </c>
    </row>
    <row r="77" spans="1:26" s="25" customFormat="1" outlineLevel="1" collapsed="1" x14ac:dyDescent="0.25">
      <c r="A77" s="27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258.51</v>
      </c>
      <c r="E77" s="1"/>
      <c r="F77" s="5">
        <f t="shared" ref="F77:F81" si="33">IF(D$12=0,0,D77/D$12)</f>
        <v>1.150321387807955E-2</v>
      </c>
      <c r="G77" s="1"/>
      <c r="H77" s="1">
        <f>SUM(OSRRefH22_2x_0)</f>
        <v>80</v>
      </c>
      <c r="I77" s="1"/>
      <c r="J77" s="5">
        <f t="shared" ref="J77:J81" si="34">IF(H$12=0,0,H77/H$12)</f>
        <v>3.5220568812186319E-3</v>
      </c>
      <c r="K77" s="1"/>
      <c r="L77" s="1">
        <f t="shared" ref="L77:L81" si="35">+D77-H77</f>
        <v>178.51</v>
      </c>
      <c r="M77" s="1"/>
      <c r="N77" s="5">
        <f t="shared" ref="N77:N81" si="36">IF(H77=0,0,L77/H77)</f>
        <v>2.2313749999999999</v>
      </c>
      <c r="O77" s="13"/>
      <c r="P77" s="1">
        <f>SUM(OSRRefP22_2x_0)</f>
        <v>1140.3699999999999</v>
      </c>
      <c r="Q77" s="1"/>
      <c r="R77" s="5">
        <f t="shared" ref="R77:R81" si="37">IF(P$12=0,0,P77/P$12)</f>
        <v>4.6143939942349301E-3</v>
      </c>
      <c r="S77" s="1"/>
      <c r="T77" s="1">
        <f>SUM(OSRRefT22_2x_0)</f>
        <v>480</v>
      </c>
      <c r="U77" s="1"/>
      <c r="V77" s="5">
        <f t="shared" ref="V77:V81" si="38">IF(T$12=0,0,T77/T$12)</f>
        <v>1.7336844044252295E-3</v>
      </c>
      <c r="W77" s="1"/>
      <c r="X77" s="1">
        <f t="shared" ref="X77:X81" si="39">+P77-T77</f>
        <v>660.36999999999989</v>
      </c>
      <c r="Y77" s="1"/>
      <c r="Z77" s="5">
        <f t="shared" ref="Z77:Z81" si="40">IF(T77=0,0,X77/T77)</f>
        <v>1.3757708333333332</v>
      </c>
    </row>
    <row r="78" spans="1:26" s="24" customFormat="1" hidden="1" outlineLevel="2" x14ac:dyDescent="0.25">
      <c r="A78" s="26"/>
      <c r="B78" s="11" t="str">
        <f>CONCATENATE("          ", "6362", " - ", "ADVERTISING EXPENSE")</f>
        <v xml:space="preserve">          6362 - ADVERTISING EXPENSE</v>
      </c>
      <c r="C78" s="11"/>
      <c r="D78" s="6">
        <v>258.51</v>
      </c>
      <c r="E78" s="2"/>
      <c r="F78" s="7">
        <f t="shared" si="33"/>
        <v>1.150321387807955E-2</v>
      </c>
      <c r="G78" s="2"/>
      <c r="H78" s="6">
        <v>80</v>
      </c>
      <c r="I78" s="2"/>
      <c r="J78" s="7">
        <f t="shared" si="34"/>
        <v>3.5220568812186319E-3</v>
      </c>
      <c r="K78" s="2"/>
      <c r="L78" s="6">
        <f t="shared" si="35"/>
        <v>178.51</v>
      </c>
      <c r="M78" s="2"/>
      <c r="N78" s="7">
        <f t="shared" si="36"/>
        <v>2.2313749999999999</v>
      </c>
      <c r="O78" s="11"/>
      <c r="P78" s="6">
        <v>1140.3699999999999</v>
      </c>
      <c r="Q78" s="2"/>
      <c r="R78" s="7">
        <f t="shared" si="37"/>
        <v>4.6143939942349301E-3</v>
      </c>
      <c r="S78" s="2"/>
      <c r="T78" s="6">
        <v>480</v>
      </c>
      <c r="U78" s="2"/>
      <c r="V78" s="7">
        <f t="shared" si="38"/>
        <v>1.7336844044252295E-3</v>
      </c>
      <c r="W78" s="2"/>
      <c r="X78" s="6">
        <f t="shared" si="39"/>
        <v>660.36999999999989</v>
      </c>
      <c r="Y78" s="2"/>
      <c r="Z78" s="7">
        <f t="shared" si="40"/>
        <v>1.3757708333333332</v>
      </c>
    </row>
    <row r="79" spans="1:26" s="25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887.76</v>
      </c>
      <c r="E79" s="1"/>
      <c r="F79" s="5">
        <f t="shared" si="33"/>
        <v>3.950366775909598E-2</v>
      </c>
      <c r="G79" s="1"/>
      <c r="H79" s="1">
        <f>SUM(OSRRefH22_3x_0)</f>
        <v>1250</v>
      </c>
      <c r="I79" s="1"/>
      <c r="J79" s="5">
        <f t="shared" si="34"/>
        <v>5.5032138769041117E-2</v>
      </c>
      <c r="K79" s="1"/>
      <c r="L79" s="1">
        <f t="shared" si="35"/>
        <v>-362.24</v>
      </c>
      <c r="M79" s="1"/>
      <c r="N79" s="5">
        <f t="shared" si="36"/>
        <v>-0.28979199999999999</v>
      </c>
      <c r="O79" s="13"/>
      <c r="P79" s="1">
        <f>SUM(OSRRefP22_3x_0)</f>
        <v>5837.33</v>
      </c>
      <c r="Q79" s="1"/>
      <c r="R79" s="5">
        <f t="shared" si="37"/>
        <v>2.3620176341334294E-2</v>
      </c>
      <c r="S79" s="1"/>
      <c r="T79" s="1">
        <f>SUM(OSRRefT22_3x_0)</f>
        <v>7500</v>
      </c>
      <c r="U79" s="1"/>
      <c r="V79" s="5">
        <f t="shared" si="38"/>
        <v>2.7088818819144211E-2</v>
      </c>
      <c r="W79" s="1"/>
      <c r="X79" s="1">
        <f t="shared" si="39"/>
        <v>-1662.67</v>
      </c>
      <c r="Y79" s="1"/>
      <c r="Z79" s="5">
        <f t="shared" si="40"/>
        <v>-0.22168933333333335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887.76</v>
      </c>
      <c r="E80" s="2"/>
      <c r="F80" s="7">
        <f t="shared" si="33"/>
        <v>3.950366775909598E-2</v>
      </c>
      <c r="G80" s="2"/>
      <c r="H80" s="6">
        <v>1250</v>
      </c>
      <c r="I80" s="2"/>
      <c r="J80" s="7">
        <f t="shared" si="34"/>
        <v>5.5032138769041117E-2</v>
      </c>
      <c r="K80" s="2"/>
      <c r="L80" s="6">
        <f t="shared" si="35"/>
        <v>-362.24</v>
      </c>
      <c r="M80" s="2"/>
      <c r="N80" s="7">
        <f t="shared" si="36"/>
        <v>-0.28979199999999999</v>
      </c>
      <c r="O80" s="11"/>
      <c r="P80" s="6">
        <v>5837.33</v>
      </c>
      <c r="Q80" s="2"/>
      <c r="R80" s="7">
        <f t="shared" si="37"/>
        <v>2.3620176341334294E-2</v>
      </c>
      <c r="S80" s="2"/>
      <c r="T80" s="6">
        <v>7500</v>
      </c>
      <c r="U80" s="2"/>
      <c r="V80" s="7">
        <f t="shared" si="38"/>
        <v>2.7088818819144211E-2</v>
      </c>
      <c r="W80" s="2"/>
      <c r="X80" s="6">
        <f t="shared" si="39"/>
        <v>-1662.67</v>
      </c>
      <c r="Y80" s="2"/>
      <c r="Z80" s="7">
        <f t="shared" si="40"/>
        <v>-0.22168933333333335</v>
      </c>
    </row>
    <row r="81" spans="1:26" s="24" customFormat="1" hidden="1" outlineLevel="2" x14ac:dyDescent="0.25">
      <c r="A81" s="26"/>
      <c r="B81" s="11" t="str">
        <f>CONCATENATE("          ", "9175", " - ", "EARNED DISCOUNTS")</f>
        <v xml:space="preserve">          9175 - EARNED DISCOUNTS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>
        <v>0</v>
      </c>
      <c r="Q81" s="2"/>
      <c r="R81" s="7">
        <f t="shared" si="37"/>
        <v>0</v>
      </c>
      <c r="S81" s="2"/>
      <c r="T81" s="6"/>
      <c r="U81" s="2"/>
      <c r="V81" s="7">
        <f t="shared" si="38"/>
        <v>0</v>
      </c>
      <c r="W81" s="2"/>
      <c r="X81" s="6">
        <f t="shared" si="39"/>
        <v>0</v>
      </c>
      <c r="Y81" s="2"/>
      <c r="Z81" s="7">
        <f t="shared" si="40"/>
        <v>0</v>
      </c>
    </row>
    <row r="82" spans="1:26" s="25" customFormat="1" outlineLevel="1" collapsed="1" x14ac:dyDescent="0.25">
      <c r="A82" s="27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93" si="41">IF(D$12=0,0,D82/D$12)</f>
        <v>0</v>
      </c>
      <c r="G82" s="1"/>
      <c r="H82" s="1">
        <f>SUM(OSRRefH22_4x_0)</f>
        <v>25</v>
      </c>
      <c r="I82" s="1"/>
      <c r="J82" s="5">
        <f t="shared" ref="J82:J93" si="42">IF(H$12=0,0,H82/H$12)</f>
        <v>1.1006427753808225E-3</v>
      </c>
      <c r="K82" s="1"/>
      <c r="L82" s="1">
        <f t="shared" ref="L82:L93" si="43">+D82-H82</f>
        <v>-25</v>
      </c>
      <c r="M82" s="1"/>
      <c r="N82" s="5">
        <f t="shared" ref="N82:N93" si="44">IF(H82=0,0,L82/H82)</f>
        <v>-1</v>
      </c>
      <c r="O82" s="13"/>
      <c r="P82" s="1">
        <f>SUM(OSRRefP22_4x_0)</f>
        <v>0</v>
      </c>
      <c r="Q82" s="1"/>
      <c r="R82" s="5">
        <f t="shared" ref="R82:R93" si="45">IF(P$12=0,0,P82/P$12)</f>
        <v>0</v>
      </c>
      <c r="S82" s="1"/>
      <c r="T82" s="1">
        <f>SUM(OSRRefT22_4x_0)</f>
        <v>150</v>
      </c>
      <c r="U82" s="1"/>
      <c r="V82" s="5">
        <f t="shared" ref="V82:V93" si="46">IF(T$12=0,0,T82/T$12)</f>
        <v>5.4177637638288417E-4</v>
      </c>
      <c r="W82" s="1"/>
      <c r="X82" s="1">
        <f t="shared" ref="X82:X93" si="47">+P82-T82</f>
        <v>-150</v>
      </c>
      <c r="Y82" s="1"/>
      <c r="Z82" s="5">
        <f t="shared" ref="Z82:Z93" si="48">IF(T82=0,0,X82/T82)</f>
        <v>-1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41"/>
        <v>0</v>
      </c>
      <c r="G83" s="2"/>
      <c r="H83" s="6">
        <v>25</v>
      </c>
      <c r="I83" s="2"/>
      <c r="J83" s="7">
        <f t="shared" si="42"/>
        <v>1.1006427753808225E-3</v>
      </c>
      <c r="K83" s="2"/>
      <c r="L83" s="6">
        <f t="shared" si="43"/>
        <v>-25</v>
      </c>
      <c r="M83" s="2"/>
      <c r="N83" s="7">
        <f t="shared" si="44"/>
        <v>-1</v>
      </c>
      <c r="O83" s="11"/>
      <c r="P83" s="6"/>
      <c r="Q83" s="2"/>
      <c r="R83" s="7">
        <f t="shared" si="45"/>
        <v>0</v>
      </c>
      <c r="S83" s="2"/>
      <c r="T83" s="6">
        <v>150</v>
      </c>
      <c r="U83" s="2"/>
      <c r="V83" s="7">
        <f t="shared" si="46"/>
        <v>5.4177637638288417E-4</v>
      </c>
      <c r="W83" s="2"/>
      <c r="X83" s="6">
        <f t="shared" si="47"/>
        <v>-150</v>
      </c>
      <c r="Y83" s="2"/>
      <c r="Z83" s="7">
        <f t="shared" si="48"/>
        <v>-1</v>
      </c>
    </row>
    <row r="84" spans="1:26" s="25" customFormat="1" outlineLevel="1" collapsed="1" x14ac:dyDescent="0.25">
      <c r="A84" s="27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0</v>
      </c>
      <c r="E84" s="1"/>
      <c r="F84" s="5">
        <f t="shared" si="41"/>
        <v>0</v>
      </c>
      <c r="G84" s="1"/>
      <c r="H84" s="1">
        <f>SUM(OSRRefH22_5x_0)</f>
        <v>0</v>
      </c>
      <c r="I84" s="1"/>
      <c r="J84" s="5">
        <f t="shared" si="42"/>
        <v>0</v>
      </c>
      <c r="K84" s="1"/>
      <c r="L84" s="1">
        <f t="shared" si="43"/>
        <v>0</v>
      </c>
      <c r="M84" s="1"/>
      <c r="N84" s="5">
        <f t="shared" si="44"/>
        <v>0</v>
      </c>
      <c r="O84" s="13"/>
      <c r="P84" s="1">
        <f>SUM(OSRRefP22_5x_0)</f>
        <v>15.81</v>
      </c>
      <c r="Q84" s="1"/>
      <c r="R84" s="5">
        <f t="shared" si="45"/>
        <v>6.397359545485611E-5</v>
      </c>
      <c r="S84" s="1"/>
      <c r="T84" s="1">
        <f>SUM(OSRRefT22_5x_0)</f>
        <v>0</v>
      </c>
      <c r="U84" s="1"/>
      <c r="V84" s="5">
        <f t="shared" si="46"/>
        <v>0</v>
      </c>
      <c r="W84" s="1"/>
      <c r="X84" s="1">
        <f t="shared" si="47"/>
        <v>15.81</v>
      </c>
      <c r="Y84" s="1"/>
      <c r="Z84" s="5">
        <f t="shared" si="48"/>
        <v>0</v>
      </c>
    </row>
    <row r="85" spans="1:26" s="24" customFormat="1" hidden="1" outlineLevel="2" x14ac:dyDescent="0.25">
      <c r="A85" s="26"/>
      <c r="B85" s="11" t="str">
        <f>CONCATENATE("          ", "6305", " - ", "FREIGHT OUT")</f>
        <v xml:space="preserve">          6305 - FREIGHT OUT</v>
      </c>
      <c r="C85" s="11"/>
      <c r="D85" s="6"/>
      <c r="E85" s="2"/>
      <c r="F85" s="7">
        <f t="shared" si="41"/>
        <v>0</v>
      </c>
      <c r="G85" s="2"/>
      <c r="H85" s="6"/>
      <c r="I85" s="2"/>
      <c r="J85" s="7">
        <f t="shared" si="42"/>
        <v>0</v>
      </c>
      <c r="K85" s="2"/>
      <c r="L85" s="6">
        <f t="shared" si="43"/>
        <v>0</v>
      </c>
      <c r="M85" s="2"/>
      <c r="N85" s="7">
        <f t="shared" si="44"/>
        <v>0</v>
      </c>
      <c r="O85" s="11"/>
      <c r="P85" s="6">
        <v>15.81</v>
      </c>
      <c r="Q85" s="2"/>
      <c r="R85" s="7">
        <f t="shared" si="45"/>
        <v>6.397359545485611E-5</v>
      </c>
      <c r="S85" s="2"/>
      <c r="T85" s="6"/>
      <c r="U85" s="2"/>
      <c r="V85" s="7">
        <f t="shared" si="46"/>
        <v>0</v>
      </c>
      <c r="W85" s="2"/>
      <c r="X85" s="6">
        <f t="shared" si="47"/>
        <v>15.81</v>
      </c>
      <c r="Y85" s="2"/>
      <c r="Z85" s="7">
        <f t="shared" si="48"/>
        <v>0</v>
      </c>
    </row>
    <row r="86" spans="1:26" s="25" customFormat="1" outlineLevel="1" collapsed="1" x14ac:dyDescent="0.25">
      <c r="A86" s="27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SUM(OSRRefD22_6x_0)</f>
        <v>0</v>
      </c>
      <c r="E86" s="1"/>
      <c r="F86" s="5">
        <f t="shared" si="41"/>
        <v>0</v>
      </c>
      <c r="G86" s="1"/>
      <c r="H86" s="1">
        <f>SUM(OSRRefH22_6x_0)</f>
        <v>0</v>
      </c>
      <c r="I86" s="1"/>
      <c r="J86" s="5">
        <f t="shared" si="42"/>
        <v>0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SUM(OSRRefP22_6x_0)</f>
        <v>0</v>
      </c>
      <c r="Q86" s="1"/>
      <c r="R86" s="5">
        <f t="shared" si="45"/>
        <v>0</v>
      </c>
      <c r="S86" s="1"/>
      <c r="T86" s="1">
        <f>SUM(OSRRefT22_6x_0)</f>
        <v>0</v>
      </c>
      <c r="U86" s="1"/>
      <c r="V86" s="5">
        <f t="shared" si="46"/>
        <v>0</v>
      </c>
      <c r="W86" s="1"/>
      <c r="X86" s="1">
        <f t="shared" si="47"/>
        <v>0</v>
      </c>
      <c r="Y86" s="1"/>
      <c r="Z86" s="5">
        <f t="shared" si="48"/>
        <v>0</v>
      </c>
    </row>
    <row r="87" spans="1:26" s="24" customFormat="1" hidden="1" outlineLevel="2" x14ac:dyDescent="0.25">
      <c r="A87" s="26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41"/>
        <v>0</v>
      </c>
      <c r="G87" s="2"/>
      <c r="H87" s="6">
        <v>0</v>
      </c>
      <c r="I87" s="2"/>
      <c r="J87" s="7">
        <f t="shared" si="42"/>
        <v>0</v>
      </c>
      <c r="K87" s="2"/>
      <c r="L87" s="6">
        <f t="shared" si="43"/>
        <v>0</v>
      </c>
      <c r="M87" s="2"/>
      <c r="N87" s="7">
        <f t="shared" si="44"/>
        <v>0</v>
      </c>
      <c r="O87" s="11"/>
      <c r="P87" s="6"/>
      <c r="Q87" s="2"/>
      <c r="R87" s="7">
        <f t="shared" si="45"/>
        <v>0</v>
      </c>
      <c r="S87" s="2"/>
      <c r="T87" s="6">
        <v>0</v>
      </c>
      <c r="U87" s="2"/>
      <c r="V87" s="7">
        <f t="shared" si="46"/>
        <v>0</v>
      </c>
      <c r="W87" s="2"/>
      <c r="X87" s="6">
        <f t="shared" si="47"/>
        <v>0</v>
      </c>
      <c r="Y87" s="2"/>
      <c r="Z87" s="7">
        <f t="shared" si="48"/>
        <v>0</v>
      </c>
    </row>
    <row r="88" spans="1:26" s="25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SUM(OSRRefD22_7x_0)</f>
        <v>0</v>
      </c>
      <c r="E88" s="1"/>
      <c r="F88" s="5">
        <f t="shared" si="41"/>
        <v>0</v>
      </c>
      <c r="G88" s="1"/>
      <c r="H88" s="1">
        <f>SUM(OSRRefH22_7x_0)</f>
        <v>0</v>
      </c>
      <c r="I88" s="1"/>
      <c r="J88" s="5">
        <f t="shared" si="42"/>
        <v>0</v>
      </c>
      <c r="K88" s="1"/>
      <c r="L88" s="1">
        <f t="shared" si="43"/>
        <v>0</v>
      </c>
      <c r="M88" s="1"/>
      <c r="N88" s="5">
        <f t="shared" si="44"/>
        <v>0</v>
      </c>
      <c r="O88" s="13"/>
      <c r="P88" s="1">
        <f>SUM(OSRRefP22_7x_0)</f>
        <v>120</v>
      </c>
      <c r="Q88" s="1"/>
      <c r="R88" s="5">
        <f t="shared" si="45"/>
        <v>4.8556808694387931E-4</v>
      </c>
      <c r="S88" s="1"/>
      <c r="T88" s="1">
        <f>SUM(OSRRefT22_7x_0)</f>
        <v>0</v>
      </c>
      <c r="U88" s="1"/>
      <c r="V88" s="5">
        <f t="shared" si="46"/>
        <v>0</v>
      </c>
      <c r="W88" s="1"/>
      <c r="X88" s="1">
        <f t="shared" si="47"/>
        <v>120</v>
      </c>
      <c r="Y88" s="1"/>
      <c r="Z88" s="5">
        <f t="shared" si="48"/>
        <v>0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1"/>
        <v>0</v>
      </c>
      <c r="G89" s="2"/>
      <c r="H89" s="6"/>
      <c r="I89" s="2"/>
      <c r="J89" s="7">
        <f t="shared" si="42"/>
        <v>0</v>
      </c>
      <c r="K89" s="2"/>
      <c r="L89" s="6">
        <f t="shared" si="43"/>
        <v>0</v>
      </c>
      <c r="M89" s="2"/>
      <c r="N89" s="7">
        <f t="shared" si="44"/>
        <v>0</v>
      </c>
      <c r="O89" s="11"/>
      <c r="P89" s="6">
        <v>120</v>
      </c>
      <c r="Q89" s="2"/>
      <c r="R89" s="7">
        <f t="shared" si="45"/>
        <v>4.8556808694387931E-4</v>
      </c>
      <c r="S89" s="2"/>
      <c r="T89" s="6"/>
      <c r="U89" s="2"/>
      <c r="V89" s="7">
        <f t="shared" si="46"/>
        <v>0</v>
      </c>
      <c r="W89" s="2"/>
      <c r="X89" s="6">
        <f t="shared" si="47"/>
        <v>120</v>
      </c>
      <c r="Y89" s="2"/>
      <c r="Z89" s="7">
        <f t="shared" si="48"/>
        <v>0</v>
      </c>
    </row>
    <row r="90" spans="1:26" s="25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SUM(OSRRefD22_8x_0)</f>
        <v>0</v>
      </c>
      <c r="E90" s="1"/>
      <c r="F90" s="5">
        <f t="shared" si="41"/>
        <v>0</v>
      </c>
      <c r="G90" s="1"/>
      <c r="H90" s="1">
        <f>SUM(OSRRefH22_8x_0)</f>
        <v>75</v>
      </c>
      <c r="I90" s="1"/>
      <c r="J90" s="5">
        <f t="shared" si="42"/>
        <v>3.3019283261424672E-3</v>
      </c>
      <c r="K90" s="1"/>
      <c r="L90" s="1">
        <f t="shared" si="43"/>
        <v>-75</v>
      </c>
      <c r="M90" s="1"/>
      <c r="N90" s="5">
        <f t="shared" si="44"/>
        <v>-1</v>
      </c>
      <c r="O90" s="13"/>
      <c r="P90" s="1">
        <f>SUM(OSRRefP22_8x_0)</f>
        <v>241.84</v>
      </c>
      <c r="Q90" s="1"/>
      <c r="R90" s="5">
        <f t="shared" si="45"/>
        <v>9.7858155122089821E-4</v>
      </c>
      <c r="S90" s="1"/>
      <c r="T90" s="1">
        <f>SUM(OSRRefT22_8x_0)</f>
        <v>450</v>
      </c>
      <c r="U90" s="1"/>
      <c r="V90" s="5">
        <f t="shared" si="46"/>
        <v>1.6253291291486525E-3</v>
      </c>
      <c r="W90" s="1"/>
      <c r="X90" s="1">
        <f t="shared" si="47"/>
        <v>-208.16</v>
      </c>
      <c r="Y90" s="1"/>
      <c r="Z90" s="5">
        <f t="shared" si="48"/>
        <v>-0.46257777777777775</v>
      </c>
    </row>
    <row r="91" spans="1:26" s="24" customFormat="1" hidden="1" outlineLevel="2" x14ac:dyDescent="0.25">
      <c r="A91" s="26"/>
      <c r="B91" s="11" t="str">
        <f>CONCATENATE("          ", "6241", " - ", "OFFICE EXPENSE")</f>
        <v xml:space="preserve">          6241 - OFFICE EXPENSE</v>
      </c>
      <c r="C91" s="11"/>
      <c r="D91" s="6"/>
      <c r="E91" s="2"/>
      <c r="F91" s="7">
        <f t="shared" si="41"/>
        <v>0</v>
      </c>
      <c r="G91" s="2"/>
      <c r="H91" s="6">
        <v>75</v>
      </c>
      <c r="I91" s="2"/>
      <c r="J91" s="7">
        <f t="shared" si="42"/>
        <v>3.3019283261424672E-3</v>
      </c>
      <c r="K91" s="2"/>
      <c r="L91" s="6">
        <f t="shared" si="43"/>
        <v>-75</v>
      </c>
      <c r="M91" s="2"/>
      <c r="N91" s="7">
        <f t="shared" si="44"/>
        <v>-1</v>
      </c>
      <c r="O91" s="11"/>
      <c r="P91" s="6">
        <v>241.84</v>
      </c>
      <c r="Q91" s="2"/>
      <c r="R91" s="7">
        <f t="shared" si="45"/>
        <v>9.7858155122089821E-4</v>
      </c>
      <c r="S91" s="2"/>
      <c r="T91" s="6">
        <v>450</v>
      </c>
      <c r="U91" s="2"/>
      <c r="V91" s="7">
        <f t="shared" si="46"/>
        <v>1.6253291291486525E-3</v>
      </c>
      <c r="W91" s="2"/>
      <c r="X91" s="6">
        <f t="shared" si="47"/>
        <v>-208.16</v>
      </c>
      <c r="Y91" s="2"/>
      <c r="Z91" s="7">
        <f t="shared" si="48"/>
        <v>-0.46257777777777775</v>
      </c>
    </row>
    <row r="92" spans="1:26" s="25" customFormat="1" outlineLevel="1" collapsed="1" x14ac:dyDescent="0.25">
      <c r="A92" s="27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SUM(OSRRefD22_9x_0)</f>
        <v>-323.01</v>
      </c>
      <c r="E92" s="1"/>
      <c r="F92" s="5">
        <f t="shared" si="41"/>
        <v>-1.4373343834894105E-2</v>
      </c>
      <c r="G92" s="1"/>
      <c r="H92" s="1">
        <f>SUM(OSRRefH22_9x_0)</f>
        <v>0</v>
      </c>
      <c r="I92" s="1"/>
      <c r="J92" s="5">
        <f t="shared" si="42"/>
        <v>0</v>
      </c>
      <c r="K92" s="1"/>
      <c r="L92" s="1">
        <f t="shared" si="43"/>
        <v>-323.01</v>
      </c>
      <c r="M92" s="1"/>
      <c r="N92" s="5">
        <f t="shared" si="44"/>
        <v>0</v>
      </c>
      <c r="O92" s="13"/>
      <c r="P92" s="1">
        <f>SUM(OSRRefP22_9x_0)</f>
        <v>-323.01</v>
      </c>
      <c r="Q92" s="1"/>
      <c r="R92" s="5">
        <f t="shared" si="45"/>
        <v>-1.3070278980311871E-3</v>
      </c>
      <c r="S92" s="1"/>
      <c r="T92" s="1">
        <f>SUM(OSRRefT22_9x_0)</f>
        <v>0</v>
      </c>
      <c r="U92" s="1"/>
      <c r="V92" s="5">
        <f t="shared" si="46"/>
        <v>0</v>
      </c>
      <c r="W92" s="1"/>
      <c r="X92" s="1">
        <f t="shared" si="47"/>
        <v>-323.01</v>
      </c>
      <c r="Y92" s="1"/>
      <c r="Z92" s="5">
        <f t="shared" si="48"/>
        <v>0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>
        <v>-323.01</v>
      </c>
      <c r="E93" s="2"/>
      <c r="F93" s="7">
        <f t="shared" si="41"/>
        <v>-1.4373343834894105E-2</v>
      </c>
      <c r="G93" s="2"/>
      <c r="H93" s="6"/>
      <c r="I93" s="2"/>
      <c r="J93" s="7">
        <f t="shared" si="42"/>
        <v>0</v>
      </c>
      <c r="K93" s="2"/>
      <c r="L93" s="6">
        <f t="shared" si="43"/>
        <v>-323.01</v>
      </c>
      <c r="M93" s="2"/>
      <c r="N93" s="7">
        <f t="shared" si="44"/>
        <v>0</v>
      </c>
      <c r="O93" s="11"/>
      <c r="P93" s="6">
        <v>-323.01</v>
      </c>
      <c r="Q93" s="2"/>
      <c r="R93" s="7">
        <f t="shared" si="45"/>
        <v>-1.3070278980311871E-3</v>
      </c>
      <c r="S93" s="2"/>
      <c r="T93" s="6"/>
      <c r="U93" s="2"/>
      <c r="V93" s="7">
        <f t="shared" si="46"/>
        <v>0</v>
      </c>
      <c r="W93" s="2"/>
      <c r="X93" s="6">
        <f t="shared" si="47"/>
        <v>-323.01</v>
      </c>
      <c r="Y93" s="2"/>
      <c r="Z93" s="7">
        <f t="shared" si="48"/>
        <v>0</v>
      </c>
    </row>
    <row r="94" spans="1:26" s="53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8" t="s">
        <v>0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2">
        <f>+D54-D56+D95</f>
        <v>2889.0199999999968</v>
      </c>
      <c r="E97" s="14"/>
      <c r="F97" s="20">
        <f>IF(D$12=0,0,D97/D$12)</f>
        <v>0.1285560131447501</v>
      </c>
      <c r="G97" s="14"/>
      <c r="H97" s="22">
        <f>+H54-H56+H95</f>
        <v>2465.5667944553898</v>
      </c>
      <c r="I97" s="14"/>
      <c r="J97" s="20">
        <f>IF(H$12=0,0,H97/H$12)</f>
        <v>0.10854833118144712</v>
      </c>
      <c r="K97" s="16"/>
      <c r="L97" s="22">
        <f>+D97-H97</f>
        <v>423.45320554460704</v>
      </c>
      <c r="M97" s="16"/>
      <c r="N97" s="20">
        <f>IF(H97=0,0,L97/H97)</f>
        <v>0.17174679935537585</v>
      </c>
      <c r="O97" s="28"/>
      <c r="P97" s="22">
        <f>+P54-P56+P95</f>
        <v>72147.689999999973</v>
      </c>
      <c r="Q97" s="14"/>
      <c r="R97" s="20">
        <f>IF(P$12=0,0,P97/P$12)</f>
        <v>0.29193846508933369</v>
      </c>
      <c r="S97" s="14"/>
      <c r="T97" s="22">
        <f>+T54-T56+T95</f>
        <v>75408.498088960012</v>
      </c>
      <c r="U97" s="14"/>
      <c r="V97" s="20">
        <f>IF(T$12=0,0,T97/T$12)</f>
        <v>0.27236361895408268</v>
      </c>
      <c r="W97" s="16"/>
      <c r="X97" s="22">
        <f>+P97-T97</f>
        <v>-3260.8080889600387</v>
      </c>
      <c r="Y97" s="16"/>
      <c r="Z97" s="20">
        <f>IF(T97=0,0,X97/T97)</f>
        <v>-4.3241917974725305E-2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2902.28</v>
      </c>
      <c r="E99" s="4"/>
      <c r="F99" s="12">
        <f>IF(D$12=0,0,D99/D$12)</f>
        <v>0.12914605846610466</v>
      </c>
      <c r="G99" s="4"/>
      <c r="H99" s="4">
        <v>3455</v>
      </c>
      <c r="I99" s="4"/>
      <c r="J99" s="12">
        <f>IF(H$12=0,0,H99/H$12)</f>
        <v>0.15210883155762966</v>
      </c>
      <c r="K99" s="4"/>
      <c r="L99" s="4">
        <f>+D99-H99</f>
        <v>-552.7199999999998</v>
      </c>
      <c r="M99" s="4"/>
      <c r="N99" s="12">
        <f>IF(H99=0,0,L99/H99)</f>
        <v>-0.15997684515195362</v>
      </c>
      <c r="O99" s="10"/>
      <c r="P99" s="4">
        <v>26692.289999999997</v>
      </c>
      <c r="Q99" s="4"/>
      <c r="R99" s="12">
        <f>IF(P$12=0,0,P99/P$12)</f>
        <v>0.108007701595427</v>
      </c>
      <c r="S99" s="4"/>
      <c r="T99" s="4">
        <v>35663</v>
      </c>
      <c r="U99" s="4"/>
      <c r="V99" s="12">
        <f>IF(T$12=0,0,T99/T$12)</f>
        <v>0.12880913940628533</v>
      </c>
      <c r="W99" s="4"/>
      <c r="X99" s="4">
        <f>+P99-T99</f>
        <v>-8970.7100000000028</v>
      </c>
      <c r="Y99" s="4"/>
      <c r="Z99" s="12">
        <f>IF(T99=0,0,X99/T99)</f>
        <v>-0.25154109300956179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1">
        <f>+D97-D99</f>
        <v>-13.260000000003402</v>
      </c>
      <c r="E101" s="14"/>
      <c r="F101" s="32">
        <f>IF(D$12=0,0,D101/D$12)</f>
        <v>-5.9004532135458572E-4</v>
      </c>
      <c r="G101" s="14"/>
      <c r="H101" s="31">
        <f>+H97-H99</f>
        <v>-989.43320554461025</v>
      </c>
      <c r="I101" s="14"/>
      <c r="J101" s="32">
        <f>IF(H$12=0,0,H101/H$12)</f>
        <v>-4.3560500376182539E-2</v>
      </c>
      <c r="K101" s="16"/>
      <c r="L101" s="31">
        <f>D101-H101</f>
        <v>976.17320554460684</v>
      </c>
      <c r="M101" s="16"/>
      <c r="N101" s="32">
        <f>IF(H101=0,0,L101/H101)</f>
        <v>-0.98659838791977394</v>
      </c>
      <c r="O101" s="28"/>
      <c r="P101" s="31">
        <f>+P97-P99</f>
        <v>45455.39999999998</v>
      </c>
      <c r="Q101" s="14"/>
      <c r="R101" s="32">
        <f>IF(P$12=0,0,P101/P$12)</f>
        <v>0.18393076349390669</v>
      </c>
      <c r="S101" s="14"/>
      <c r="T101" s="31">
        <f>+T97-T99</f>
        <v>39745.498088960012</v>
      </c>
      <c r="U101" s="14"/>
      <c r="V101" s="32">
        <f>IF(T$12=0,0,T101/T$12)</f>
        <v>0.14355447954779735</v>
      </c>
      <c r="W101" s="16"/>
      <c r="X101" s="31">
        <f>P101-T101</f>
        <v>5709.9019110399677</v>
      </c>
      <c r="Y101" s="16"/>
      <c r="Z101" s="32">
        <f>IF(T101=0,0,X101/T101)</f>
        <v>0.14366160157962621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5">
        <f>SUM(D101:D103)</f>
        <v>-13.260000000003402</v>
      </c>
      <c r="E104" s="14"/>
      <c r="F104" s="34">
        <f>IF(D$12=0,0,D104/D$12)</f>
        <v>-5.9004532135458572E-4</v>
      </c>
      <c r="G104" s="14"/>
      <c r="H104" s="35">
        <f>SUM(H101:H103)</f>
        <v>-989.43320554461025</v>
      </c>
      <c r="I104" s="14"/>
      <c r="J104" s="34">
        <f>IF(H$12=0,0,H104/H$12)</f>
        <v>-4.3560500376182539E-2</v>
      </c>
      <c r="K104" s="16"/>
      <c r="L104" s="35">
        <f>+D104-H104</f>
        <v>976.17320554460684</v>
      </c>
      <c r="M104" s="16"/>
      <c r="N104" s="34">
        <f>IF(H104=0,0,L104/H104)</f>
        <v>-0.98659838791977394</v>
      </c>
      <c r="O104" s="28"/>
      <c r="P104" s="35">
        <f>SUM(P101:P103)</f>
        <v>45455.39999999998</v>
      </c>
      <c r="Q104" s="14"/>
      <c r="R104" s="34">
        <f>IF(P$12=0,0,P104/P$12)</f>
        <v>0.18393076349390669</v>
      </c>
      <c r="S104" s="14"/>
      <c r="T104" s="35">
        <f>SUM(T101:T103)</f>
        <v>39745.498088960012</v>
      </c>
      <c r="U104" s="14"/>
      <c r="V104" s="34">
        <f>IF(T$12=0,0,T104/T$12)</f>
        <v>0.14355447954779735</v>
      </c>
      <c r="W104" s="16"/>
      <c r="X104" s="35">
        <f>+P104-T104</f>
        <v>5709.9019110399677</v>
      </c>
      <c r="Y104" s="16"/>
      <c r="Z104" s="34">
        <f>IF(T104=0,0,X104/T104)</f>
        <v>0.14366160157962621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63">
        <v>43847.445947453707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5" t="s">
        <v>314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6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63198.529999999984</v>
      </c>
      <c r="E12" s="4"/>
      <c r="F12" s="12"/>
      <c r="G12" s="4"/>
      <c r="H12" s="4">
        <f>SUM(OSRRefH13x_0)</f>
        <v>68096</v>
      </c>
      <c r="I12" s="4"/>
      <c r="J12" s="12"/>
      <c r="K12" s="4"/>
      <c r="L12" s="4">
        <f t="shared" ref="L12:L40" si="0">+D12-H12</f>
        <v>-4897.4700000000157</v>
      </c>
      <c r="M12" s="4"/>
      <c r="N12" s="12">
        <f t="shared" ref="N12:N40" si="1">IF(H12=0,0,L12/H12)</f>
        <v>-7.1920083411654373E-2</v>
      </c>
      <c r="O12" s="10"/>
      <c r="P12" s="4">
        <f>SUM(OSRRefP13x_0)</f>
        <v>2940253.9199999995</v>
      </c>
      <c r="Q12" s="4"/>
      <c r="R12" s="12"/>
      <c r="S12" s="4"/>
      <c r="T12" s="4">
        <f>SUM(OSRRefT13x_0)</f>
        <v>3180446</v>
      </c>
      <c r="U12" s="4"/>
      <c r="V12" s="12"/>
      <c r="W12" s="4"/>
      <c r="X12" s="4">
        <f t="shared" ref="X12:X40" si="2">+P12-T12</f>
        <v>-240192.08000000054</v>
      </c>
      <c r="Y12" s="4"/>
      <c r="Z12" s="12">
        <f t="shared" ref="Z12:Z40" si="3">IF(T12=0,0,X12/T12)</f>
        <v>-7.5521508618602712E-2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--36689.95</f>
        <v>36689.949999999997</v>
      </c>
      <c r="E13" s="2"/>
      <c r="F13" s="19"/>
      <c r="G13" s="2"/>
      <c r="H13" s="2"/>
      <c r="I13" s="2"/>
      <c r="J13" s="19"/>
      <c r="K13" s="2"/>
      <c r="L13" s="2">
        <f t="shared" si="0"/>
        <v>36689.949999999997</v>
      </c>
      <c r="M13" s="2"/>
      <c r="N13" s="19">
        <f t="shared" si="1"/>
        <v>0</v>
      </c>
      <c r="O13" s="11"/>
      <c r="P13" s="2">
        <f>--1540034.38</f>
        <v>1540034.38</v>
      </c>
      <c r="Q13" s="2"/>
      <c r="R13" s="19"/>
      <c r="S13" s="2"/>
      <c r="T13" s="2"/>
      <c r="U13" s="2"/>
      <c r="V13" s="19"/>
      <c r="W13" s="2"/>
      <c r="X13" s="2">
        <f t="shared" si="2"/>
        <v>1540034.38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--10615.68</f>
        <v>10615.68</v>
      </c>
      <c r="E14" s="2"/>
      <c r="F14" s="19"/>
      <c r="G14" s="2"/>
      <c r="H14" s="2"/>
      <c r="I14" s="2"/>
      <c r="J14" s="19"/>
      <c r="K14" s="2"/>
      <c r="L14" s="2">
        <f t="shared" si="0"/>
        <v>10615.68</v>
      </c>
      <c r="M14" s="2"/>
      <c r="N14" s="19">
        <f t="shared" si="1"/>
        <v>0</v>
      </c>
      <c r="O14" s="11"/>
      <c r="P14" s="2">
        <f>--681094.97</f>
        <v>681094.97</v>
      </c>
      <c r="Q14" s="2"/>
      <c r="R14" s="19"/>
      <c r="S14" s="2"/>
      <c r="T14" s="2"/>
      <c r="U14" s="2"/>
      <c r="V14" s="19"/>
      <c r="W14" s="2"/>
      <c r="X14" s="2">
        <f t="shared" si="2"/>
        <v>681094.97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--586.01</f>
        <v>586.01</v>
      </c>
      <c r="E15" s="2"/>
      <c r="F15" s="19"/>
      <c r="G15" s="2"/>
      <c r="H15" s="2"/>
      <c r="I15" s="2"/>
      <c r="J15" s="19"/>
      <c r="K15" s="2"/>
      <c r="L15" s="2">
        <f t="shared" si="0"/>
        <v>586.01</v>
      </c>
      <c r="M15" s="2"/>
      <c r="N15" s="19">
        <f t="shared" si="1"/>
        <v>0</v>
      </c>
      <c r="O15" s="11"/>
      <c r="P15" s="2">
        <f>--16430.67</f>
        <v>16430.669999999998</v>
      </c>
      <c r="Q15" s="2"/>
      <c r="R15" s="19"/>
      <c r="S15" s="2"/>
      <c r="T15" s="2"/>
      <c r="U15" s="2"/>
      <c r="V15" s="19"/>
      <c r="W15" s="2"/>
      <c r="X15" s="2">
        <f t="shared" si="2"/>
        <v>16430.669999999998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--30279.88</f>
        <v>30279.88</v>
      </c>
      <c r="Q16" s="2"/>
      <c r="R16" s="19"/>
      <c r="S16" s="2"/>
      <c r="T16" s="2"/>
      <c r="U16" s="2"/>
      <c r="V16" s="19"/>
      <c r="W16" s="2"/>
      <c r="X16" s="2">
        <f t="shared" si="2"/>
        <v>30279.88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--3.62</f>
        <v>3.62</v>
      </c>
      <c r="E17" s="2"/>
      <c r="F17" s="19"/>
      <c r="G17" s="2"/>
      <c r="H17" s="2"/>
      <c r="I17" s="2"/>
      <c r="J17" s="19"/>
      <c r="K17" s="2"/>
      <c r="L17" s="2">
        <f t="shared" si="0"/>
        <v>3.62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/>
      <c r="U17" s="2"/>
      <c r="V17" s="19"/>
      <c r="W17" s="2"/>
      <c r="X17" s="2">
        <f t="shared" si="2"/>
        <v>13.22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--167.6</f>
        <v>167.6</v>
      </c>
      <c r="E18" s="2"/>
      <c r="F18" s="19"/>
      <c r="G18" s="2"/>
      <c r="H18" s="2"/>
      <c r="I18" s="2"/>
      <c r="J18" s="19"/>
      <c r="K18" s="2"/>
      <c r="L18" s="2">
        <f t="shared" si="0"/>
        <v>167.6</v>
      </c>
      <c r="M18" s="2"/>
      <c r="N18" s="19">
        <f t="shared" si="1"/>
        <v>0</v>
      </c>
      <c r="O18" s="11"/>
      <c r="P18" s="2">
        <f>--1280.32</f>
        <v>1280.32</v>
      </c>
      <c r="Q18" s="2"/>
      <c r="R18" s="19"/>
      <c r="S18" s="2"/>
      <c r="T18" s="2"/>
      <c r="U18" s="2"/>
      <c r="V18" s="19"/>
      <c r="W18" s="2"/>
      <c r="X18" s="2">
        <f t="shared" si="2"/>
        <v>1280.32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--109.34</f>
        <v>109.34</v>
      </c>
      <c r="E19" s="2"/>
      <c r="F19" s="19"/>
      <c r="G19" s="2"/>
      <c r="H19" s="2"/>
      <c r="I19" s="2"/>
      <c r="J19" s="19"/>
      <c r="K19" s="2"/>
      <c r="L19" s="2">
        <f t="shared" si="0"/>
        <v>109.34</v>
      </c>
      <c r="M19" s="2"/>
      <c r="N19" s="19">
        <f t="shared" si="1"/>
        <v>0</v>
      </c>
      <c r="O19" s="11"/>
      <c r="P19" s="2">
        <f>--992.69</f>
        <v>992.69</v>
      </c>
      <c r="Q19" s="2"/>
      <c r="R19" s="19"/>
      <c r="S19" s="2"/>
      <c r="T19" s="2"/>
      <c r="U19" s="2"/>
      <c r="V19" s="19"/>
      <c r="W19" s="2"/>
      <c r="X19" s="2">
        <f t="shared" si="2"/>
        <v>992.69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--157.74</f>
        <v>157.74</v>
      </c>
      <c r="E20" s="2"/>
      <c r="F20" s="19"/>
      <c r="G20" s="2"/>
      <c r="H20" s="2"/>
      <c r="I20" s="2"/>
      <c r="J20" s="19"/>
      <c r="K20" s="2"/>
      <c r="L20" s="2">
        <f t="shared" si="0"/>
        <v>157.74</v>
      </c>
      <c r="M20" s="2"/>
      <c r="N20" s="19">
        <f t="shared" si="1"/>
        <v>0</v>
      </c>
      <c r="O20" s="11"/>
      <c r="P20" s="2">
        <f>--2890.39</f>
        <v>2890.39</v>
      </c>
      <c r="Q20" s="2"/>
      <c r="R20" s="19"/>
      <c r="S20" s="2"/>
      <c r="T20" s="2"/>
      <c r="U20" s="2"/>
      <c r="V20" s="19"/>
      <c r="W20" s="2"/>
      <c r="X20" s="2">
        <f t="shared" si="2"/>
        <v>2890.39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--87.99</f>
        <v>87.99</v>
      </c>
      <c r="E21" s="2"/>
      <c r="F21" s="19"/>
      <c r="G21" s="2"/>
      <c r="H21" s="2">
        <v>68096</v>
      </c>
      <c r="I21" s="2"/>
      <c r="J21" s="19"/>
      <c r="K21" s="2"/>
      <c r="L21" s="2">
        <f t="shared" si="0"/>
        <v>-68008.009999999995</v>
      </c>
      <c r="M21" s="2"/>
      <c r="N21" s="19">
        <f t="shared" si="1"/>
        <v>-0.99870785361842096</v>
      </c>
      <c r="O21" s="11"/>
      <c r="P21" s="2">
        <f>--335928.55</f>
        <v>335928.55</v>
      </c>
      <c r="Q21" s="2"/>
      <c r="R21" s="19"/>
      <c r="S21" s="2"/>
      <c r="T21" s="2">
        <v>3180446</v>
      </c>
      <c r="U21" s="2"/>
      <c r="V21" s="19"/>
      <c r="W21" s="2"/>
      <c r="X21" s="2">
        <f t="shared" si="2"/>
        <v>-2844517.45</v>
      </c>
      <c r="Y21" s="2"/>
      <c r="Z21" s="19">
        <f t="shared" si="3"/>
        <v>-0.89437690500011635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--2606.82</f>
        <v>2606.8200000000002</v>
      </c>
      <c r="E22" s="2"/>
      <c r="F22" s="19"/>
      <c r="G22" s="2"/>
      <c r="H22" s="2"/>
      <c r="I22" s="2"/>
      <c r="J22" s="19"/>
      <c r="K22" s="2"/>
      <c r="L22" s="2">
        <f t="shared" si="0"/>
        <v>2606.8200000000002</v>
      </c>
      <c r="M22" s="2"/>
      <c r="N22" s="19">
        <f t="shared" si="1"/>
        <v>0</v>
      </c>
      <c r="O22" s="11"/>
      <c r="P22" s="2">
        <f>--95287.57</f>
        <v>95287.57</v>
      </c>
      <c r="Q22" s="2"/>
      <c r="R22" s="19"/>
      <c r="S22" s="2"/>
      <c r="T22" s="2"/>
      <c r="U22" s="2"/>
      <c r="V22" s="19"/>
      <c r="W22" s="2"/>
      <c r="X22" s="2">
        <f t="shared" si="2"/>
        <v>95287.57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--595.75</f>
        <v>595.75</v>
      </c>
      <c r="E23" s="2"/>
      <c r="F23" s="19"/>
      <c r="G23" s="2"/>
      <c r="H23" s="2"/>
      <c r="I23" s="2"/>
      <c r="J23" s="19"/>
      <c r="K23" s="2"/>
      <c r="L23" s="2">
        <f t="shared" si="0"/>
        <v>595.75</v>
      </c>
      <c r="M23" s="2"/>
      <c r="N23" s="19">
        <f t="shared" si="1"/>
        <v>0</v>
      </c>
      <c r="O23" s="11"/>
      <c r="P23" s="2">
        <f>--38202.59</f>
        <v>38202.589999999997</v>
      </c>
      <c r="Q23" s="2"/>
      <c r="R23" s="19"/>
      <c r="S23" s="2"/>
      <c r="T23" s="2"/>
      <c r="U23" s="2"/>
      <c r="V23" s="19"/>
      <c r="W23" s="2"/>
      <c r="X23" s="2">
        <f t="shared" si="2"/>
        <v>38202.589999999997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--12189.74</f>
        <v>12189.74</v>
      </c>
      <c r="E25" s="2"/>
      <c r="F25" s="19"/>
      <c r="G25" s="2"/>
      <c r="H25" s="2"/>
      <c r="I25" s="2"/>
      <c r="J25" s="19"/>
      <c r="K25" s="2"/>
      <c r="L25" s="2">
        <f t="shared" si="0"/>
        <v>12189.74</v>
      </c>
      <c r="M25" s="2"/>
      <c r="N25" s="19">
        <f t="shared" si="1"/>
        <v>0</v>
      </c>
      <c r="O25" s="11"/>
      <c r="P25" s="2">
        <f>--332888.83</f>
        <v>332888.83</v>
      </c>
      <c r="Q25" s="2"/>
      <c r="R25" s="19"/>
      <c r="S25" s="2"/>
      <c r="T25" s="2"/>
      <c r="U25" s="2"/>
      <c r="V25" s="19"/>
      <c r="W25" s="2"/>
      <c r="X25" s="2">
        <f t="shared" si="2"/>
        <v>332888.83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--431.78</f>
        <v>431.78</v>
      </c>
      <c r="E26" s="2"/>
      <c r="F26" s="19"/>
      <c r="G26" s="2"/>
      <c r="H26" s="2"/>
      <c r="I26" s="2"/>
      <c r="J26" s="19"/>
      <c r="K26" s="2"/>
      <c r="L26" s="2">
        <f t="shared" si="0"/>
        <v>431.78</v>
      </c>
      <c r="M26" s="2"/>
      <c r="N26" s="19">
        <f t="shared" si="1"/>
        <v>0</v>
      </c>
      <c r="O26" s="11"/>
      <c r="P26" s="2">
        <f>--8023.97</f>
        <v>8023.97</v>
      </c>
      <c r="Q26" s="2"/>
      <c r="R26" s="19"/>
      <c r="S26" s="2"/>
      <c r="T26" s="2"/>
      <c r="U26" s="2"/>
      <c r="V26" s="19"/>
      <c r="W26" s="2"/>
      <c r="X26" s="2">
        <f t="shared" si="2"/>
        <v>8023.97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/>
      <c r="I28" s="2"/>
      <c r="J28" s="19"/>
      <c r="K28" s="2"/>
      <c r="L28" s="2">
        <f t="shared" si="0"/>
        <v>6.95</v>
      </c>
      <c r="M28" s="2"/>
      <c r="N28" s="19">
        <f t="shared" si="1"/>
        <v>0</v>
      </c>
      <c r="O28" s="11"/>
      <c r="P28" s="2">
        <f>--41.91</f>
        <v>41.91</v>
      </c>
      <c r="Q28" s="2"/>
      <c r="R28" s="19"/>
      <c r="S28" s="2"/>
      <c r="T28" s="2"/>
      <c r="U28" s="2"/>
      <c r="V28" s="19"/>
      <c r="W28" s="2"/>
      <c r="X28" s="2">
        <f t="shared" si="2"/>
        <v>41.91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-631.8</f>
        <v>-631.79999999999995</v>
      </c>
      <c r="E29" s="2"/>
      <c r="F29" s="19"/>
      <c r="G29" s="2"/>
      <c r="H29" s="2"/>
      <c r="I29" s="2"/>
      <c r="J29" s="19"/>
      <c r="K29" s="2"/>
      <c r="L29" s="2">
        <f t="shared" si="0"/>
        <v>-631.79999999999995</v>
      </c>
      <c r="M29" s="2"/>
      <c r="N29" s="19">
        <f t="shared" si="1"/>
        <v>0</v>
      </c>
      <c r="O29" s="11"/>
      <c r="P29" s="2">
        <f>-78730.37</f>
        <v>-78730.37</v>
      </c>
      <c r="Q29" s="2"/>
      <c r="R29" s="19"/>
      <c r="S29" s="2"/>
      <c r="T29" s="2"/>
      <c r="U29" s="2"/>
      <c r="V29" s="19"/>
      <c r="W29" s="2"/>
      <c r="X29" s="2">
        <f t="shared" si="2"/>
        <v>-78730.37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-166.15</f>
        <v>-166.15</v>
      </c>
      <c r="E30" s="2"/>
      <c r="F30" s="19"/>
      <c r="G30" s="2"/>
      <c r="H30" s="2"/>
      <c r="I30" s="2"/>
      <c r="J30" s="19"/>
      <c r="K30" s="2"/>
      <c r="L30" s="2">
        <f t="shared" si="0"/>
        <v>-166.15</v>
      </c>
      <c r="M30" s="2"/>
      <c r="N30" s="19">
        <f t="shared" si="1"/>
        <v>0</v>
      </c>
      <c r="O30" s="11"/>
      <c r="P30" s="2">
        <f>-27208.35</f>
        <v>-27208.35</v>
      </c>
      <c r="Q30" s="2"/>
      <c r="R30" s="19"/>
      <c r="S30" s="2"/>
      <c r="T30" s="2"/>
      <c r="U30" s="2"/>
      <c r="V30" s="19"/>
      <c r="W30" s="2"/>
      <c r="X30" s="2">
        <f t="shared" si="2"/>
        <v>-27208.35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3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-11369.46</f>
        <v>-11369.46</v>
      </c>
      <c r="Q32" s="2"/>
      <c r="R32" s="19"/>
      <c r="S32" s="2"/>
      <c r="T32" s="2"/>
      <c r="U32" s="2"/>
      <c r="V32" s="19"/>
      <c r="W32" s="2"/>
      <c r="X32" s="2">
        <f t="shared" si="2"/>
        <v>-11369.46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-102.71</f>
        <v>-102.71</v>
      </c>
      <c r="Q33" s="2"/>
      <c r="R33" s="19"/>
      <c r="S33" s="2"/>
      <c r="T33" s="2"/>
      <c r="U33" s="2"/>
      <c r="V33" s="19"/>
      <c r="W33" s="2"/>
      <c r="X33" s="2">
        <f t="shared" si="2"/>
        <v>-102.71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-11.94</f>
        <v>-11.94</v>
      </c>
      <c r="E34" s="2"/>
      <c r="F34" s="19"/>
      <c r="G34" s="2"/>
      <c r="H34" s="2"/>
      <c r="I34" s="2"/>
      <c r="J34" s="19"/>
      <c r="K34" s="2"/>
      <c r="L34" s="2">
        <f t="shared" si="0"/>
        <v>-11.94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ref="D35:D36" si="5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-32.75</f>
        <v>-32.75</v>
      </c>
      <c r="Q35" s="2"/>
      <c r="R35" s="19"/>
      <c r="S35" s="2"/>
      <c r="T35" s="2"/>
      <c r="U35" s="2"/>
      <c r="V35" s="19"/>
      <c r="W35" s="2"/>
      <c r="X35" s="2">
        <f t="shared" si="2"/>
        <v>-32.75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-12310.98</f>
        <v>-12310.98</v>
      </c>
      <c r="Q36" s="2"/>
      <c r="R36" s="19"/>
      <c r="S36" s="2"/>
      <c r="T36" s="2"/>
      <c r="U36" s="2"/>
      <c r="V36" s="19"/>
      <c r="W36" s="2"/>
      <c r="X36" s="2">
        <f t="shared" si="2"/>
        <v>-12310.98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-14.1</f>
        <v>-14.1</v>
      </c>
      <c r="E37" s="2"/>
      <c r="F37" s="19"/>
      <c r="G37" s="2"/>
      <c r="H37" s="2"/>
      <c r="I37" s="2"/>
      <c r="J37" s="19"/>
      <c r="K37" s="2"/>
      <c r="L37" s="2">
        <f t="shared" si="0"/>
        <v>-14.1</v>
      </c>
      <c r="M37" s="2"/>
      <c r="N37" s="19">
        <f t="shared" si="1"/>
        <v>0</v>
      </c>
      <c r="O37" s="11"/>
      <c r="P37" s="2">
        <f>-697.9</f>
        <v>-697.9</v>
      </c>
      <c r="Q37" s="2"/>
      <c r="R37" s="19"/>
      <c r="S37" s="2"/>
      <c r="T37" s="2"/>
      <c r="U37" s="2"/>
      <c r="V37" s="19"/>
      <c r="W37" s="2"/>
      <c r="X37" s="2">
        <f t="shared" si="2"/>
        <v>-697.9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-226.45</f>
        <v>-226.45</v>
      </c>
      <c r="E39" s="2"/>
      <c r="F39" s="19"/>
      <c r="G39" s="2"/>
      <c r="H39" s="2"/>
      <c r="I39" s="2"/>
      <c r="J39" s="19"/>
      <c r="K39" s="2"/>
      <c r="L39" s="2">
        <f t="shared" si="0"/>
        <v>-226.45</v>
      </c>
      <c r="M39" s="2"/>
      <c r="N39" s="19">
        <f t="shared" si="1"/>
        <v>0</v>
      </c>
      <c r="O39" s="11"/>
      <c r="P39" s="2">
        <f>-13430.32</f>
        <v>-13430.32</v>
      </c>
      <c r="Q39" s="2"/>
      <c r="R39" s="19"/>
      <c r="S39" s="2"/>
      <c r="T39" s="2"/>
      <c r="U39" s="2"/>
      <c r="V39" s="19"/>
      <c r="W39" s="2"/>
      <c r="X39" s="2">
        <f t="shared" si="2"/>
        <v>-13430.32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-387.96</f>
        <v>-387.96</v>
      </c>
      <c r="Q40" s="2"/>
      <c r="R40" s="19"/>
      <c r="S40" s="2"/>
      <c r="T40" s="2"/>
      <c r="U40" s="2"/>
      <c r="V40" s="19"/>
      <c r="W40" s="2"/>
      <c r="X40" s="2">
        <f t="shared" si="2"/>
        <v>-387.96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32413.880000000019</v>
      </c>
      <c r="E42" s="4"/>
      <c r="F42" s="12">
        <f t="shared" ref="F42:F58" si="6">IF(D$12=0,0,D42/D$12)</f>
        <v>0.51288977765780353</v>
      </c>
      <c r="G42" s="4"/>
      <c r="H42" s="4">
        <f>SUM(OSRRefH16x_0)</f>
        <v>43781.93</v>
      </c>
      <c r="I42" s="4"/>
      <c r="J42" s="12">
        <f t="shared" ref="J42:J58" si="7">IF(H$12=0,0,H42/H$12)</f>
        <v>0.64294422579887223</v>
      </c>
      <c r="K42" s="4"/>
      <c r="L42" s="4">
        <f t="shared" ref="L42:L58" si="8">+D42-H42</f>
        <v>-11368.049999999981</v>
      </c>
      <c r="M42" s="4"/>
      <c r="N42" s="12">
        <f t="shared" ref="N42:N58" si="9">IF(H42=0,0,L42/H42)</f>
        <v>-0.25965164167043303</v>
      </c>
      <c r="O42" s="10"/>
      <c r="P42" s="4">
        <f>SUM(OSRRefP16x_0)</f>
        <v>2154515.8500000006</v>
      </c>
      <c r="Q42" s="4"/>
      <c r="R42" s="12">
        <f t="shared" ref="R42:R58" si="10">IF(P$12=0,0,P42/P$12)</f>
        <v>0.73276523341902422</v>
      </c>
      <c r="S42" s="4"/>
      <c r="T42" s="4">
        <f>SUM(OSRRefT16x_0)</f>
        <v>2290877.7000000002</v>
      </c>
      <c r="U42" s="4"/>
      <c r="V42" s="12">
        <f t="shared" ref="V42:V58" si="11">IF(T$12=0,0,T42/T$12)</f>
        <v>0.72030076913741037</v>
      </c>
      <c r="W42" s="4"/>
      <c r="X42" s="4">
        <f t="shared" ref="X42:X58" si="12">+P42-T42</f>
        <v>-136361.84999999963</v>
      </c>
      <c r="Y42" s="4"/>
      <c r="Z42" s="12">
        <f t="shared" ref="Z42:Z58" si="13">IF(T42=0,0,X42/T42)</f>
        <v>-5.9523845380309748E-2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6"/>
        <v>0</v>
      </c>
      <c r="G43" s="2"/>
      <c r="H43" s="2">
        <v>43781.93</v>
      </c>
      <c r="I43" s="2"/>
      <c r="J43" s="19">
        <f t="shared" si="7"/>
        <v>0.64294422579887223</v>
      </c>
      <c r="K43" s="2"/>
      <c r="L43" s="2">
        <f t="shared" si="8"/>
        <v>-43781.93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2290877.7000000002</v>
      </c>
      <c r="U43" s="2"/>
      <c r="V43" s="19">
        <f t="shared" si="11"/>
        <v>0.72030076913741037</v>
      </c>
      <c r="W43" s="2"/>
      <c r="X43" s="2">
        <f t="shared" si="12"/>
        <v>-2290877.7000000002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155219.06</v>
      </c>
      <c r="E44" s="2"/>
      <c r="F44" s="19">
        <f t="shared" si="6"/>
        <v>2.4560549114037942</v>
      </c>
      <c r="G44" s="2"/>
      <c r="H44" s="2"/>
      <c r="I44" s="2"/>
      <c r="J44" s="19">
        <f t="shared" si="7"/>
        <v>0</v>
      </c>
      <c r="K44" s="2"/>
      <c r="L44" s="2">
        <f t="shared" si="8"/>
        <v>155219.06</v>
      </c>
      <c r="M44" s="2"/>
      <c r="N44" s="19">
        <f t="shared" si="9"/>
        <v>0</v>
      </c>
      <c r="O44" s="11"/>
      <c r="P44" s="2">
        <v>1737069.75</v>
      </c>
      <c r="Q44" s="2"/>
      <c r="R44" s="19">
        <f t="shared" si="10"/>
        <v>0.59078902613962003</v>
      </c>
      <c r="S44" s="2"/>
      <c r="T44" s="2"/>
      <c r="U44" s="2"/>
      <c r="V44" s="19">
        <f t="shared" si="11"/>
        <v>0</v>
      </c>
      <c r="W44" s="2"/>
      <c r="X44" s="2">
        <f t="shared" si="12"/>
        <v>1737069.75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40274.950000000004</v>
      </c>
      <c r="E45" s="2"/>
      <c r="F45" s="19">
        <f t="shared" si="6"/>
        <v>0.63727668982174135</v>
      </c>
      <c r="G45" s="2"/>
      <c r="H45" s="2"/>
      <c r="I45" s="2"/>
      <c r="J45" s="19">
        <f t="shared" si="7"/>
        <v>0</v>
      </c>
      <c r="K45" s="2"/>
      <c r="L45" s="2">
        <f t="shared" si="8"/>
        <v>40274.950000000004</v>
      </c>
      <c r="M45" s="2"/>
      <c r="N45" s="19">
        <f t="shared" si="9"/>
        <v>0</v>
      </c>
      <c r="O45" s="11"/>
      <c r="P45" s="2">
        <v>252522.85</v>
      </c>
      <c r="Q45" s="2"/>
      <c r="R45" s="19">
        <f t="shared" si="10"/>
        <v>8.5884708215948929E-2</v>
      </c>
      <c r="S45" s="2"/>
      <c r="T45" s="2"/>
      <c r="U45" s="2"/>
      <c r="V45" s="19">
        <f t="shared" si="11"/>
        <v>0</v>
      </c>
      <c r="W45" s="2"/>
      <c r="X45" s="2">
        <f t="shared" si="12"/>
        <v>252522.85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-78.400000000000006</v>
      </c>
      <c r="Q46" s="2"/>
      <c r="R46" s="19">
        <f t="shared" si="10"/>
        <v>-2.6664363736312958E-5</v>
      </c>
      <c r="S46" s="2"/>
      <c r="T46" s="2"/>
      <c r="U46" s="2"/>
      <c r="V46" s="19">
        <f t="shared" si="11"/>
        <v>0</v>
      </c>
      <c r="W46" s="2"/>
      <c r="X46" s="2">
        <f t="shared" si="12"/>
        <v>-78.400000000000006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31572.300000000003</v>
      </c>
      <c r="E47" s="2"/>
      <c r="F47" s="19">
        <f t="shared" si="6"/>
        <v>0.49957332868343635</v>
      </c>
      <c r="G47" s="2"/>
      <c r="H47" s="2"/>
      <c r="I47" s="2"/>
      <c r="J47" s="19">
        <f t="shared" si="7"/>
        <v>0</v>
      </c>
      <c r="K47" s="2"/>
      <c r="L47" s="2">
        <f t="shared" si="8"/>
        <v>31572.300000000003</v>
      </c>
      <c r="M47" s="2"/>
      <c r="N47" s="19">
        <f t="shared" si="9"/>
        <v>0</v>
      </c>
      <c r="O47" s="11"/>
      <c r="P47" s="2">
        <v>354352.27</v>
      </c>
      <c r="Q47" s="2"/>
      <c r="R47" s="19">
        <f t="shared" si="10"/>
        <v>0.12051757421005328</v>
      </c>
      <c r="S47" s="2"/>
      <c r="T47" s="2"/>
      <c r="U47" s="2"/>
      <c r="V47" s="19">
        <f t="shared" si="11"/>
        <v>0</v>
      </c>
      <c r="W47" s="2"/>
      <c r="X47" s="2">
        <f t="shared" si="12"/>
        <v>354352.27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1161</v>
      </c>
      <c r="E48" s="2"/>
      <c r="F48" s="19">
        <f t="shared" si="6"/>
        <v>1.8370680457282792E-2</v>
      </c>
      <c r="G48" s="2"/>
      <c r="H48" s="2"/>
      <c r="I48" s="2"/>
      <c r="J48" s="19">
        <f t="shared" si="7"/>
        <v>0</v>
      </c>
      <c r="K48" s="2"/>
      <c r="L48" s="2">
        <f t="shared" si="8"/>
        <v>1161</v>
      </c>
      <c r="M48" s="2"/>
      <c r="N48" s="19">
        <f t="shared" si="9"/>
        <v>0</v>
      </c>
      <c r="O48" s="11"/>
      <c r="P48" s="2">
        <v>4902</v>
      </c>
      <c r="Q48" s="2"/>
      <c r="R48" s="19">
        <f t="shared" si="10"/>
        <v>1.66720294688018E-3</v>
      </c>
      <c r="S48" s="2"/>
      <c r="T48" s="2"/>
      <c r="U48" s="2"/>
      <c r="V48" s="19">
        <f t="shared" si="11"/>
        <v>0</v>
      </c>
      <c r="W48" s="2"/>
      <c r="X48" s="2">
        <f t="shared" si="12"/>
        <v>4902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37.17</v>
      </c>
      <c r="E49" s="2"/>
      <c r="F49" s="19">
        <f t="shared" si="6"/>
        <v>5.8814659138432509E-4</v>
      </c>
      <c r="G49" s="2"/>
      <c r="H49" s="2"/>
      <c r="I49" s="2"/>
      <c r="J49" s="19">
        <f t="shared" si="7"/>
        <v>0</v>
      </c>
      <c r="K49" s="2"/>
      <c r="L49" s="2">
        <f t="shared" si="8"/>
        <v>37.17</v>
      </c>
      <c r="M49" s="2"/>
      <c r="N49" s="19">
        <f t="shared" si="9"/>
        <v>0</v>
      </c>
      <c r="O49" s="11"/>
      <c r="P49" s="2">
        <v>735.31</v>
      </c>
      <c r="Q49" s="2"/>
      <c r="R49" s="19">
        <f t="shared" si="10"/>
        <v>2.5008384309883007E-4</v>
      </c>
      <c r="S49" s="2"/>
      <c r="T49" s="2"/>
      <c r="U49" s="2"/>
      <c r="V49" s="19">
        <f t="shared" si="11"/>
        <v>0</v>
      </c>
      <c r="W49" s="2"/>
      <c r="X49" s="2">
        <f t="shared" si="12"/>
        <v>735.31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56.98</v>
      </c>
      <c r="E50" s="2"/>
      <c r="F50" s="19">
        <f t="shared" si="6"/>
        <v>9.016032493160839E-4</v>
      </c>
      <c r="G50" s="2"/>
      <c r="H50" s="2"/>
      <c r="I50" s="2"/>
      <c r="J50" s="19">
        <f t="shared" si="7"/>
        <v>0</v>
      </c>
      <c r="K50" s="2"/>
      <c r="L50" s="2">
        <f t="shared" si="8"/>
        <v>56.98</v>
      </c>
      <c r="M50" s="2"/>
      <c r="N50" s="19">
        <f t="shared" si="9"/>
        <v>0</v>
      </c>
      <c r="O50" s="11"/>
      <c r="P50" s="2">
        <v>499.33</v>
      </c>
      <c r="Q50" s="2"/>
      <c r="R50" s="19">
        <f t="shared" si="10"/>
        <v>1.6982546867924932E-4</v>
      </c>
      <c r="S50" s="2"/>
      <c r="T50" s="2"/>
      <c r="U50" s="2"/>
      <c r="V50" s="19">
        <f t="shared" si="11"/>
        <v>0</v>
      </c>
      <c r="W50" s="2"/>
      <c r="X50" s="2">
        <f t="shared" si="12"/>
        <v>499.33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196.31</v>
      </c>
      <c r="E51" s="2"/>
      <c r="F51" s="19">
        <f t="shared" si="6"/>
        <v>3.1062431357185057E-3</v>
      </c>
      <c r="G51" s="2"/>
      <c r="H51" s="2"/>
      <c r="I51" s="2"/>
      <c r="J51" s="19">
        <f t="shared" si="7"/>
        <v>0</v>
      </c>
      <c r="K51" s="2"/>
      <c r="L51" s="2">
        <f t="shared" si="8"/>
        <v>196.31</v>
      </c>
      <c r="M51" s="2"/>
      <c r="N51" s="19">
        <f t="shared" si="9"/>
        <v>0</v>
      </c>
      <c r="O51" s="11"/>
      <c r="P51" s="2">
        <v>998.4</v>
      </c>
      <c r="Q51" s="2"/>
      <c r="R51" s="19">
        <f t="shared" si="10"/>
        <v>3.3956250962161803E-4</v>
      </c>
      <c r="S51" s="2"/>
      <c r="T51" s="2"/>
      <c r="U51" s="2"/>
      <c r="V51" s="19">
        <f t="shared" si="11"/>
        <v>0</v>
      </c>
      <c r="W51" s="2"/>
      <c r="X51" s="2">
        <f t="shared" si="12"/>
        <v>998.4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-247490</v>
      </c>
      <c r="E52" s="2"/>
      <c r="F52" s="19">
        <f t="shared" si="6"/>
        <v>-3.9160720985124189</v>
      </c>
      <c r="G52" s="2"/>
      <c r="H52" s="2"/>
      <c r="I52" s="2"/>
      <c r="J52" s="19">
        <f t="shared" si="7"/>
        <v>0</v>
      </c>
      <c r="K52" s="2"/>
      <c r="L52" s="2">
        <f t="shared" si="8"/>
        <v>-247490</v>
      </c>
      <c r="M52" s="2"/>
      <c r="N52" s="19">
        <f t="shared" si="9"/>
        <v>0</v>
      </c>
      <c r="O52" s="11"/>
      <c r="P52" s="2">
        <v>-1728365</v>
      </c>
      <c r="Q52" s="2"/>
      <c r="R52" s="19">
        <f t="shared" si="10"/>
        <v>-0.58782848251419062</v>
      </c>
      <c r="S52" s="2"/>
      <c r="T52" s="2"/>
      <c r="U52" s="2"/>
      <c r="V52" s="19">
        <f t="shared" si="11"/>
        <v>0</v>
      </c>
      <c r="W52" s="2"/>
      <c r="X52" s="2">
        <f t="shared" si="12"/>
        <v>-1728365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46642.47</v>
      </c>
      <c r="E53" s="2"/>
      <c r="F53" s="19">
        <f t="shared" si="6"/>
        <v>0.73803093204857795</v>
      </c>
      <c r="G53" s="2"/>
      <c r="H53" s="2"/>
      <c r="I53" s="2"/>
      <c r="J53" s="19">
        <f t="shared" si="7"/>
        <v>0</v>
      </c>
      <c r="K53" s="2"/>
      <c r="L53" s="2">
        <f t="shared" si="8"/>
        <v>46642.47</v>
      </c>
      <c r="M53" s="2"/>
      <c r="N53" s="19">
        <f t="shared" si="9"/>
        <v>0</v>
      </c>
      <c r="O53" s="11"/>
      <c r="P53" s="2">
        <v>1485407.4700000002</v>
      </c>
      <c r="Q53" s="2"/>
      <c r="R53" s="19">
        <f t="shared" si="10"/>
        <v>0.50519700352954566</v>
      </c>
      <c r="S53" s="2"/>
      <c r="T53" s="2"/>
      <c r="U53" s="2"/>
      <c r="V53" s="19">
        <f t="shared" si="11"/>
        <v>0</v>
      </c>
      <c r="W53" s="2"/>
      <c r="X53" s="2">
        <f t="shared" si="12"/>
        <v>1485407.4700000002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4162.3900000000003</v>
      </c>
      <c r="E54" s="2"/>
      <c r="F54" s="19">
        <f t="shared" si="6"/>
        <v>6.5862133185692784E-2</v>
      </c>
      <c r="G54" s="2"/>
      <c r="H54" s="2"/>
      <c r="I54" s="2"/>
      <c r="J54" s="19">
        <f t="shared" si="7"/>
        <v>0</v>
      </c>
      <c r="K54" s="2"/>
      <c r="L54" s="2">
        <f t="shared" si="8"/>
        <v>4162.3900000000003</v>
      </c>
      <c r="M54" s="2"/>
      <c r="N54" s="19">
        <f t="shared" si="9"/>
        <v>0</v>
      </c>
      <c r="O54" s="11"/>
      <c r="P54" s="2">
        <v>38669.939999999995</v>
      </c>
      <c r="Q54" s="2"/>
      <c r="R54" s="19">
        <f t="shared" si="10"/>
        <v>1.3151904921191298E-2</v>
      </c>
      <c r="S54" s="2"/>
      <c r="T54" s="2"/>
      <c r="U54" s="2"/>
      <c r="V54" s="19">
        <f t="shared" si="11"/>
        <v>0</v>
      </c>
      <c r="W54" s="2"/>
      <c r="X54" s="2">
        <f t="shared" si="12"/>
        <v>38669.939999999995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563.29999999999995</v>
      </c>
      <c r="E55" s="2"/>
      <c r="F55" s="19">
        <f t="shared" si="6"/>
        <v>8.9131819996446128E-3</v>
      </c>
      <c r="G55" s="2"/>
      <c r="H55" s="2"/>
      <c r="I55" s="2"/>
      <c r="J55" s="19">
        <f t="shared" si="7"/>
        <v>0</v>
      </c>
      <c r="K55" s="2"/>
      <c r="L55" s="2">
        <f t="shared" si="8"/>
        <v>563.29999999999995</v>
      </c>
      <c r="M55" s="2"/>
      <c r="N55" s="19">
        <f t="shared" si="9"/>
        <v>0</v>
      </c>
      <c r="O55" s="11"/>
      <c r="P55" s="2">
        <v>7653.42</v>
      </c>
      <c r="Q55" s="2"/>
      <c r="R55" s="19">
        <f t="shared" si="10"/>
        <v>2.6029792692190343E-3</v>
      </c>
      <c r="S55" s="2"/>
      <c r="T55" s="2"/>
      <c r="U55" s="2"/>
      <c r="V55" s="19">
        <f t="shared" si="11"/>
        <v>0</v>
      </c>
      <c r="W55" s="2"/>
      <c r="X55" s="2">
        <f t="shared" si="12"/>
        <v>7653.42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105.97</v>
      </c>
      <c r="Q56" s="2"/>
      <c r="R56" s="19">
        <f t="shared" si="10"/>
        <v>3.6041104912462807E-5</v>
      </c>
      <c r="S56" s="2"/>
      <c r="T56" s="2"/>
      <c r="U56" s="2"/>
      <c r="V56" s="19">
        <f t="shared" si="11"/>
        <v>0</v>
      </c>
      <c r="W56" s="2"/>
      <c r="X56" s="2">
        <f t="shared" si="12"/>
        <v>105.97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9.08</v>
      </c>
      <c r="E57" s="2"/>
      <c r="F57" s="19">
        <f t="shared" si="6"/>
        <v>1.4367422786574311E-4</v>
      </c>
      <c r="G57" s="2"/>
      <c r="H57" s="2"/>
      <c r="I57" s="2"/>
      <c r="J57" s="19">
        <f t="shared" si="7"/>
        <v>0</v>
      </c>
      <c r="K57" s="2"/>
      <c r="L57" s="2">
        <f t="shared" si="8"/>
        <v>9.08</v>
      </c>
      <c r="M57" s="2"/>
      <c r="N57" s="19">
        <f t="shared" si="9"/>
        <v>0</v>
      </c>
      <c r="O57" s="11"/>
      <c r="P57" s="2">
        <v>21.41</v>
      </c>
      <c r="Q57" s="2"/>
      <c r="R57" s="19">
        <f t="shared" si="10"/>
        <v>7.2816840254395458E-6</v>
      </c>
      <c r="S57" s="2"/>
      <c r="T57" s="2"/>
      <c r="U57" s="2"/>
      <c r="V57" s="19">
        <f t="shared" si="11"/>
        <v>0</v>
      </c>
      <c r="W57" s="2"/>
      <c r="X57" s="2">
        <f t="shared" si="12"/>
        <v>21.41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>
        <v>8.8699999999999992</v>
      </c>
      <c r="E58" s="2"/>
      <c r="F58" s="19">
        <f t="shared" si="6"/>
        <v>1.4035136576752658E-4</v>
      </c>
      <c r="G58" s="2"/>
      <c r="H58" s="2"/>
      <c r="I58" s="2"/>
      <c r="J58" s="19">
        <f t="shared" si="7"/>
        <v>0</v>
      </c>
      <c r="K58" s="2"/>
      <c r="L58" s="2">
        <f t="shared" si="8"/>
        <v>8.8699999999999992</v>
      </c>
      <c r="M58" s="2"/>
      <c r="N58" s="19">
        <f t="shared" si="9"/>
        <v>0</v>
      </c>
      <c r="O58" s="11"/>
      <c r="P58" s="2">
        <v>21.13</v>
      </c>
      <c r="Q58" s="2"/>
      <c r="R58" s="19">
        <f t="shared" si="10"/>
        <v>7.1864541549527131E-6</v>
      </c>
      <c r="S58" s="2"/>
      <c r="T58" s="2"/>
      <c r="U58" s="2"/>
      <c r="V58" s="19">
        <f t="shared" si="11"/>
        <v>0</v>
      </c>
      <c r="W58" s="2"/>
      <c r="X58" s="2">
        <f t="shared" si="12"/>
        <v>21.13</v>
      </c>
      <c r="Y58" s="2"/>
      <c r="Z58" s="19">
        <f t="shared" si="13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2">
        <f>D12-D42</f>
        <v>30784.649999999965</v>
      </c>
      <c r="E60" s="14"/>
      <c r="F60" s="20">
        <f>IF(D$12=0,0,D60/D$12)</f>
        <v>0.48711022234219647</v>
      </c>
      <c r="G60" s="14"/>
      <c r="H60" s="22">
        <f>H12-H42</f>
        <v>24314.07</v>
      </c>
      <c r="I60" s="14"/>
      <c r="J60" s="20">
        <f>IF(H$12=0,0,H60/H$12)</f>
        <v>0.35705577420112783</v>
      </c>
      <c r="K60" s="16"/>
      <c r="L60" s="22">
        <f>+D60-H60</f>
        <v>6470.5799999999654</v>
      </c>
      <c r="M60" s="16"/>
      <c r="N60" s="20">
        <f>IF(H60=0,0,L60/H60)</f>
        <v>0.26612492272992411</v>
      </c>
      <c r="O60" s="28"/>
      <c r="P60" s="22">
        <f>P12-P42</f>
        <v>785738.0699999989</v>
      </c>
      <c r="Q60" s="14"/>
      <c r="R60" s="20">
        <f>IF(P$12=0,0,P60/P$12)</f>
        <v>0.26723476658097578</v>
      </c>
      <c r="S60" s="14"/>
      <c r="T60" s="22">
        <f>T12-T42</f>
        <v>889568.29999999981</v>
      </c>
      <c r="U60" s="14"/>
      <c r="V60" s="20">
        <f>IF(T$12=0,0,T60/T$12)</f>
        <v>0.27969923086258963</v>
      </c>
      <c r="W60" s="16"/>
      <c r="X60" s="22">
        <f>+P60-T60</f>
        <v>-103830.23000000091</v>
      </c>
      <c r="Y60" s="16"/>
      <c r="Z60" s="20">
        <f>IF(T60=0,0,X60/T60)</f>
        <v>-0.116719795433359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1">
        <f>SUM(OSRRefD22x_0)</f>
        <v>46337.939999999988</v>
      </c>
      <c r="E62" s="21"/>
      <c r="F62" s="30">
        <f t="shared" ref="F62:F73" si="14">IF(D$12=0,0,D62/D$12)</f>
        <v>0.73321230731157827</v>
      </c>
      <c r="G62" s="21"/>
      <c r="H62" s="21">
        <f>SUM(OSRRefH22x_0)</f>
        <v>55655.112860297872</v>
      </c>
      <c r="I62" s="21"/>
      <c r="J62" s="30">
        <f t="shared" ref="J62:J73" si="15">IF(H$12=0,0,H62/H$12)</f>
        <v>0.81730370154337806</v>
      </c>
      <c r="K62" s="4"/>
      <c r="L62" s="21">
        <f t="shared" ref="L62:L73" si="16">+D62-H62</f>
        <v>-9317.1728602978837</v>
      </c>
      <c r="M62" s="4"/>
      <c r="N62" s="30">
        <f t="shared" ref="N62:N73" si="17">IF(H62=0,0,L62/H62)</f>
        <v>-0.16740910909093459</v>
      </c>
      <c r="O62" s="10"/>
      <c r="P62" s="21">
        <f>SUM(OSRRefP22x_0)</f>
        <v>255586.98999999993</v>
      </c>
      <c r="Q62" s="21"/>
      <c r="R62" s="30">
        <f t="shared" ref="R62:R73" si="18">IF(P$12=0,0,P62/P$12)</f>
        <v>8.6926842699354342E-2</v>
      </c>
      <c r="S62" s="21"/>
      <c r="T62" s="21">
        <f>SUM(OSRRefT22x_0)</f>
        <v>335115.82781893597</v>
      </c>
      <c r="U62" s="21"/>
      <c r="V62" s="30">
        <f t="shared" ref="V62:V73" si="19">IF(T$12=0,0,T62/T$12)</f>
        <v>0.1053675578264608</v>
      </c>
      <c r="W62" s="4"/>
      <c r="X62" s="21">
        <f t="shared" ref="X62:X73" si="20">+P62-T62</f>
        <v>-79528.837818936037</v>
      </c>
      <c r="Y62" s="4"/>
      <c r="Z62" s="30">
        <f t="shared" ref="Z62:Z73" si="21">IF(T62=0,0,X62/T62)</f>
        <v>-0.23731746225339645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9543.23</v>
      </c>
      <c r="E63" s="1"/>
      <c r="F63" s="5">
        <f t="shared" si="14"/>
        <v>0.15100398695982331</v>
      </c>
      <c r="G63" s="1"/>
      <c r="H63" s="1">
        <f>SUM(OSRRefH22_0x_0)</f>
        <v>11962.495644574772</v>
      </c>
      <c r="I63" s="1"/>
      <c r="J63" s="5">
        <f t="shared" si="15"/>
        <v>0.17567104741210604</v>
      </c>
      <c r="K63" s="1"/>
      <c r="L63" s="1">
        <f t="shared" si="16"/>
        <v>-2419.2656445747725</v>
      </c>
      <c r="M63" s="1"/>
      <c r="N63" s="5">
        <f t="shared" si="17"/>
        <v>-0.20223753608403253</v>
      </c>
      <c r="O63" s="13"/>
      <c r="P63" s="1">
        <f>SUM(OSRRefP22_0x_0)</f>
        <v>60890.789999999994</v>
      </c>
      <c r="Q63" s="1"/>
      <c r="R63" s="5">
        <f t="shared" si="18"/>
        <v>2.0709364448360298E-2</v>
      </c>
      <c r="S63" s="1"/>
      <c r="T63" s="1">
        <f>SUM(OSRRefT22_0x_0)</f>
        <v>76568.720916735998</v>
      </c>
      <c r="U63" s="1"/>
      <c r="V63" s="5">
        <f t="shared" si="19"/>
        <v>2.4074837590934102E-2</v>
      </c>
      <c r="W63" s="1"/>
      <c r="X63" s="1">
        <f t="shared" si="20"/>
        <v>-15677.930916736004</v>
      </c>
      <c r="Y63" s="1"/>
      <c r="Z63" s="5">
        <f t="shared" si="21"/>
        <v>-0.20475633821524636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6">
        <v>1559.53</v>
      </c>
      <c r="E64" s="2"/>
      <c r="F64" s="7">
        <f t="shared" si="14"/>
        <v>2.4676681562055325E-2</v>
      </c>
      <c r="G64" s="2"/>
      <c r="H64" s="6">
        <v>1602.9579046486201</v>
      </c>
      <c r="I64" s="2"/>
      <c r="J64" s="7">
        <f t="shared" si="15"/>
        <v>2.3539677876066437E-2</v>
      </c>
      <c r="K64" s="2"/>
      <c r="L64" s="6">
        <f t="shared" si="16"/>
        <v>-43.427904648620142</v>
      </c>
      <c r="M64" s="2"/>
      <c r="N64" s="7">
        <f t="shared" si="17"/>
        <v>-2.7092355028586888E-2</v>
      </c>
      <c r="O64" s="11"/>
      <c r="P64" s="6">
        <v>10634.91</v>
      </c>
      <c r="Q64" s="2"/>
      <c r="R64" s="7">
        <f t="shared" si="18"/>
        <v>3.6170039354968368E-3</v>
      </c>
      <c r="S64" s="2"/>
      <c r="T64" s="6">
        <v>11033.95360521602</v>
      </c>
      <c r="U64" s="2"/>
      <c r="V64" s="7">
        <f t="shared" si="19"/>
        <v>3.4693101549958779E-3</v>
      </c>
      <c r="W64" s="2"/>
      <c r="X64" s="6">
        <f t="shared" si="20"/>
        <v>-399.0436052160203</v>
      </c>
      <c r="Y64" s="2"/>
      <c r="Z64" s="7">
        <f t="shared" si="21"/>
        <v>-3.6165061001106856E-2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6">
        <v>115.27</v>
      </c>
      <c r="E65" s="2"/>
      <c r="F65" s="7">
        <f t="shared" si="14"/>
        <v>1.8239348288638995E-3</v>
      </c>
      <c r="G65" s="2"/>
      <c r="H65" s="6">
        <v>529.00092950769204</v>
      </c>
      <c r="I65" s="2"/>
      <c r="J65" s="7">
        <f t="shared" si="15"/>
        <v>7.7684581988324139E-3</v>
      </c>
      <c r="K65" s="2"/>
      <c r="L65" s="6">
        <f t="shared" si="16"/>
        <v>-413.73092950769205</v>
      </c>
      <c r="M65" s="2"/>
      <c r="N65" s="7">
        <f t="shared" si="17"/>
        <v>-0.78209868155189344</v>
      </c>
      <c r="O65" s="11"/>
      <c r="P65" s="6">
        <v>383.33</v>
      </c>
      <c r="Q65" s="2"/>
      <c r="R65" s="7">
        <f t="shared" si="18"/>
        <v>1.3037309376327609E-4</v>
      </c>
      <c r="S65" s="2"/>
      <c r="T65" s="6">
        <v>3610.0303467999979</v>
      </c>
      <c r="U65" s="2"/>
      <c r="V65" s="7">
        <f t="shared" si="19"/>
        <v>1.1350704733864363E-3</v>
      </c>
      <c r="W65" s="2"/>
      <c r="X65" s="6">
        <f t="shared" si="20"/>
        <v>-3226.700346799998</v>
      </c>
      <c r="Y65" s="2"/>
      <c r="Z65" s="7">
        <f t="shared" si="21"/>
        <v>-0.89381529705427787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6">
        <v>4168.57</v>
      </c>
      <c r="E66" s="2"/>
      <c r="F66" s="7">
        <f t="shared" si="14"/>
        <v>6.5959920270297442E-2</v>
      </c>
      <c r="G66" s="2"/>
      <c r="H66" s="6">
        <v>5311.7692307692296</v>
      </c>
      <c r="I66" s="2"/>
      <c r="J66" s="7">
        <f t="shared" si="15"/>
        <v>7.8004129916136478E-2</v>
      </c>
      <c r="K66" s="2"/>
      <c r="L66" s="6">
        <f t="shared" si="16"/>
        <v>-1143.1992307692299</v>
      </c>
      <c r="M66" s="2"/>
      <c r="N66" s="7">
        <f t="shared" si="17"/>
        <v>-0.21522004836864425</v>
      </c>
      <c r="O66" s="11"/>
      <c r="P66" s="6">
        <v>25011.42</v>
      </c>
      <c r="Q66" s="2"/>
      <c r="R66" s="7">
        <f t="shared" si="18"/>
        <v>8.506551026041996E-3</v>
      </c>
      <c r="S66" s="2"/>
      <c r="T66" s="6">
        <v>32814</v>
      </c>
      <c r="U66" s="2"/>
      <c r="V66" s="7">
        <f t="shared" si="19"/>
        <v>1.0317420890026116E-2</v>
      </c>
      <c r="W66" s="2"/>
      <c r="X66" s="6">
        <f t="shared" si="20"/>
        <v>-7802.5800000000017</v>
      </c>
      <c r="Y66" s="2"/>
      <c r="Z66" s="7">
        <f t="shared" si="21"/>
        <v>-0.2377820442494058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6">
        <v>88.15</v>
      </c>
      <c r="E67" s="2"/>
      <c r="F67" s="7">
        <f t="shared" si="14"/>
        <v>1.3948109236085085E-3</v>
      </c>
      <c r="G67" s="2"/>
      <c r="H67" s="6">
        <v>72.389600880000003</v>
      </c>
      <c r="I67" s="2"/>
      <c r="J67" s="7">
        <f t="shared" si="15"/>
        <v>1.0630521745770677E-3</v>
      </c>
      <c r="K67" s="2"/>
      <c r="L67" s="6">
        <f t="shared" si="16"/>
        <v>15.760399120000002</v>
      </c>
      <c r="M67" s="2"/>
      <c r="N67" s="7">
        <f t="shared" si="17"/>
        <v>0.21771634224266498</v>
      </c>
      <c r="O67" s="11"/>
      <c r="P67" s="6">
        <v>391.59</v>
      </c>
      <c r="Q67" s="2"/>
      <c r="R67" s="7">
        <f t="shared" si="18"/>
        <v>1.3318237494263762E-4</v>
      </c>
      <c r="S67" s="2"/>
      <c r="T67" s="6">
        <v>494.00415271999998</v>
      </c>
      <c r="U67" s="2"/>
      <c r="V67" s="7">
        <f t="shared" si="19"/>
        <v>1.5532543320024927E-4</v>
      </c>
      <c r="W67" s="2"/>
      <c r="X67" s="6">
        <f t="shared" si="20"/>
        <v>-102.41415272</v>
      </c>
      <c r="Y67" s="2"/>
      <c r="Z67" s="7">
        <f t="shared" si="21"/>
        <v>-0.20731435587353864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6">
        <v>1325.86</v>
      </c>
      <c r="E68" s="2"/>
      <c r="F68" s="7">
        <f t="shared" si="14"/>
        <v>2.0979285435911252E-2</v>
      </c>
      <c r="G68" s="2"/>
      <c r="H68" s="6">
        <v>1235.9586478769202</v>
      </c>
      <c r="I68" s="2"/>
      <c r="J68" s="7">
        <f t="shared" si="15"/>
        <v>1.8150238602515863E-2</v>
      </c>
      <c r="K68" s="2"/>
      <c r="L68" s="6">
        <f t="shared" si="16"/>
        <v>89.901352123079732</v>
      </c>
      <c r="M68" s="2"/>
      <c r="N68" s="7">
        <f t="shared" si="17"/>
        <v>7.273815533999349E-2</v>
      </c>
      <c r="O68" s="11"/>
      <c r="P68" s="6">
        <v>8432.4</v>
      </c>
      <c r="Q68" s="2"/>
      <c r="R68" s="7">
        <f t="shared" si="18"/>
        <v>2.867915571047007E-3</v>
      </c>
      <c r="S68" s="2"/>
      <c r="T68" s="6">
        <v>8033.73121119998</v>
      </c>
      <c r="U68" s="2"/>
      <c r="V68" s="7">
        <f t="shared" si="19"/>
        <v>2.5259762974123691E-3</v>
      </c>
      <c r="W68" s="2"/>
      <c r="X68" s="6">
        <f t="shared" si="20"/>
        <v>398.66878880001968</v>
      </c>
      <c r="Y68" s="2"/>
      <c r="Z68" s="7">
        <f t="shared" si="21"/>
        <v>4.9624362369035675E-2</v>
      </c>
    </row>
    <row r="69" spans="1:26" s="24" customFormat="1" hidden="1" outlineLevel="2" x14ac:dyDescent="0.25">
      <c r="A69" s="26"/>
      <c r="B69" s="11" t="str">
        <f>CONCATENATE("          ", "6116", " - ", "EDUCATIONAL BENEFITS")</f>
        <v xml:space="preserve">          6116 - EDUCATIONAL BENEFITS</v>
      </c>
      <c r="C69" s="11"/>
      <c r="D69" s="6"/>
      <c r="E69" s="2"/>
      <c r="F69" s="7">
        <f t="shared" si="14"/>
        <v>0</v>
      </c>
      <c r="G69" s="2"/>
      <c r="H69" s="6">
        <v>0</v>
      </c>
      <c r="I69" s="2"/>
      <c r="J69" s="7">
        <f t="shared" si="15"/>
        <v>0</v>
      </c>
      <c r="K69" s="2"/>
      <c r="L69" s="6">
        <f t="shared" si="16"/>
        <v>0</v>
      </c>
      <c r="M69" s="2"/>
      <c r="N69" s="7">
        <f t="shared" si="17"/>
        <v>0</v>
      </c>
      <c r="O69" s="11"/>
      <c r="P69" s="6"/>
      <c r="Q69" s="2"/>
      <c r="R69" s="7">
        <f t="shared" si="18"/>
        <v>0</v>
      </c>
      <c r="S69" s="2"/>
      <c r="T69" s="6">
        <v>0</v>
      </c>
      <c r="U69" s="2"/>
      <c r="V69" s="7">
        <f t="shared" si="19"/>
        <v>0</v>
      </c>
      <c r="W69" s="2"/>
      <c r="X69" s="6">
        <f t="shared" si="20"/>
        <v>0</v>
      </c>
      <c r="Y69" s="2"/>
      <c r="Z69" s="7">
        <f t="shared" si="21"/>
        <v>0</v>
      </c>
    </row>
    <row r="70" spans="1:26" s="24" customFormat="1" hidden="1" outlineLevel="2" x14ac:dyDescent="0.25">
      <c r="A70" s="26"/>
      <c r="B70" s="11" t="str">
        <f>CONCATENATE("          ", "6117", " - ", "RETIREMENT STAFF HOURLY")</f>
        <v xml:space="preserve">          6117 - RETIREMENT STAFF HOURLY</v>
      </c>
      <c r="C70" s="11"/>
      <c r="D70" s="6">
        <v>92.54</v>
      </c>
      <c r="E70" s="2"/>
      <c r="F70" s="7">
        <f t="shared" si="14"/>
        <v>1.4642745646140825E-3</v>
      </c>
      <c r="G70" s="2"/>
      <c r="H70" s="6"/>
      <c r="I70" s="2"/>
      <c r="J70" s="7">
        <f t="shared" si="15"/>
        <v>0</v>
      </c>
      <c r="K70" s="2"/>
      <c r="L70" s="6">
        <f t="shared" si="16"/>
        <v>92.54</v>
      </c>
      <c r="M70" s="2"/>
      <c r="N70" s="7">
        <f t="shared" si="17"/>
        <v>0</v>
      </c>
      <c r="O70" s="11"/>
      <c r="P70" s="6">
        <v>738.74</v>
      </c>
      <c r="Q70" s="2"/>
      <c r="R70" s="7">
        <f t="shared" si="18"/>
        <v>2.5125040901229377E-4</v>
      </c>
      <c r="S70" s="2"/>
      <c r="T70" s="6"/>
      <c r="U70" s="2"/>
      <c r="V70" s="7">
        <f t="shared" si="19"/>
        <v>0</v>
      </c>
      <c r="W70" s="2"/>
      <c r="X70" s="6">
        <f t="shared" si="20"/>
        <v>738.74</v>
      </c>
      <c r="Y70" s="2"/>
      <c r="Z70" s="7">
        <f t="shared" si="21"/>
        <v>0</v>
      </c>
    </row>
    <row r="71" spans="1:26" s="24" customFormat="1" hidden="1" outlineLevel="2" x14ac:dyDescent="0.25">
      <c r="A71" s="26"/>
      <c r="B71" s="11" t="str">
        <f>CONCATENATE("          ", "6118", " - ", "VACATION")</f>
        <v xml:space="preserve">          6118 - VACATION</v>
      </c>
      <c r="C71" s="11"/>
      <c r="D71" s="6">
        <v>794.54</v>
      </c>
      <c r="E71" s="2"/>
      <c r="F71" s="7">
        <f t="shared" si="14"/>
        <v>1.2572127864366468E-2</v>
      </c>
      <c r="G71" s="2"/>
      <c r="H71" s="6">
        <v>1427.9603583999999</v>
      </c>
      <c r="I71" s="2"/>
      <c r="J71" s="7">
        <f t="shared" si="15"/>
        <v>2.0969812593984959E-2</v>
      </c>
      <c r="K71" s="2"/>
      <c r="L71" s="6">
        <f t="shared" si="16"/>
        <v>-633.42035839999994</v>
      </c>
      <c r="M71" s="2"/>
      <c r="N71" s="7">
        <f t="shared" si="17"/>
        <v>-0.44358399354288403</v>
      </c>
      <c r="O71" s="11"/>
      <c r="P71" s="6">
        <v>5636.46</v>
      </c>
      <c r="Q71" s="2"/>
      <c r="R71" s="7">
        <f t="shared" si="18"/>
        <v>1.9169976993007466E-3</v>
      </c>
      <c r="S71" s="2"/>
      <c r="T71" s="6">
        <v>9281.7423295999997</v>
      </c>
      <c r="U71" s="2"/>
      <c r="V71" s="7">
        <f t="shared" si="19"/>
        <v>2.91837758905512E-3</v>
      </c>
      <c r="W71" s="2"/>
      <c r="X71" s="6">
        <f t="shared" si="20"/>
        <v>-3645.2823295999997</v>
      </c>
      <c r="Y71" s="2"/>
      <c r="Z71" s="7">
        <f t="shared" si="21"/>
        <v>-0.39273685911049144</v>
      </c>
    </row>
    <row r="72" spans="1:26" s="24" customFormat="1" hidden="1" outlineLevel="2" x14ac:dyDescent="0.25">
      <c r="A72" s="26"/>
      <c r="B72" s="11" t="str">
        <f>CONCATENATE("          ", "6119", " - ", "SICK LEAVE")</f>
        <v xml:space="preserve">          6119 - SICK LEAVE</v>
      </c>
      <c r="C72" s="11"/>
      <c r="D72" s="6">
        <v>801.74</v>
      </c>
      <c r="E72" s="2"/>
      <c r="F72" s="7">
        <f t="shared" si="14"/>
        <v>1.268605456487675E-2</v>
      </c>
      <c r="G72" s="2"/>
      <c r="H72" s="6">
        <v>1032.4589724923101</v>
      </c>
      <c r="I72" s="2"/>
      <c r="J72" s="7">
        <f t="shared" si="15"/>
        <v>1.5161815268037919E-2</v>
      </c>
      <c r="K72" s="2"/>
      <c r="L72" s="6">
        <f t="shared" si="16"/>
        <v>-230.71897249231006</v>
      </c>
      <c r="M72" s="2"/>
      <c r="N72" s="7">
        <f t="shared" si="17"/>
        <v>-0.22346551159835892</v>
      </c>
      <c r="O72" s="11"/>
      <c r="P72" s="6">
        <v>6120.11</v>
      </c>
      <c r="Q72" s="2"/>
      <c r="R72" s="7">
        <f t="shared" si="18"/>
        <v>2.0814902952327333E-3</v>
      </c>
      <c r="S72" s="2"/>
      <c r="T72" s="6">
        <v>6801.2592711999996</v>
      </c>
      <c r="U72" s="2"/>
      <c r="V72" s="7">
        <f t="shared" si="19"/>
        <v>2.1384608546096994E-3</v>
      </c>
      <c r="W72" s="2"/>
      <c r="X72" s="6">
        <f t="shared" si="20"/>
        <v>-681.14927119999993</v>
      </c>
      <c r="Y72" s="2"/>
      <c r="Z72" s="7">
        <f t="shared" si="21"/>
        <v>-0.10015046391251886</v>
      </c>
    </row>
    <row r="73" spans="1:26" s="24" customFormat="1" hidden="1" outlineLevel="2" x14ac:dyDescent="0.25">
      <c r="A73" s="26"/>
      <c r="B73" s="11" t="str">
        <f>CONCATENATE("          ", "6156", " - ", "EMPLOYEE MEALS")</f>
        <v xml:space="preserve">          6156 - EMPLOYEE MEALS</v>
      </c>
      <c r="C73" s="11"/>
      <c r="D73" s="6">
        <v>597.03</v>
      </c>
      <c r="E73" s="2"/>
      <c r="F73" s="7">
        <f t="shared" si="14"/>
        <v>9.4468969452295819E-3</v>
      </c>
      <c r="G73" s="2"/>
      <c r="H73" s="6">
        <v>750</v>
      </c>
      <c r="I73" s="2"/>
      <c r="J73" s="7">
        <f t="shared" si="15"/>
        <v>1.1013862781954887E-2</v>
      </c>
      <c r="K73" s="2"/>
      <c r="L73" s="6">
        <f t="shared" si="16"/>
        <v>-152.97000000000003</v>
      </c>
      <c r="M73" s="2"/>
      <c r="N73" s="7">
        <f t="shared" si="17"/>
        <v>-0.20396000000000003</v>
      </c>
      <c r="O73" s="11"/>
      <c r="P73" s="6">
        <v>3541.83</v>
      </c>
      <c r="Q73" s="2"/>
      <c r="R73" s="7">
        <f t="shared" si="18"/>
        <v>1.2046000435227719E-3</v>
      </c>
      <c r="S73" s="2"/>
      <c r="T73" s="6">
        <v>4500</v>
      </c>
      <c r="U73" s="2"/>
      <c r="V73" s="7">
        <f t="shared" si="19"/>
        <v>1.4148958982482332E-3</v>
      </c>
      <c r="W73" s="2"/>
      <c r="X73" s="6">
        <f t="shared" si="20"/>
        <v>-958.17000000000007</v>
      </c>
      <c r="Y73" s="2"/>
      <c r="Z73" s="7">
        <f t="shared" si="21"/>
        <v>-0.21292666666666668</v>
      </c>
    </row>
    <row r="74" spans="1:26" s="25" customFormat="1" outlineLevel="1" collapsed="1" x14ac:dyDescent="0.25">
      <c r="A74" s="27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24062.180000000004</v>
      </c>
      <c r="E74" s="1"/>
      <c r="F74" s="5">
        <f t="shared" ref="F74:F84" si="22">IF(D$12=0,0,D74/D$12)</f>
        <v>0.3807395520117321</v>
      </c>
      <c r="G74" s="1"/>
      <c r="H74" s="1">
        <f>SUM(OSRRefH22_1x_0)</f>
        <v>25527.617215723098</v>
      </c>
      <c r="I74" s="1"/>
      <c r="J74" s="5">
        <f t="shared" ref="J74:J84" si="23">IF(H$12=0,0,H74/H$12)</f>
        <v>0.37487689755232462</v>
      </c>
      <c r="K74" s="1"/>
      <c r="L74" s="1">
        <f t="shared" ref="L74:L84" si="24">+D74-H74</f>
        <v>-1465.4372157230937</v>
      </c>
      <c r="M74" s="1"/>
      <c r="N74" s="5">
        <f t="shared" ref="N74:N84" si="25">IF(H74=0,0,L74/H74)</f>
        <v>-5.7405953847525351E-2</v>
      </c>
      <c r="O74" s="13"/>
      <c r="P74" s="1">
        <f>SUM(OSRRefP22_1x_0)</f>
        <v>143018.14000000001</v>
      </c>
      <c r="Q74" s="1"/>
      <c r="R74" s="5">
        <f t="shared" ref="R74:R84" si="26">IF(P$12=0,0,P74/P$12)</f>
        <v>4.8641424819527164E-2</v>
      </c>
      <c r="S74" s="1"/>
      <c r="T74" s="1">
        <f>SUM(OSRRefT22_1x_0)</f>
        <v>174957.1069022</v>
      </c>
      <c r="U74" s="1"/>
      <c r="V74" s="5">
        <f t="shared" ref="V74:V84" si="27">IF(T$12=0,0,T74/T$12)</f>
        <v>5.5010242872288978E-2</v>
      </c>
      <c r="W74" s="1"/>
      <c r="X74" s="1">
        <f t="shared" ref="X74:X84" si="28">+P74-T74</f>
        <v>-31938.966902199987</v>
      </c>
      <c r="Y74" s="1"/>
      <c r="Z74" s="5">
        <f t="shared" ref="Z74:Z84" si="29">IF(T74=0,0,X74/T74)</f>
        <v>-0.18255312669323964</v>
      </c>
    </row>
    <row r="75" spans="1:26" s="24" customFormat="1" hidden="1" outlineLevel="2" x14ac:dyDescent="0.25">
      <c r="A75" s="26"/>
      <c r="B75" s="11" t="str">
        <f>CONCATENATE("          ", "6001", " - ", "ADMINISTRATIVE SALARIES")</f>
        <v xml:space="preserve">          6001 - ADMINISTRATIVE SALARIES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/>
      <c r="Q75" s="2"/>
      <c r="R75" s="7">
        <f t="shared" si="26"/>
        <v>0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0</v>
      </c>
      <c r="Y75" s="2"/>
      <c r="Z75" s="7">
        <f t="shared" si="29"/>
        <v>0</v>
      </c>
    </row>
    <row r="76" spans="1:26" s="24" customFormat="1" hidden="1" outlineLevel="2" x14ac:dyDescent="0.25">
      <c r="A76" s="26"/>
      <c r="B76" s="11" t="str">
        <f>CONCATENATE("          ", "6002", " - ", "STAFF SALARIES")</f>
        <v xml:space="preserve">          6002 - STAFF SALARIES</v>
      </c>
      <c r="C76" s="11"/>
      <c r="D76" s="6">
        <v>14382.75</v>
      </c>
      <c r="E76" s="2"/>
      <c r="F76" s="7">
        <f t="shared" si="22"/>
        <v>0.22758045163392254</v>
      </c>
      <c r="G76" s="2"/>
      <c r="H76" s="6">
        <v>12765.0123437231</v>
      </c>
      <c r="I76" s="2"/>
      <c r="J76" s="7">
        <f t="shared" si="23"/>
        <v>0.18745612581830209</v>
      </c>
      <c r="K76" s="2"/>
      <c r="L76" s="6">
        <f t="shared" si="24"/>
        <v>1617.7376562769005</v>
      </c>
      <c r="M76" s="2"/>
      <c r="N76" s="7">
        <f t="shared" si="25"/>
        <v>0.12673216544693633</v>
      </c>
      <c r="O76" s="11"/>
      <c r="P76" s="6">
        <v>89028.58</v>
      </c>
      <c r="Q76" s="2"/>
      <c r="R76" s="7">
        <f t="shared" si="26"/>
        <v>3.0279214796523429E-2</v>
      </c>
      <c r="S76" s="2"/>
      <c r="T76" s="6">
        <v>82972.580234199995</v>
      </c>
      <c r="U76" s="2"/>
      <c r="V76" s="7">
        <f t="shared" si="27"/>
        <v>2.6088347431209333E-2</v>
      </c>
      <c r="W76" s="2"/>
      <c r="X76" s="6">
        <f t="shared" si="28"/>
        <v>6055.9997658000066</v>
      </c>
      <c r="Y76" s="2"/>
      <c r="Z76" s="7">
        <f t="shared" si="29"/>
        <v>7.2987964803628208E-2</v>
      </c>
    </row>
    <row r="77" spans="1:26" s="24" customFormat="1" hidden="1" outlineLevel="2" x14ac:dyDescent="0.25">
      <c r="A77" s="26"/>
      <c r="B77" s="11" t="str">
        <f>CONCATENATE("          ", "6003", " - ", "STAFF HOURLY-9 MONTH")</f>
        <v xml:space="preserve">          6003 - STAFF HOURLY-9 MONTH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/>
      <c r="Q77" s="2"/>
      <c r="R77" s="7">
        <f t="shared" si="26"/>
        <v>0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0</v>
      </c>
      <c r="Y77" s="2"/>
      <c r="Z77" s="7">
        <f t="shared" si="29"/>
        <v>0</v>
      </c>
    </row>
    <row r="78" spans="1:26" s="24" customFormat="1" hidden="1" outlineLevel="2" x14ac:dyDescent="0.25">
      <c r="A78" s="26"/>
      <c r="B78" s="11" t="str">
        <f>CONCATENATE("          ", "6004", " - ", "STAFF HOURLY")</f>
        <v xml:space="preserve">          6004 - STAFF HOURLY</v>
      </c>
      <c r="C78" s="11"/>
      <c r="D78" s="6">
        <v>3238.83</v>
      </c>
      <c r="E78" s="2"/>
      <c r="F78" s="7">
        <f t="shared" si="22"/>
        <v>5.1248502140793475E-2</v>
      </c>
      <c r="G78" s="2"/>
      <c r="H78" s="6">
        <v>5865.9348719999998</v>
      </c>
      <c r="I78" s="2"/>
      <c r="J78" s="7">
        <f t="shared" si="23"/>
        <v>8.6142135690789476E-2</v>
      </c>
      <c r="K78" s="2"/>
      <c r="L78" s="6">
        <f t="shared" si="24"/>
        <v>-2627.1048719999999</v>
      </c>
      <c r="M78" s="2"/>
      <c r="N78" s="7">
        <f t="shared" si="25"/>
        <v>-0.44785783158623516</v>
      </c>
      <c r="O78" s="11"/>
      <c r="P78" s="6">
        <v>18551.86</v>
      </c>
      <c r="Q78" s="2"/>
      <c r="R78" s="7">
        <f t="shared" si="26"/>
        <v>6.3096115181779959E-3</v>
      </c>
      <c r="S78" s="2"/>
      <c r="T78" s="6">
        <v>38128.576668000002</v>
      </c>
      <c r="U78" s="2"/>
      <c r="V78" s="7">
        <f t="shared" si="27"/>
        <v>1.198843705191033E-2</v>
      </c>
      <c r="W78" s="2"/>
      <c r="X78" s="6">
        <f t="shared" si="28"/>
        <v>-19576.716668000001</v>
      </c>
      <c r="Y78" s="2"/>
      <c r="Z78" s="7">
        <f t="shared" si="29"/>
        <v>-0.5134394823720253</v>
      </c>
    </row>
    <row r="79" spans="1:26" s="24" customFormat="1" hidden="1" outlineLevel="2" x14ac:dyDescent="0.25">
      <c r="A79" s="26"/>
      <c r="B79" s="11" t="str">
        <f>CONCATENATE("          ", "6005", " - ", "TEMPORARY WAGES-HOURLY")</f>
        <v xml:space="preserve">          6005 - TEMPORARY WAGES-HOURLY</v>
      </c>
      <c r="C79" s="11"/>
      <c r="D79" s="6">
        <v>3282.15</v>
      </c>
      <c r="E79" s="2"/>
      <c r="F79" s="7">
        <f t="shared" si="22"/>
        <v>5.1933961122197003E-2</v>
      </c>
      <c r="G79" s="2"/>
      <c r="H79" s="6">
        <v>3517.92</v>
      </c>
      <c r="I79" s="2"/>
      <c r="J79" s="7">
        <f t="shared" si="23"/>
        <v>5.1661184210526317E-2</v>
      </c>
      <c r="K79" s="2"/>
      <c r="L79" s="6">
        <f t="shared" si="24"/>
        <v>-235.76999999999998</v>
      </c>
      <c r="M79" s="2"/>
      <c r="N79" s="7">
        <f t="shared" si="25"/>
        <v>-6.7019716195933957E-2</v>
      </c>
      <c r="O79" s="11"/>
      <c r="P79" s="6">
        <v>13553.27</v>
      </c>
      <c r="Q79" s="2"/>
      <c r="R79" s="7">
        <f t="shared" si="26"/>
        <v>4.6095576670466621E-3</v>
      </c>
      <c r="S79" s="2"/>
      <c r="T79" s="6">
        <v>19823.2</v>
      </c>
      <c r="U79" s="2"/>
      <c r="V79" s="7">
        <f t="shared" si="27"/>
        <v>6.2328365267009722E-3</v>
      </c>
      <c r="W79" s="2"/>
      <c r="X79" s="6">
        <f t="shared" si="28"/>
        <v>-6269.93</v>
      </c>
      <c r="Y79" s="2"/>
      <c r="Z79" s="7">
        <f t="shared" si="29"/>
        <v>-0.31629252592921425</v>
      </c>
    </row>
    <row r="80" spans="1:26" s="24" customFormat="1" hidden="1" outlineLevel="2" x14ac:dyDescent="0.25">
      <c r="A80" s="26"/>
      <c r="B80" s="11" t="str">
        <f>CONCATENATE("          ", "6006", " - ", "TEMPORARY PART TIME")</f>
        <v xml:space="preserve">          6006 - TEMPORARY PART TIME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4" customFormat="1" hidden="1" outlineLevel="2" x14ac:dyDescent="0.25">
      <c r="A81" s="26"/>
      <c r="B81" s="11" t="str">
        <f>CONCATENATE("          ", "6007", " - ", "STUDENT HOURLY")</f>
        <v xml:space="preserve">          6007 - STUDENT HOURLY</v>
      </c>
      <c r="C81" s="11"/>
      <c r="D81" s="6">
        <v>3158.45</v>
      </c>
      <c r="E81" s="2"/>
      <c r="F81" s="7">
        <f t="shared" si="22"/>
        <v>4.9976637114818978E-2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3158.45</v>
      </c>
      <c r="M81" s="2"/>
      <c r="N81" s="7">
        <f t="shared" si="25"/>
        <v>0</v>
      </c>
      <c r="O81" s="11"/>
      <c r="P81" s="6">
        <v>21884.43</v>
      </c>
      <c r="Q81" s="2"/>
      <c r="R81" s="7">
        <f t="shared" si="26"/>
        <v>7.4430408377790733E-3</v>
      </c>
      <c r="S81" s="2"/>
      <c r="T81" s="6">
        <v>8032.5</v>
      </c>
      <c r="U81" s="2"/>
      <c r="V81" s="7">
        <f t="shared" si="27"/>
        <v>2.5255891783730962E-3</v>
      </c>
      <c r="W81" s="2"/>
      <c r="X81" s="6">
        <f t="shared" si="28"/>
        <v>13851.93</v>
      </c>
      <c r="Y81" s="2"/>
      <c r="Z81" s="7">
        <f t="shared" si="29"/>
        <v>1.7244855275443511</v>
      </c>
    </row>
    <row r="82" spans="1:26" s="24" customFormat="1" hidden="1" outlineLevel="2" x14ac:dyDescent="0.25">
      <c r="A82" s="26"/>
      <c r="B82" s="11" t="str">
        <f>CONCATENATE("          ", "6008", " - ", "STUDENT HOURLY-FICA EXEMPT")</f>
        <v xml:space="preserve">          6008 - STUDENT HOURLY-FICA EXEMPT</v>
      </c>
      <c r="C82" s="11"/>
      <c r="D82" s="6"/>
      <c r="E82" s="2"/>
      <c r="F82" s="7">
        <f t="shared" si="22"/>
        <v>0</v>
      </c>
      <c r="G82" s="2"/>
      <c r="H82" s="6">
        <v>3378.75</v>
      </c>
      <c r="I82" s="2"/>
      <c r="J82" s="7">
        <f t="shared" si="23"/>
        <v>4.9617451832706765E-2</v>
      </c>
      <c r="K82" s="2"/>
      <c r="L82" s="6">
        <f t="shared" si="24"/>
        <v>-3378.75</v>
      </c>
      <c r="M82" s="2"/>
      <c r="N82" s="7">
        <f t="shared" si="25"/>
        <v>-1</v>
      </c>
      <c r="O82" s="11"/>
      <c r="P82" s="6"/>
      <c r="Q82" s="2"/>
      <c r="R82" s="7">
        <f t="shared" si="26"/>
        <v>0</v>
      </c>
      <c r="S82" s="2"/>
      <c r="T82" s="6">
        <v>26000.25</v>
      </c>
      <c r="U82" s="2"/>
      <c r="V82" s="7">
        <f t="shared" si="27"/>
        <v>8.1750326840952497E-3</v>
      </c>
      <c r="W82" s="2"/>
      <c r="X82" s="6">
        <f t="shared" si="28"/>
        <v>-26000.25</v>
      </c>
      <c r="Y82" s="2"/>
      <c r="Z82" s="7">
        <f t="shared" si="29"/>
        <v>-1</v>
      </c>
    </row>
    <row r="83" spans="1:26" s="24" customFormat="1" hidden="1" outlineLevel="2" x14ac:dyDescent="0.25">
      <c r="A83" s="26"/>
      <c r="B83" s="11" t="str">
        <f>CONCATENATE("          ", "6009", " - ", "TEMPORARY-SEASONAL")</f>
        <v xml:space="preserve">          6009 - TEMPORARY-SEASONAL</v>
      </c>
      <c r="C83" s="11"/>
      <c r="D83" s="6"/>
      <c r="E83" s="2"/>
      <c r="F83" s="7">
        <f t="shared" si="22"/>
        <v>0</v>
      </c>
      <c r="G83" s="2"/>
      <c r="H83" s="6">
        <v>0</v>
      </c>
      <c r="I83" s="2"/>
      <c r="J83" s="7">
        <f t="shared" si="23"/>
        <v>0</v>
      </c>
      <c r="K83" s="2"/>
      <c r="L83" s="6">
        <f t="shared" si="24"/>
        <v>0</v>
      </c>
      <c r="M83" s="2"/>
      <c r="N83" s="7">
        <f t="shared" si="25"/>
        <v>0</v>
      </c>
      <c r="O83" s="11"/>
      <c r="P83" s="6"/>
      <c r="Q83" s="2"/>
      <c r="R83" s="7">
        <f t="shared" si="26"/>
        <v>0</v>
      </c>
      <c r="S83" s="2"/>
      <c r="T83" s="6">
        <v>0</v>
      </c>
      <c r="U83" s="2"/>
      <c r="V83" s="7">
        <f t="shared" si="27"/>
        <v>0</v>
      </c>
      <c r="W83" s="2"/>
      <c r="X83" s="6">
        <f t="shared" si="28"/>
        <v>0</v>
      </c>
      <c r="Y83" s="2"/>
      <c r="Z83" s="7">
        <f t="shared" si="29"/>
        <v>0</v>
      </c>
    </row>
    <row r="84" spans="1:26" s="24" customFormat="1" hidden="1" outlineLevel="2" x14ac:dyDescent="0.25">
      <c r="A84" s="26"/>
      <c r="B84" s="11" t="str">
        <f>CONCATENATE("          ", "6010", " - ", "GRATUITY")</f>
        <v xml:space="preserve">          6010 - GRATUITY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5" customFormat="1" outlineLevel="1" collapsed="1" x14ac:dyDescent="0.25">
      <c r="A85" s="27"/>
      <c r="B85" s="13" t="str">
        <f>CONCATENATE("     ","Advertising/Promo                                 ")</f>
        <v xml:space="preserve">     Advertising/Promo                                 </v>
      </c>
      <c r="C85" s="13"/>
      <c r="D85" s="1">
        <f>SUM(OSRRefD22_2x_0)</f>
        <v>1138.8499999999999</v>
      </c>
      <c r="E85" s="1"/>
      <c r="F85" s="5">
        <f t="shared" ref="F85:F89" si="30">IF(D$12=0,0,D85/D$12)</f>
        <v>1.8020197621685191E-2</v>
      </c>
      <c r="G85" s="1"/>
      <c r="H85" s="1">
        <f>SUM(OSRRefH22_2x_0)</f>
        <v>1000</v>
      </c>
      <c r="I85" s="1"/>
      <c r="J85" s="5">
        <f t="shared" ref="J85:J89" si="31">IF(H$12=0,0,H85/H$12)</f>
        <v>1.468515037593985E-2</v>
      </c>
      <c r="K85" s="1"/>
      <c r="L85" s="1">
        <f t="shared" ref="L85:L89" si="32">+D85-H85</f>
        <v>138.84999999999991</v>
      </c>
      <c r="M85" s="1"/>
      <c r="N85" s="5">
        <f t="shared" ref="N85:N89" si="33">IF(H85=0,0,L85/H85)</f>
        <v>0.13884999999999992</v>
      </c>
      <c r="O85" s="13"/>
      <c r="P85" s="1">
        <f>SUM(OSRRefP22_2x_0)</f>
        <v>4346.9399999999996</v>
      </c>
      <c r="Q85" s="1"/>
      <c r="R85" s="5">
        <f t="shared" ref="R85:R89" si="34">IF(P$12=0,0,P85/P$12)</f>
        <v>1.4784233329072478E-3</v>
      </c>
      <c r="S85" s="1"/>
      <c r="T85" s="1">
        <f>SUM(OSRRefT22_2x_0)</f>
        <v>3400</v>
      </c>
      <c r="U85" s="1"/>
      <c r="V85" s="5">
        <f t="shared" ref="V85:V89" si="35">IF(T$12=0,0,T85/T$12)</f>
        <v>1.0690324564542205E-3</v>
      </c>
      <c r="W85" s="1"/>
      <c r="X85" s="1">
        <f t="shared" ref="X85:X89" si="36">+P85-T85</f>
        <v>946.9399999999996</v>
      </c>
      <c r="Y85" s="1"/>
      <c r="Z85" s="5">
        <f t="shared" ref="Z85:Z89" si="37">IF(T85=0,0,X85/T85)</f>
        <v>0.27851176470588224</v>
      </c>
    </row>
    <row r="86" spans="1:26" s="24" customFormat="1" hidden="1" outlineLevel="2" x14ac:dyDescent="0.25">
      <c r="A86" s="26"/>
      <c r="B86" s="11" t="str">
        <f>CONCATENATE("          ", "6362", " - ", "ADVERTISING EXPENSE")</f>
        <v xml:space="preserve">          6362 - ADVERTISING EXPENSE</v>
      </c>
      <c r="C86" s="11"/>
      <c r="D86" s="6">
        <v>1138.8499999999999</v>
      </c>
      <c r="E86" s="2"/>
      <c r="F86" s="7">
        <f t="shared" si="30"/>
        <v>1.8020197621685191E-2</v>
      </c>
      <c r="G86" s="2"/>
      <c r="H86" s="6">
        <v>1000</v>
      </c>
      <c r="I86" s="2"/>
      <c r="J86" s="7">
        <f t="shared" si="31"/>
        <v>1.468515037593985E-2</v>
      </c>
      <c r="K86" s="2"/>
      <c r="L86" s="6">
        <f t="shared" si="32"/>
        <v>138.84999999999991</v>
      </c>
      <c r="M86" s="2"/>
      <c r="N86" s="7">
        <f t="shared" si="33"/>
        <v>0.13884999999999992</v>
      </c>
      <c r="O86" s="11"/>
      <c r="P86" s="6">
        <v>4346.9399999999996</v>
      </c>
      <c r="Q86" s="2"/>
      <c r="R86" s="7">
        <f t="shared" si="34"/>
        <v>1.4784233329072478E-3</v>
      </c>
      <c r="S86" s="2"/>
      <c r="T86" s="6">
        <v>3400</v>
      </c>
      <c r="U86" s="2"/>
      <c r="V86" s="7">
        <f t="shared" si="35"/>
        <v>1.0690324564542205E-3</v>
      </c>
      <c r="W86" s="2"/>
      <c r="X86" s="6">
        <f t="shared" si="36"/>
        <v>946.9399999999996</v>
      </c>
      <c r="Y86" s="2"/>
      <c r="Z86" s="7">
        <f t="shared" si="37"/>
        <v>0.27851176470588224</v>
      </c>
    </row>
    <row r="87" spans="1:26" s="25" customFormat="1" outlineLevel="1" collapsed="1" x14ac:dyDescent="0.25">
      <c r="A87" s="27"/>
      <c r="B87" s="13" t="str">
        <f>CONCATENATE("     ","Discounts and Markdowns                           ")</f>
        <v xml:space="preserve">     Discounts and Markdowns                           </v>
      </c>
      <c r="C87" s="13"/>
      <c r="D87" s="1">
        <f>SUM(OSRRefD22_3x_0)</f>
        <v>675.06</v>
      </c>
      <c r="E87" s="1"/>
      <c r="F87" s="5">
        <f t="shared" si="30"/>
        <v>1.0681577562009751E-2</v>
      </c>
      <c r="G87" s="1"/>
      <c r="H87" s="1">
        <f>SUM(OSRRefH22_3x_0)</f>
        <v>1625</v>
      </c>
      <c r="I87" s="1"/>
      <c r="J87" s="5">
        <f t="shared" si="31"/>
        <v>2.3863369360902255E-2</v>
      </c>
      <c r="K87" s="1"/>
      <c r="L87" s="1">
        <f t="shared" si="32"/>
        <v>-949.94</v>
      </c>
      <c r="M87" s="1"/>
      <c r="N87" s="5">
        <f t="shared" si="33"/>
        <v>-0.5845784615384616</v>
      </c>
      <c r="O87" s="13"/>
      <c r="P87" s="1">
        <f>SUM(OSRRefP22_3x_0)</f>
        <v>-1838.17</v>
      </c>
      <c r="Q87" s="1"/>
      <c r="R87" s="5">
        <f t="shared" si="34"/>
        <v>-6.2517389654564266E-4</v>
      </c>
      <c r="S87" s="1"/>
      <c r="T87" s="1">
        <f>SUM(OSRRefT22_3x_0)</f>
        <v>14850</v>
      </c>
      <c r="U87" s="1"/>
      <c r="V87" s="5">
        <f t="shared" si="35"/>
        <v>4.669156464219169E-3</v>
      </c>
      <c r="W87" s="1"/>
      <c r="X87" s="1">
        <f t="shared" si="36"/>
        <v>-16688.169999999998</v>
      </c>
      <c r="Y87" s="1"/>
      <c r="Z87" s="5">
        <f t="shared" si="37"/>
        <v>-1.1237824915824914</v>
      </c>
    </row>
    <row r="88" spans="1:26" s="24" customFormat="1" hidden="1" outlineLevel="2" x14ac:dyDescent="0.25">
      <c r="A88" s="26"/>
      <c r="B88" s="11" t="str">
        <f>CONCATENATE("          ", "6382", " - ", "DISCOUNTS/MARK DOWNS")</f>
        <v xml:space="preserve">          6382 - DISCOUNTS/MARK DOWNS</v>
      </c>
      <c r="C88" s="11"/>
      <c r="D88" s="6">
        <v>675.06</v>
      </c>
      <c r="E88" s="2"/>
      <c r="F88" s="7">
        <f t="shared" si="30"/>
        <v>1.0681577562009751E-2</v>
      </c>
      <c r="G88" s="2"/>
      <c r="H88" s="6">
        <v>1625</v>
      </c>
      <c r="I88" s="2"/>
      <c r="J88" s="7">
        <f t="shared" si="31"/>
        <v>2.3863369360902255E-2</v>
      </c>
      <c r="K88" s="2"/>
      <c r="L88" s="6">
        <f t="shared" si="32"/>
        <v>-949.94</v>
      </c>
      <c r="M88" s="2"/>
      <c r="N88" s="7">
        <f t="shared" si="33"/>
        <v>-0.5845784615384616</v>
      </c>
      <c r="O88" s="11"/>
      <c r="P88" s="6">
        <v>-1404.54</v>
      </c>
      <c r="Q88" s="2"/>
      <c r="R88" s="7">
        <f t="shared" si="34"/>
        <v>-4.7769343676276783E-4</v>
      </c>
      <c r="S88" s="2"/>
      <c r="T88" s="6">
        <v>14850</v>
      </c>
      <c r="U88" s="2"/>
      <c r="V88" s="7">
        <f t="shared" si="35"/>
        <v>4.669156464219169E-3</v>
      </c>
      <c r="W88" s="2"/>
      <c r="X88" s="6">
        <f t="shared" si="36"/>
        <v>-16254.54</v>
      </c>
      <c r="Y88" s="2"/>
      <c r="Z88" s="7">
        <f t="shared" si="37"/>
        <v>-1.0945818181818183</v>
      </c>
    </row>
    <row r="89" spans="1:26" s="24" customFormat="1" hidden="1" outlineLevel="2" x14ac:dyDescent="0.25">
      <c r="A89" s="26"/>
      <c r="B89" s="11" t="str">
        <f>CONCATENATE("          ", "9175", " - ", "EARNED DISCOUNTS")</f>
        <v xml:space="preserve">          9175 - EARNED DISCOUNTS</v>
      </c>
      <c r="C89" s="11"/>
      <c r="D89" s="6"/>
      <c r="E89" s="2"/>
      <c r="F89" s="7">
        <f t="shared" si="30"/>
        <v>0</v>
      </c>
      <c r="G89" s="2"/>
      <c r="H89" s="6"/>
      <c r="I89" s="2"/>
      <c r="J89" s="7">
        <f t="shared" si="31"/>
        <v>0</v>
      </c>
      <c r="K89" s="2"/>
      <c r="L89" s="6">
        <f t="shared" si="32"/>
        <v>0</v>
      </c>
      <c r="M89" s="2"/>
      <c r="N89" s="7">
        <f t="shared" si="33"/>
        <v>0</v>
      </c>
      <c r="O89" s="11"/>
      <c r="P89" s="6">
        <v>-433.63</v>
      </c>
      <c r="Q89" s="2"/>
      <c r="R89" s="7">
        <f t="shared" si="34"/>
        <v>-1.4748045978287482E-4</v>
      </c>
      <c r="S89" s="2"/>
      <c r="T89" s="6"/>
      <c r="U89" s="2"/>
      <c r="V89" s="7">
        <f t="shared" si="35"/>
        <v>0</v>
      </c>
      <c r="W89" s="2"/>
      <c r="X89" s="6">
        <f t="shared" si="36"/>
        <v>-433.63</v>
      </c>
      <c r="Y89" s="2"/>
      <c r="Z89" s="7">
        <f t="shared" si="37"/>
        <v>0</v>
      </c>
    </row>
    <row r="90" spans="1:26" s="25" customFormat="1" outlineLevel="1" collapsed="1" x14ac:dyDescent="0.25">
      <c r="A90" s="27"/>
      <c r="B90" s="13" t="str">
        <f>CONCATENATE("     ","Employees' Appreciation                           ")</f>
        <v xml:space="preserve">     Employees' Appreciation                           </v>
      </c>
      <c r="C90" s="13"/>
      <c r="D90" s="1">
        <f>SUM(OSRRefD22_4x_0)</f>
        <v>0</v>
      </c>
      <c r="E90" s="1"/>
      <c r="F90" s="5">
        <f t="shared" ref="F90:F96" si="38">IF(D$12=0,0,D90/D$12)</f>
        <v>0</v>
      </c>
      <c r="G90" s="1"/>
      <c r="H90" s="1">
        <f>SUM(OSRRefH22_4x_0)</f>
        <v>100</v>
      </c>
      <c r="I90" s="1"/>
      <c r="J90" s="5">
        <f t="shared" ref="J90:J96" si="39">IF(H$12=0,0,H90/H$12)</f>
        <v>1.4685150375939849E-3</v>
      </c>
      <c r="K90" s="1"/>
      <c r="L90" s="1">
        <f t="shared" ref="L90:L96" si="40">+D90-H90</f>
        <v>-100</v>
      </c>
      <c r="M90" s="1"/>
      <c r="N90" s="5">
        <f t="shared" ref="N90:N96" si="41">IF(H90=0,0,L90/H90)</f>
        <v>-1</v>
      </c>
      <c r="O90" s="13"/>
      <c r="P90" s="1">
        <f>SUM(OSRRefP22_4x_0)</f>
        <v>37.880000000000003</v>
      </c>
      <c r="Q90" s="1"/>
      <c r="R90" s="5">
        <f t="shared" ref="R90:R96" si="42">IF(P$12=0,0,P90/P$12)</f>
        <v>1.2883241050147128E-5</v>
      </c>
      <c r="S90" s="1"/>
      <c r="T90" s="1">
        <f>SUM(OSRRefT22_4x_0)</f>
        <v>600</v>
      </c>
      <c r="U90" s="1"/>
      <c r="V90" s="5">
        <f t="shared" ref="V90:V96" si="43">IF(T$12=0,0,T90/T$12)</f>
        <v>1.8865278643309774E-4</v>
      </c>
      <c r="W90" s="1"/>
      <c r="X90" s="1">
        <f t="shared" ref="X90:X96" si="44">+P90-T90</f>
        <v>-562.12</v>
      </c>
      <c r="Y90" s="1"/>
      <c r="Z90" s="5">
        <f t="shared" ref="Z90:Z96" si="45">IF(T90=0,0,X90/T90)</f>
        <v>-0.93686666666666663</v>
      </c>
    </row>
    <row r="91" spans="1:26" s="24" customFormat="1" hidden="1" outlineLevel="2" x14ac:dyDescent="0.25">
      <c r="A91" s="26"/>
      <c r="B91" s="11" t="str">
        <f>CONCATENATE("          ", "6277", " - ", "EMPLOYEE APPRECIATION")</f>
        <v xml:space="preserve">          6277 - EMPLOYEE APPRECIATION</v>
      </c>
      <c r="C91" s="11"/>
      <c r="D91" s="6"/>
      <c r="E91" s="2"/>
      <c r="F91" s="7">
        <f t="shared" si="38"/>
        <v>0</v>
      </c>
      <c r="G91" s="2"/>
      <c r="H91" s="6">
        <v>100</v>
      </c>
      <c r="I91" s="2"/>
      <c r="J91" s="7">
        <f t="shared" si="39"/>
        <v>1.4685150375939849E-3</v>
      </c>
      <c r="K91" s="2"/>
      <c r="L91" s="6">
        <f t="shared" si="40"/>
        <v>-100</v>
      </c>
      <c r="M91" s="2"/>
      <c r="N91" s="7">
        <f t="shared" si="41"/>
        <v>-1</v>
      </c>
      <c r="O91" s="11"/>
      <c r="P91" s="6">
        <v>37.880000000000003</v>
      </c>
      <c r="Q91" s="2"/>
      <c r="R91" s="7">
        <f t="shared" si="42"/>
        <v>1.2883241050147128E-5</v>
      </c>
      <c r="S91" s="2"/>
      <c r="T91" s="6">
        <v>600</v>
      </c>
      <c r="U91" s="2"/>
      <c r="V91" s="7">
        <f t="shared" si="43"/>
        <v>1.8865278643309774E-4</v>
      </c>
      <c r="W91" s="2"/>
      <c r="X91" s="6">
        <f t="shared" si="44"/>
        <v>-562.12</v>
      </c>
      <c r="Y91" s="2"/>
      <c r="Z91" s="7">
        <f t="shared" si="45"/>
        <v>-0.93686666666666663</v>
      </c>
    </row>
    <row r="92" spans="1:26" s="25" customFormat="1" outlineLevel="1" collapsed="1" x14ac:dyDescent="0.25">
      <c r="A92" s="27"/>
      <c r="B92" s="13" t="str">
        <f>CONCATENATE("     ","Equipment Rental                                  ")</f>
        <v xml:space="preserve">     Equipment Rental                                  </v>
      </c>
      <c r="C92" s="13"/>
      <c r="D92" s="1">
        <f>SUM(OSRRefD22_5x_0)</f>
        <v>0</v>
      </c>
      <c r="E92" s="1"/>
      <c r="F92" s="5">
        <f t="shared" si="38"/>
        <v>0</v>
      </c>
      <c r="G92" s="1"/>
      <c r="H92" s="1">
        <f>SUM(OSRRefH22_5x_0)</f>
        <v>100</v>
      </c>
      <c r="I92" s="1"/>
      <c r="J92" s="5">
        <f t="shared" si="39"/>
        <v>1.4685150375939849E-3</v>
      </c>
      <c r="K92" s="1"/>
      <c r="L92" s="1">
        <f t="shared" si="40"/>
        <v>-100</v>
      </c>
      <c r="M92" s="1"/>
      <c r="N92" s="5">
        <f t="shared" si="41"/>
        <v>-1</v>
      </c>
      <c r="O92" s="13"/>
      <c r="P92" s="1">
        <f>SUM(OSRRefP22_5x_0)</f>
        <v>547.55999999999995</v>
      </c>
      <c r="Q92" s="1"/>
      <c r="R92" s="5">
        <f t="shared" si="42"/>
        <v>1.8622881387060614E-4</v>
      </c>
      <c r="S92" s="1"/>
      <c r="T92" s="1">
        <f>SUM(OSRRefT22_5x_0)</f>
        <v>600</v>
      </c>
      <c r="U92" s="1"/>
      <c r="V92" s="5">
        <f t="shared" si="43"/>
        <v>1.8865278643309774E-4</v>
      </c>
      <c r="W92" s="1"/>
      <c r="X92" s="1">
        <f t="shared" si="44"/>
        <v>-52.440000000000055</v>
      </c>
      <c r="Y92" s="1"/>
      <c r="Z92" s="5">
        <f t="shared" si="45"/>
        <v>-8.7400000000000089E-2</v>
      </c>
    </row>
    <row r="93" spans="1:26" s="24" customFormat="1" hidden="1" outlineLevel="2" x14ac:dyDescent="0.25">
      <c r="A93" s="26"/>
      <c r="B93" s="11" t="str">
        <f>CONCATENATE("          ", "6351", " - ", "EQUIPMENT RENTAL")</f>
        <v xml:space="preserve">          6351 - EQUIPMENT RENTAL</v>
      </c>
      <c r="C93" s="11"/>
      <c r="D93" s="6"/>
      <c r="E93" s="2"/>
      <c r="F93" s="7">
        <f t="shared" si="38"/>
        <v>0</v>
      </c>
      <c r="G93" s="2"/>
      <c r="H93" s="6">
        <v>100</v>
      </c>
      <c r="I93" s="2"/>
      <c r="J93" s="7">
        <f t="shared" si="39"/>
        <v>1.4685150375939849E-3</v>
      </c>
      <c r="K93" s="2"/>
      <c r="L93" s="6">
        <f t="shared" si="40"/>
        <v>-100</v>
      </c>
      <c r="M93" s="2"/>
      <c r="N93" s="7">
        <f t="shared" si="41"/>
        <v>-1</v>
      </c>
      <c r="O93" s="11"/>
      <c r="P93" s="6">
        <v>547.55999999999995</v>
      </c>
      <c r="Q93" s="2"/>
      <c r="R93" s="7">
        <f t="shared" si="42"/>
        <v>1.8622881387060614E-4</v>
      </c>
      <c r="S93" s="2"/>
      <c r="T93" s="6">
        <v>600</v>
      </c>
      <c r="U93" s="2"/>
      <c r="V93" s="7">
        <f t="shared" si="43"/>
        <v>1.8865278643309774E-4</v>
      </c>
      <c r="W93" s="2"/>
      <c r="X93" s="6">
        <f t="shared" si="44"/>
        <v>-52.440000000000055</v>
      </c>
      <c r="Y93" s="2"/>
      <c r="Z93" s="7">
        <f t="shared" si="45"/>
        <v>-8.7400000000000089E-2</v>
      </c>
    </row>
    <row r="94" spans="1:26" s="25" customFormat="1" outlineLevel="1" collapsed="1" x14ac:dyDescent="0.25">
      <c r="A94" s="27"/>
      <c r="B94" s="13" t="str">
        <f>CONCATENATE("     ","Freight out/Postage                               ")</f>
        <v xml:space="preserve">     Freight out/Postage                               </v>
      </c>
      <c r="C94" s="13"/>
      <c r="D94" s="1">
        <f>SUM(OSRRefD22_6x_0)</f>
        <v>2571.11</v>
      </c>
      <c r="E94" s="1"/>
      <c r="F94" s="5">
        <f t="shared" si="38"/>
        <v>4.0683066520692819E-2</v>
      </c>
      <c r="G94" s="1"/>
      <c r="H94" s="1">
        <f>SUM(OSRRefH22_6x_0)</f>
        <v>1500</v>
      </c>
      <c r="I94" s="1"/>
      <c r="J94" s="5">
        <f t="shared" si="39"/>
        <v>2.2027725563909775E-2</v>
      </c>
      <c r="K94" s="1"/>
      <c r="L94" s="1">
        <f t="shared" si="40"/>
        <v>1071.1100000000001</v>
      </c>
      <c r="M94" s="1"/>
      <c r="N94" s="5">
        <f t="shared" si="41"/>
        <v>0.71407333333333345</v>
      </c>
      <c r="O94" s="13"/>
      <c r="P94" s="1">
        <f>SUM(OSRRefP22_6x_0)</f>
        <v>11941.9</v>
      </c>
      <c r="Q94" s="1"/>
      <c r="R94" s="5">
        <f t="shared" si="42"/>
        <v>4.0615199655953532E-3</v>
      </c>
      <c r="S94" s="1"/>
      <c r="T94" s="1">
        <f>SUM(OSRRefT22_6x_0)</f>
        <v>13800</v>
      </c>
      <c r="U94" s="1"/>
      <c r="V94" s="5">
        <f t="shared" si="43"/>
        <v>4.3390140879612481E-3</v>
      </c>
      <c r="W94" s="1"/>
      <c r="X94" s="1">
        <f t="shared" si="44"/>
        <v>-1858.1000000000004</v>
      </c>
      <c r="Y94" s="1"/>
      <c r="Z94" s="5">
        <f t="shared" si="45"/>
        <v>-0.13464492753623192</v>
      </c>
    </row>
    <row r="95" spans="1:26" s="24" customFormat="1" hidden="1" outlineLevel="2" x14ac:dyDescent="0.25">
      <c r="A95" s="26"/>
      <c r="B95" s="11" t="str">
        <f>CONCATENATE("          ", "6305", " - ", "FREIGHT OUT")</f>
        <v xml:space="preserve">          6305 - FREIGHT OUT</v>
      </c>
      <c r="C95" s="11"/>
      <c r="D95" s="6">
        <v>2571.11</v>
      </c>
      <c r="E95" s="2"/>
      <c r="F95" s="7">
        <f t="shared" si="38"/>
        <v>4.0683066520692819E-2</v>
      </c>
      <c r="G95" s="2"/>
      <c r="H95" s="6">
        <v>1500</v>
      </c>
      <c r="I95" s="2"/>
      <c r="J95" s="7">
        <f t="shared" si="39"/>
        <v>2.2027725563909775E-2</v>
      </c>
      <c r="K95" s="2"/>
      <c r="L95" s="6">
        <f t="shared" si="40"/>
        <v>1071.1100000000001</v>
      </c>
      <c r="M95" s="2"/>
      <c r="N95" s="7">
        <f t="shared" si="41"/>
        <v>0.71407333333333345</v>
      </c>
      <c r="O95" s="11"/>
      <c r="P95" s="6">
        <v>11941.4</v>
      </c>
      <c r="Q95" s="2"/>
      <c r="R95" s="7">
        <f t="shared" si="42"/>
        <v>4.0613499122551982E-3</v>
      </c>
      <c r="S95" s="2"/>
      <c r="T95" s="6">
        <v>13800</v>
      </c>
      <c r="U95" s="2"/>
      <c r="V95" s="7">
        <f t="shared" si="43"/>
        <v>4.3390140879612481E-3</v>
      </c>
      <c r="W95" s="2"/>
      <c r="X95" s="6">
        <f t="shared" si="44"/>
        <v>-1858.6000000000004</v>
      </c>
      <c r="Y95" s="2"/>
      <c r="Z95" s="7">
        <f t="shared" si="45"/>
        <v>-0.13468115942028988</v>
      </c>
    </row>
    <row r="96" spans="1:26" s="24" customFormat="1" hidden="1" outlineLevel="2" x14ac:dyDescent="0.25">
      <c r="A96" s="26"/>
      <c r="B96" s="11" t="str">
        <f>CONCATENATE("          ", "6307", " - ", "POSTAGE")</f>
        <v xml:space="preserve">          6307 - POSTAGE</v>
      </c>
      <c r="C96" s="11"/>
      <c r="D96" s="6"/>
      <c r="E96" s="2"/>
      <c r="F96" s="7">
        <f t="shared" si="38"/>
        <v>0</v>
      </c>
      <c r="G96" s="2"/>
      <c r="H96" s="6"/>
      <c r="I96" s="2"/>
      <c r="J96" s="7">
        <f t="shared" si="39"/>
        <v>0</v>
      </c>
      <c r="K96" s="2"/>
      <c r="L96" s="6">
        <f t="shared" si="40"/>
        <v>0</v>
      </c>
      <c r="M96" s="2"/>
      <c r="N96" s="7">
        <f t="shared" si="41"/>
        <v>0</v>
      </c>
      <c r="O96" s="11"/>
      <c r="P96" s="6">
        <v>0.5</v>
      </c>
      <c r="Q96" s="2"/>
      <c r="R96" s="7">
        <f t="shared" si="42"/>
        <v>1.7005334015505712E-7</v>
      </c>
      <c r="S96" s="2"/>
      <c r="T96" s="6"/>
      <c r="U96" s="2"/>
      <c r="V96" s="7">
        <f t="shared" si="43"/>
        <v>0</v>
      </c>
      <c r="W96" s="2"/>
      <c r="X96" s="6">
        <f t="shared" si="44"/>
        <v>0.5</v>
      </c>
      <c r="Y96" s="2"/>
      <c r="Z96" s="7">
        <f t="shared" si="45"/>
        <v>0</v>
      </c>
    </row>
    <row r="97" spans="1:26" s="25" customFormat="1" outlineLevel="1" collapsed="1" x14ac:dyDescent="0.25">
      <c r="A97" s="27"/>
      <c r="B97" s="13" t="str">
        <f>CONCATENATE("     ","General                                           ")</f>
        <v xml:space="preserve">     General                                           </v>
      </c>
      <c r="C97" s="13"/>
      <c r="D97" s="1">
        <f>SUM(OSRRefD22_7x_0)</f>
        <v>0</v>
      </c>
      <c r="E97" s="1"/>
      <c r="F97" s="5">
        <f t="shared" ref="F97:F104" si="46">IF(D$12=0,0,D97/D$12)</f>
        <v>0</v>
      </c>
      <c r="G97" s="1"/>
      <c r="H97" s="1">
        <f>SUM(OSRRefH22_7x_0)</f>
        <v>0</v>
      </c>
      <c r="I97" s="1"/>
      <c r="J97" s="5">
        <f t="shared" ref="J97:J104" si="47">IF(H$12=0,0,H97/H$12)</f>
        <v>0</v>
      </c>
      <c r="K97" s="1"/>
      <c r="L97" s="1">
        <f t="shared" ref="L97:L104" si="48">+D97-H97</f>
        <v>0</v>
      </c>
      <c r="M97" s="1"/>
      <c r="N97" s="5">
        <f t="shared" ref="N97:N104" si="49">IF(H97=0,0,L97/H97)</f>
        <v>0</v>
      </c>
      <c r="O97" s="13"/>
      <c r="P97" s="1">
        <f>SUM(OSRRefP22_7x_0)</f>
        <v>8152.9</v>
      </c>
      <c r="Q97" s="1"/>
      <c r="R97" s="5">
        <f t="shared" ref="R97:R104" si="50">IF(P$12=0,0,P97/P$12)</f>
        <v>2.77285575390033E-3</v>
      </c>
      <c r="S97" s="1"/>
      <c r="T97" s="1">
        <f>SUM(OSRRefT22_7x_0)</f>
        <v>13000</v>
      </c>
      <c r="U97" s="1"/>
      <c r="V97" s="5">
        <f t="shared" ref="V97:V104" si="51">IF(T$12=0,0,T97/T$12)</f>
        <v>4.0874770393837844E-3</v>
      </c>
      <c r="W97" s="1"/>
      <c r="X97" s="1">
        <f t="shared" ref="X97:X104" si="52">+P97-T97</f>
        <v>-4847.1000000000004</v>
      </c>
      <c r="Y97" s="1"/>
      <c r="Z97" s="5">
        <f t="shared" ref="Z97:Z104" si="53">IF(T97=0,0,X97/T97)</f>
        <v>-0.3728538461538462</v>
      </c>
    </row>
    <row r="98" spans="1:26" s="24" customFormat="1" hidden="1" outlineLevel="2" x14ac:dyDescent="0.25">
      <c r="A98" s="26"/>
      <c r="B98" s="11" t="str">
        <f>CONCATENATE("          ", "6279", " - ", "GENERAL EXPENSE")</f>
        <v xml:space="preserve">          6279 - GENERAL EXPENSE</v>
      </c>
      <c r="C98" s="11"/>
      <c r="D98" s="6"/>
      <c r="E98" s="2"/>
      <c r="F98" s="7">
        <f t="shared" si="46"/>
        <v>0</v>
      </c>
      <c r="G98" s="2"/>
      <c r="H98" s="6"/>
      <c r="I98" s="2"/>
      <c r="J98" s="7">
        <f t="shared" si="47"/>
        <v>0</v>
      </c>
      <c r="K98" s="2"/>
      <c r="L98" s="6">
        <f t="shared" si="48"/>
        <v>0</v>
      </c>
      <c r="M98" s="2"/>
      <c r="N98" s="7">
        <f t="shared" si="49"/>
        <v>0</v>
      </c>
      <c r="O98" s="11"/>
      <c r="P98" s="6">
        <v>8152.9</v>
      </c>
      <c r="Q98" s="2"/>
      <c r="R98" s="7">
        <f t="shared" si="50"/>
        <v>2.77285575390033E-3</v>
      </c>
      <c r="S98" s="2"/>
      <c r="T98" s="6">
        <v>13000</v>
      </c>
      <c r="U98" s="2"/>
      <c r="V98" s="7">
        <f t="shared" si="51"/>
        <v>4.0874770393837844E-3</v>
      </c>
      <c r="W98" s="2"/>
      <c r="X98" s="6">
        <f t="shared" si="52"/>
        <v>-4847.1000000000004</v>
      </c>
      <c r="Y98" s="2"/>
      <c r="Z98" s="7">
        <f t="shared" si="53"/>
        <v>-0.3728538461538462</v>
      </c>
    </row>
    <row r="99" spans="1:26" s="25" customFormat="1" outlineLevel="1" collapsed="1" x14ac:dyDescent="0.25">
      <c r="A99" s="27"/>
      <c r="B99" s="13" t="str">
        <f>CONCATENATE("     ","Inventory Adjustment                              ")</f>
        <v xml:space="preserve">     Inventory Adjustment                              </v>
      </c>
      <c r="C99" s="13"/>
      <c r="D99" s="1">
        <f>SUM(OSRRefD22_8x_0)</f>
        <v>6800</v>
      </c>
      <c r="E99" s="1"/>
      <c r="F99" s="5">
        <f t="shared" si="46"/>
        <v>0.10759743937082084</v>
      </c>
      <c r="G99" s="1"/>
      <c r="H99" s="1">
        <f>SUM(OSRRefH22_8x_0)</f>
        <v>6800</v>
      </c>
      <c r="I99" s="1"/>
      <c r="J99" s="5">
        <f t="shared" si="47"/>
        <v>9.9859022556390981E-2</v>
      </c>
      <c r="K99" s="1"/>
      <c r="L99" s="1">
        <f t="shared" si="48"/>
        <v>0</v>
      </c>
      <c r="M99" s="1"/>
      <c r="N99" s="5">
        <f t="shared" si="49"/>
        <v>0</v>
      </c>
      <c r="O99" s="13"/>
      <c r="P99" s="1">
        <f>SUM(OSRRefP22_8x_0)</f>
        <v>11800</v>
      </c>
      <c r="Q99" s="1"/>
      <c r="R99" s="5">
        <f t="shared" si="50"/>
        <v>4.0132588276593478E-3</v>
      </c>
      <c r="S99" s="1"/>
      <c r="T99" s="1">
        <f>SUM(OSRRefT22_8x_0)</f>
        <v>11800</v>
      </c>
      <c r="U99" s="1"/>
      <c r="V99" s="5">
        <f t="shared" si="51"/>
        <v>3.7101714665175888E-3</v>
      </c>
      <c r="W99" s="1"/>
      <c r="X99" s="1">
        <f t="shared" si="52"/>
        <v>0</v>
      </c>
      <c r="Y99" s="1"/>
      <c r="Z99" s="5">
        <f t="shared" si="53"/>
        <v>0</v>
      </c>
    </row>
    <row r="100" spans="1:26" s="24" customFormat="1" hidden="1" outlineLevel="2" x14ac:dyDescent="0.25">
      <c r="A100" s="26"/>
      <c r="B100" s="11" t="str">
        <f>CONCATENATE("          ", "6408", " - ", "INVENTORY ADJUSTMENT")</f>
        <v xml:space="preserve">          6408 - INVENTORY ADJUSTMENT</v>
      </c>
      <c r="C100" s="11"/>
      <c r="D100" s="6">
        <v>6800</v>
      </c>
      <c r="E100" s="2"/>
      <c r="F100" s="7">
        <f t="shared" si="46"/>
        <v>0.10759743937082084</v>
      </c>
      <c r="G100" s="2"/>
      <c r="H100" s="6">
        <v>6800</v>
      </c>
      <c r="I100" s="2"/>
      <c r="J100" s="7">
        <f t="shared" si="47"/>
        <v>9.9859022556390981E-2</v>
      </c>
      <c r="K100" s="2"/>
      <c r="L100" s="6">
        <f t="shared" si="48"/>
        <v>0</v>
      </c>
      <c r="M100" s="2"/>
      <c r="N100" s="7">
        <f t="shared" si="49"/>
        <v>0</v>
      </c>
      <c r="O100" s="11"/>
      <c r="P100" s="6">
        <v>11800</v>
      </c>
      <c r="Q100" s="2"/>
      <c r="R100" s="7">
        <f t="shared" si="50"/>
        <v>4.0132588276593478E-3</v>
      </c>
      <c r="S100" s="2"/>
      <c r="T100" s="6">
        <v>11800</v>
      </c>
      <c r="U100" s="2"/>
      <c r="V100" s="7">
        <f t="shared" si="51"/>
        <v>3.7101714665175888E-3</v>
      </c>
      <c r="W100" s="2"/>
      <c r="X100" s="6">
        <f t="shared" si="52"/>
        <v>0</v>
      </c>
      <c r="Y100" s="2"/>
      <c r="Z100" s="7">
        <f t="shared" si="53"/>
        <v>0</v>
      </c>
    </row>
    <row r="101" spans="1:26" s="25" customFormat="1" outlineLevel="1" collapsed="1" x14ac:dyDescent="0.25">
      <c r="A101" s="27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SUM(OSRRefD22_9x_0)</f>
        <v>23.6</v>
      </c>
      <c r="E101" s="1"/>
      <c r="F101" s="5">
        <f t="shared" si="46"/>
        <v>3.7342640722814292E-4</v>
      </c>
      <c r="G101" s="1"/>
      <c r="H101" s="1">
        <f>SUM(OSRRefH22_9x_0)</f>
        <v>2140</v>
      </c>
      <c r="I101" s="1"/>
      <c r="J101" s="5">
        <f t="shared" si="47"/>
        <v>3.1426221804511281E-2</v>
      </c>
      <c r="K101" s="1"/>
      <c r="L101" s="1">
        <f t="shared" si="48"/>
        <v>-2116.4</v>
      </c>
      <c r="M101" s="1"/>
      <c r="N101" s="5">
        <f t="shared" si="49"/>
        <v>-0.98897196261682252</v>
      </c>
      <c r="O101" s="13"/>
      <c r="P101" s="1">
        <f>SUM(OSRRefP22_9x_0)</f>
        <v>143.16</v>
      </c>
      <c r="Q101" s="1"/>
      <c r="R101" s="5">
        <f t="shared" si="50"/>
        <v>4.8689672353195953E-5</v>
      </c>
      <c r="S101" s="1"/>
      <c r="T101" s="1">
        <f>SUM(OSRRefT22_9x_0)</f>
        <v>2840</v>
      </c>
      <c r="U101" s="1"/>
      <c r="V101" s="5">
        <f t="shared" si="51"/>
        <v>8.9295652244999601E-4</v>
      </c>
      <c r="W101" s="1"/>
      <c r="X101" s="1">
        <f t="shared" si="52"/>
        <v>-2696.84</v>
      </c>
      <c r="Y101" s="1"/>
      <c r="Z101" s="5">
        <f t="shared" si="53"/>
        <v>-0.94959154929577472</v>
      </c>
    </row>
    <row r="102" spans="1:26" s="24" customFormat="1" hidden="1" outlineLevel="2" x14ac:dyDescent="0.25">
      <c r="A102" s="26"/>
      <c r="B102" s="11" t="str">
        <f>CONCATENATE("          ", "6372", " - ", "COMPUTER HARDWARE MAINTENANCE")</f>
        <v xml:space="preserve">          6372 - COMPUTER HARDWARE MAINTENANCE</v>
      </c>
      <c r="C102" s="11"/>
      <c r="D102" s="6"/>
      <c r="E102" s="2"/>
      <c r="F102" s="7">
        <f t="shared" si="46"/>
        <v>0</v>
      </c>
      <c r="G102" s="2"/>
      <c r="H102" s="6">
        <v>2000</v>
      </c>
      <c r="I102" s="2"/>
      <c r="J102" s="7">
        <f t="shared" si="47"/>
        <v>2.9370300751879699E-2</v>
      </c>
      <c r="K102" s="2"/>
      <c r="L102" s="6">
        <f t="shared" si="48"/>
        <v>-2000</v>
      </c>
      <c r="M102" s="2"/>
      <c r="N102" s="7">
        <f t="shared" si="49"/>
        <v>-1</v>
      </c>
      <c r="O102" s="11"/>
      <c r="P102" s="6"/>
      <c r="Q102" s="2"/>
      <c r="R102" s="7">
        <f t="shared" si="50"/>
        <v>0</v>
      </c>
      <c r="S102" s="2"/>
      <c r="T102" s="6">
        <v>2000</v>
      </c>
      <c r="U102" s="2"/>
      <c r="V102" s="7">
        <f t="shared" si="51"/>
        <v>6.2884262144365913E-4</v>
      </c>
      <c r="W102" s="2"/>
      <c r="X102" s="6">
        <f t="shared" si="52"/>
        <v>-2000</v>
      </c>
      <c r="Y102" s="2"/>
      <c r="Z102" s="7">
        <f t="shared" si="53"/>
        <v>-1</v>
      </c>
    </row>
    <row r="103" spans="1:26" s="24" customFormat="1" hidden="1" outlineLevel="2" x14ac:dyDescent="0.25">
      <c r="A103" s="26"/>
      <c r="B103" s="11" t="str">
        <f>CONCATENATE("          ", "6373", " - ", "MAINTENANCE CONTRACTS")</f>
        <v xml:space="preserve">          6373 - MAINTENANCE CONTRACTS</v>
      </c>
      <c r="C103" s="11"/>
      <c r="D103" s="6">
        <v>23.6</v>
      </c>
      <c r="E103" s="2"/>
      <c r="F103" s="7">
        <f t="shared" si="46"/>
        <v>3.7342640722814292E-4</v>
      </c>
      <c r="G103" s="2"/>
      <c r="H103" s="6">
        <v>40</v>
      </c>
      <c r="I103" s="2"/>
      <c r="J103" s="7">
        <f t="shared" si="47"/>
        <v>5.8740601503759395E-4</v>
      </c>
      <c r="K103" s="2"/>
      <c r="L103" s="6">
        <f t="shared" si="48"/>
        <v>-16.399999999999999</v>
      </c>
      <c r="M103" s="2"/>
      <c r="N103" s="7">
        <f t="shared" si="49"/>
        <v>-0.41</v>
      </c>
      <c r="O103" s="11"/>
      <c r="P103" s="6">
        <v>143.16</v>
      </c>
      <c r="Q103" s="2"/>
      <c r="R103" s="7">
        <f t="shared" si="50"/>
        <v>4.8689672353195953E-5</v>
      </c>
      <c r="S103" s="2"/>
      <c r="T103" s="6">
        <v>240</v>
      </c>
      <c r="U103" s="2"/>
      <c r="V103" s="7">
        <f t="shared" si="51"/>
        <v>7.5461114573239095E-5</v>
      </c>
      <c r="W103" s="2"/>
      <c r="X103" s="6">
        <f t="shared" si="52"/>
        <v>-96.84</v>
      </c>
      <c r="Y103" s="2"/>
      <c r="Z103" s="7">
        <f t="shared" si="53"/>
        <v>-0.40350000000000003</v>
      </c>
    </row>
    <row r="104" spans="1:26" s="24" customFormat="1" hidden="1" outlineLevel="2" x14ac:dyDescent="0.25">
      <c r="A104" s="26"/>
      <c r="B104" s="11" t="str">
        <f>CONCATENATE("          ", "6375", " - ", "OUTSIDE REPAIRS &amp; MAINTENANCE")</f>
        <v xml:space="preserve">          6375 - OUTSIDE REPAIRS &amp; MAINTENANCE</v>
      </c>
      <c r="C104" s="11"/>
      <c r="D104" s="6"/>
      <c r="E104" s="2"/>
      <c r="F104" s="7">
        <f t="shared" si="46"/>
        <v>0</v>
      </c>
      <c r="G104" s="2"/>
      <c r="H104" s="6">
        <v>100</v>
      </c>
      <c r="I104" s="2"/>
      <c r="J104" s="7">
        <f t="shared" si="47"/>
        <v>1.4685150375939849E-3</v>
      </c>
      <c r="K104" s="2"/>
      <c r="L104" s="6">
        <f t="shared" si="48"/>
        <v>-100</v>
      </c>
      <c r="M104" s="2"/>
      <c r="N104" s="7">
        <f t="shared" si="49"/>
        <v>-1</v>
      </c>
      <c r="O104" s="11"/>
      <c r="P104" s="6"/>
      <c r="Q104" s="2"/>
      <c r="R104" s="7">
        <f t="shared" si="50"/>
        <v>0</v>
      </c>
      <c r="S104" s="2"/>
      <c r="T104" s="6">
        <v>600</v>
      </c>
      <c r="U104" s="2"/>
      <c r="V104" s="7">
        <f t="shared" si="51"/>
        <v>1.8865278643309774E-4</v>
      </c>
      <c r="W104" s="2"/>
      <c r="X104" s="6">
        <f t="shared" si="52"/>
        <v>-600</v>
      </c>
      <c r="Y104" s="2"/>
      <c r="Z104" s="7">
        <f t="shared" si="53"/>
        <v>-1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SUM(OSRRefD22_10x_0)</f>
        <v>250</v>
      </c>
      <c r="E105" s="1"/>
      <c r="F105" s="5">
        <f t="shared" ref="F105:F110" si="54">IF(D$12=0,0,D105/D$12)</f>
        <v>3.9557882121625306E-3</v>
      </c>
      <c r="G105" s="1"/>
      <c r="H105" s="1">
        <f>SUM(OSRRefH22_10x_0)</f>
        <v>300</v>
      </c>
      <c r="I105" s="1"/>
      <c r="J105" s="5">
        <f t="shared" ref="J105:J110" si="55">IF(H$12=0,0,H105/H$12)</f>
        <v>4.4055451127819551E-3</v>
      </c>
      <c r="K105" s="1"/>
      <c r="L105" s="1">
        <f t="shared" ref="L105:L110" si="56">+D105-H105</f>
        <v>-50</v>
      </c>
      <c r="M105" s="1"/>
      <c r="N105" s="5">
        <f t="shared" ref="N105:N110" si="57">IF(H105=0,0,L105/H105)</f>
        <v>-0.16666666666666666</v>
      </c>
      <c r="O105" s="13"/>
      <c r="P105" s="1">
        <f>SUM(OSRRefP22_10x_0)</f>
        <v>1557.4</v>
      </c>
      <c r="Q105" s="1"/>
      <c r="R105" s="5">
        <f t="shared" ref="R105:R110" si="58">IF(P$12=0,0,P105/P$12)</f>
        <v>5.2968214391497191E-4</v>
      </c>
      <c r="S105" s="1"/>
      <c r="T105" s="1">
        <f>SUM(OSRRefT22_10x_0)</f>
        <v>4300</v>
      </c>
      <c r="U105" s="1"/>
      <c r="V105" s="5">
        <f t="shared" ref="V105:V110" si="59">IF(T$12=0,0,T105/T$12)</f>
        <v>1.3520116361038672E-3</v>
      </c>
      <c r="W105" s="1"/>
      <c r="X105" s="1">
        <f t="shared" ref="X105:X110" si="60">+P105-T105</f>
        <v>-2742.6</v>
      </c>
      <c r="Y105" s="1"/>
      <c r="Z105" s="5">
        <f t="shared" ref="Z105:Z110" si="61">IF(T105=0,0,X105/T105)</f>
        <v>-0.63781395348837211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>
        <v>250</v>
      </c>
      <c r="E106" s="2"/>
      <c r="F106" s="7">
        <f t="shared" si="54"/>
        <v>3.9557882121625306E-3</v>
      </c>
      <c r="G106" s="2"/>
      <c r="H106" s="6">
        <v>300</v>
      </c>
      <c r="I106" s="2"/>
      <c r="J106" s="7">
        <f t="shared" si="55"/>
        <v>4.4055451127819551E-3</v>
      </c>
      <c r="K106" s="2"/>
      <c r="L106" s="6">
        <f t="shared" si="56"/>
        <v>-50</v>
      </c>
      <c r="M106" s="2"/>
      <c r="N106" s="7">
        <f t="shared" si="57"/>
        <v>-0.16666666666666666</v>
      </c>
      <c r="O106" s="11"/>
      <c r="P106" s="6">
        <v>1557.4</v>
      </c>
      <c r="Q106" s="2"/>
      <c r="R106" s="7">
        <f t="shared" si="58"/>
        <v>5.2968214391497191E-4</v>
      </c>
      <c r="S106" s="2"/>
      <c r="T106" s="6">
        <v>4300</v>
      </c>
      <c r="U106" s="2"/>
      <c r="V106" s="7">
        <f t="shared" si="59"/>
        <v>1.3520116361038672E-3</v>
      </c>
      <c r="W106" s="2"/>
      <c r="X106" s="6">
        <f t="shared" si="60"/>
        <v>-2742.6</v>
      </c>
      <c r="Y106" s="2"/>
      <c r="Z106" s="7">
        <f t="shared" si="61"/>
        <v>-0.63781395348837211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SUM(OSRRefD22_11x_0)</f>
        <v>208.46</v>
      </c>
      <c r="E107" s="1"/>
      <c r="F107" s="5">
        <f t="shared" si="54"/>
        <v>3.2984944428296049E-3</v>
      </c>
      <c r="G107" s="1"/>
      <c r="H107" s="1">
        <f>SUM(OSRRefH22_11x_0)</f>
        <v>3200</v>
      </c>
      <c r="I107" s="1"/>
      <c r="J107" s="5">
        <f t="shared" si="55"/>
        <v>4.6992481203007516E-2</v>
      </c>
      <c r="K107" s="1"/>
      <c r="L107" s="1">
        <f t="shared" si="56"/>
        <v>-2991.54</v>
      </c>
      <c r="M107" s="1"/>
      <c r="N107" s="5">
        <f t="shared" si="57"/>
        <v>-0.93485624999999994</v>
      </c>
      <c r="O107" s="13"/>
      <c r="P107" s="1">
        <f>SUM(OSRRefP22_11x_0)</f>
        <v>9423.0499999999993</v>
      </c>
      <c r="Q107" s="1"/>
      <c r="R107" s="5">
        <f t="shared" si="58"/>
        <v>3.2048422538962216E-3</v>
      </c>
      <c r="S107" s="1"/>
      <c r="T107" s="1">
        <f>SUM(OSRRefT22_11x_0)</f>
        <v>10750</v>
      </c>
      <c r="U107" s="1"/>
      <c r="V107" s="5">
        <f t="shared" si="59"/>
        <v>3.3800290902596679E-3</v>
      </c>
      <c r="W107" s="1"/>
      <c r="X107" s="1">
        <f t="shared" si="60"/>
        <v>-1326.9500000000007</v>
      </c>
      <c r="Y107" s="1"/>
      <c r="Z107" s="5">
        <f t="shared" si="61"/>
        <v>-0.12343720930232564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208.46</v>
      </c>
      <c r="E108" s="2"/>
      <c r="F108" s="7">
        <f t="shared" si="54"/>
        <v>3.2984944428296049E-3</v>
      </c>
      <c r="G108" s="2"/>
      <c r="H108" s="6">
        <v>2500</v>
      </c>
      <c r="I108" s="2"/>
      <c r="J108" s="7">
        <f t="shared" si="55"/>
        <v>3.6712875939849621E-2</v>
      </c>
      <c r="K108" s="2"/>
      <c r="L108" s="6">
        <f t="shared" si="56"/>
        <v>-2291.54</v>
      </c>
      <c r="M108" s="2"/>
      <c r="N108" s="7">
        <f t="shared" si="57"/>
        <v>-0.91661599999999999</v>
      </c>
      <c r="O108" s="11"/>
      <c r="P108" s="6">
        <v>3583.93</v>
      </c>
      <c r="Q108" s="2"/>
      <c r="R108" s="7">
        <f t="shared" si="58"/>
        <v>1.2189185347638277E-3</v>
      </c>
      <c r="S108" s="2"/>
      <c r="T108" s="6">
        <v>4150</v>
      </c>
      <c r="U108" s="2"/>
      <c r="V108" s="7">
        <f t="shared" si="59"/>
        <v>1.3048484394955929E-3</v>
      </c>
      <c r="W108" s="2"/>
      <c r="X108" s="6">
        <f t="shared" si="60"/>
        <v>-566.07000000000016</v>
      </c>
      <c r="Y108" s="2"/>
      <c r="Z108" s="7">
        <f t="shared" si="61"/>
        <v>-0.13640240963855427</v>
      </c>
    </row>
    <row r="109" spans="1:26" s="24" customFormat="1" hidden="1" outlineLevel="2" x14ac:dyDescent="0.25">
      <c r="A109" s="26"/>
      <c r="B109" s="11" t="str">
        <f>CONCATENATE("          ", "6245", " - ", "PRINTING")</f>
        <v xml:space="preserve">          6245 - PRINTING</v>
      </c>
      <c r="C109" s="11"/>
      <c r="D109" s="6"/>
      <c r="E109" s="2"/>
      <c r="F109" s="7">
        <f t="shared" si="54"/>
        <v>0</v>
      </c>
      <c r="G109" s="2"/>
      <c r="H109" s="6">
        <v>500</v>
      </c>
      <c r="I109" s="2"/>
      <c r="J109" s="7">
        <f t="shared" si="55"/>
        <v>7.3425751879699248E-3</v>
      </c>
      <c r="K109" s="2"/>
      <c r="L109" s="6">
        <f t="shared" si="56"/>
        <v>-500</v>
      </c>
      <c r="M109" s="2"/>
      <c r="N109" s="7">
        <f t="shared" si="57"/>
        <v>-1</v>
      </c>
      <c r="O109" s="11"/>
      <c r="P109" s="6">
        <v>4978.08</v>
      </c>
      <c r="Q109" s="2"/>
      <c r="R109" s="7">
        <f t="shared" si="58"/>
        <v>1.6930782631181735E-3</v>
      </c>
      <c r="S109" s="2"/>
      <c r="T109" s="6">
        <v>1400</v>
      </c>
      <c r="U109" s="2"/>
      <c r="V109" s="7">
        <f t="shared" si="59"/>
        <v>4.4018983501056141E-4</v>
      </c>
      <c r="W109" s="2"/>
      <c r="X109" s="6">
        <f t="shared" si="60"/>
        <v>3578.08</v>
      </c>
      <c r="Y109" s="2"/>
      <c r="Z109" s="7">
        <f t="shared" si="61"/>
        <v>2.5557714285714286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54"/>
        <v>0</v>
      </c>
      <c r="G110" s="2"/>
      <c r="H110" s="6">
        <v>200</v>
      </c>
      <c r="I110" s="2"/>
      <c r="J110" s="7">
        <f t="shared" si="55"/>
        <v>2.9370300751879698E-3</v>
      </c>
      <c r="K110" s="2"/>
      <c r="L110" s="6">
        <f t="shared" si="56"/>
        <v>-200</v>
      </c>
      <c r="M110" s="2"/>
      <c r="N110" s="7">
        <f t="shared" si="57"/>
        <v>-1</v>
      </c>
      <c r="O110" s="11"/>
      <c r="P110" s="6">
        <v>861.04</v>
      </c>
      <c r="Q110" s="2"/>
      <c r="R110" s="7">
        <f t="shared" si="58"/>
        <v>2.9284545601422076E-4</v>
      </c>
      <c r="S110" s="2"/>
      <c r="T110" s="6">
        <v>5200</v>
      </c>
      <c r="U110" s="2"/>
      <c r="V110" s="7">
        <f t="shared" si="59"/>
        <v>1.6349908157535138E-3</v>
      </c>
      <c r="W110" s="2"/>
      <c r="X110" s="6">
        <f t="shared" si="60"/>
        <v>-4338.96</v>
      </c>
      <c r="Y110" s="2"/>
      <c r="Z110" s="7">
        <f t="shared" si="61"/>
        <v>-0.83441538461538467</v>
      </c>
    </row>
    <row r="111" spans="1:26" s="25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SUM(OSRRefD22_12x_0)</f>
        <v>1065.45</v>
      </c>
      <c r="E111" s="1"/>
      <c r="F111" s="5">
        <f t="shared" ref="F111:F113" si="62">IF(D$12=0,0,D111/D$12)</f>
        <v>1.6858778202594273E-2</v>
      </c>
      <c r="G111" s="1"/>
      <c r="H111" s="1">
        <f>SUM(OSRRefH22_12x_0)</f>
        <v>900</v>
      </c>
      <c r="I111" s="1"/>
      <c r="J111" s="5">
        <f t="shared" ref="J111:J113" si="63">IF(H$12=0,0,H111/H$12)</f>
        <v>1.3216635338345864E-2</v>
      </c>
      <c r="K111" s="1"/>
      <c r="L111" s="1">
        <f t="shared" ref="L111:L113" si="64">+D111-H111</f>
        <v>165.45000000000005</v>
      </c>
      <c r="M111" s="1"/>
      <c r="N111" s="5">
        <f t="shared" ref="N111:N113" si="65">IF(H111=0,0,L111/H111)</f>
        <v>0.18383333333333338</v>
      </c>
      <c r="O111" s="13"/>
      <c r="P111" s="1">
        <f>SUM(OSRRefP22_12x_0)</f>
        <v>4934.04</v>
      </c>
      <c r="Q111" s="1"/>
      <c r="R111" s="5">
        <f t="shared" ref="R111:R113" si="66">IF(P$12=0,0,P111/P$12)</f>
        <v>1.6780999649173159E-3</v>
      </c>
      <c r="S111" s="1"/>
      <c r="T111" s="1">
        <f>SUM(OSRRefT22_12x_0)</f>
        <v>5400</v>
      </c>
      <c r="U111" s="1"/>
      <c r="V111" s="5">
        <f t="shared" ref="V111:V113" si="67">IF(T$12=0,0,T111/T$12)</f>
        <v>1.6978750778978797E-3</v>
      </c>
      <c r="W111" s="1"/>
      <c r="X111" s="1">
        <f t="shared" ref="X111:X113" si="68">+P111-T111</f>
        <v>-465.96000000000004</v>
      </c>
      <c r="Y111" s="1"/>
      <c r="Z111" s="5">
        <f t="shared" ref="Z111:Z113" si="69">IF(T111=0,0,X111/T111)</f>
        <v>-8.6288888888888901E-2</v>
      </c>
    </row>
    <row r="112" spans="1:26" s="24" customFormat="1" hidden="1" outlineLevel="2" x14ac:dyDescent="0.25">
      <c r="A112" s="26"/>
      <c r="B112" s="11" t="str">
        <f>CONCATENATE("          ", "6303", " - ", "DATA PHONE LINES")</f>
        <v xml:space="preserve">          6303 - DATA PHONE LINES</v>
      </c>
      <c r="C112" s="11"/>
      <c r="D112" s="6">
        <v>295</v>
      </c>
      <c r="E112" s="2"/>
      <c r="F112" s="7">
        <f t="shared" si="62"/>
        <v>4.6678300903517864E-3</v>
      </c>
      <c r="G112" s="2"/>
      <c r="H112" s="6">
        <v>300</v>
      </c>
      <c r="I112" s="2"/>
      <c r="J112" s="7">
        <f t="shared" si="63"/>
        <v>4.4055451127819551E-3</v>
      </c>
      <c r="K112" s="2"/>
      <c r="L112" s="6">
        <f t="shared" si="64"/>
        <v>-5</v>
      </c>
      <c r="M112" s="2"/>
      <c r="N112" s="7">
        <f t="shared" si="65"/>
        <v>-1.6666666666666666E-2</v>
      </c>
      <c r="O112" s="11"/>
      <c r="P112" s="6">
        <v>1770</v>
      </c>
      <c r="Q112" s="2"/>
      <c r="R112" s="7">
        <f t="shared" si="66"/>
        <v>6.0198882414890214E-4</v>
      </c>
      <c r="S112" s="2"/>
      <c r="T112" s="6">
        <v>1800</v>
      </c>
      <c r="U112" s="2"/>
      <c r="V112" s="7">
        <f t="shared" si="67"/>
        <v>5.659583592992932E-4</v>
      </c>
      <c r="W112" s="2"/>
      <c r="X112" s="6">
        <f t="shared" si="68"/>
        <v>-30</v>
      </c>
      <c r="Y112" s="2"/>
      <c r="Z112" s="7">
        <f t="shared" si="69"/>
        <v>-1.6666666666666666E-2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6">
        <v>770.45</v>
      </c>
      <c r="E113" s="2"/>
      <c r="F113" s="7">
        <f t="shared" si="62"/>
        <v>1.2190948112242488E-2</v>
      </c>
      <c r="G113" s="2"/>
      <c r="H113" s="6">
        <v>600</v>
      </c>
      <c r="I113" s="2"/>
      <c r="J113" s="7">
        <f t="shared" si="63"/>
        <v>8.8110902255639102E-3</v>
      </c>
      <c r="K113" s="2"/>
      <c r="L113" s="6">
        <f t="shared" si="64"/>
        <v>170.45000000000005</v>
      </c>
      <c r="M113" s="2"/>
      <c r="N113" s="7">
        <f t="shared" si="65"/>
        <v>0.28408333333333341</v>
      </c>
      <c r="O113" s="11"/>
      <c r="P113" s="6">
        <v>3164.04</v>
      </c>
      <c r="Q113" s="2"/>
      <c r="R113" s="7">
        <f t="shared" si="66"/>
        <v>1.0761111407684139E-3</v>
      </c>
      <c r="S113" s="2"/>
      <c r="T113" s="6">
        <v>3600</v>
      </c>
      <c r="U113" s="2"/>
      <c r="V113" s="7">
        <f t="shared" si="67"/>
        <v>1.1319167185985864E-3</v>
      </c>
      <c r="W113" s="2"/>
      <c r="X113" s="6">
        <f t="shared" si="68"/>
        <v>-435.96000000000004</v>
      </c>
      <c r="Y113" s="2"/>
      <c r="Z113" s="7">
        <f t="shared" si="69"/>
        <v>-0.12110000000000001</v>
      </c>
    </row>
    <row r="114" spans="1:26" s="25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SUM(OSRRefD22_13x_0)</f>
        <v>0</v>
      </c>
      <c r="E114" s="1"/>
      <c r="F114" s="5">
        <f t="shared" ref="F114:F118" si="70">IF(D$12=0,0,D114/D$12)</f>
        <v>0</v>
      </c>
      <c r="G114" s="1"/>
      <c r="H114" s="1">
        <f>SUM(OSRRefH22_13x_0)</f>
        <v>500</v>
      </c>
      <c r="I114" s="1"/>
      <c r="J114" s="5">
        <f t="shared" ref="J114:J118" si="71">IF(H$12=0,0,H114/H$12)</f>
        <v>7.3425751879699248E-3</v>
      </c>
      <c r="K114" s="1"/>
      <c r="L114" s="1">
        <f t="shared" ref="L114:L118" si="72">+D114-H114</f>
        <v>-500</v>
      </c>
      <c r="M114" s="1"/>
      <c r="N114" s="5">
        <f t="shared" ref="N114:N118" si="73">IF(H114=0,0,L114/H114)</f>
        <v>-1</v>
      </c>
      <c r="O114" s="13"/>
      <c r="P114" s="1">
        <f>SUM(OSRRefP22_13x_0)</f>
        <v>547.47</v>
      </c>
      <c r="Q114" s="1"/>
      <c r="R114" s="5">
        <f t="shared" ref="R114:R118" si="74">IF(P$12=0,0,P114/P$12)</f>
        <v>1.8619820426937824E-4</v>
      </c>
      <c r="S114" s="1"/>
      <c r="T114" s="1">
        <f>SUM(OSRRefT22_13x_0)</f>
        <v>1800</v>
      </c>
      <c r="U114" s="1"/>
      <c r="V114" s="5">
        <f t="shared" ref="V114:V118" si="75">IF(T$12=0,0,T114/T$12)</f>
        <v>5.659583592992932E-4</v>
      </c>
      <c r="W114" s="1"/>
      <c r="X114" s="1">
        <f t="shared" ref="X114:X118" si="76">+P114-T114</f>
        <v>-1252.53</v>
      </c>
      <c r="Y114" s="1"/>
      <c r="Z114" s="5">
        <f t="shared" ref="Z114:Z118" si="77">IF(T114=0,0,X114/T114)</f>
        <v>-0.69584999999999997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70"/>
        <v>0</v>
      </c>
      <c r="G115" s="2"/>
      <c r="H115" s="6">
        <v>500</v>
      </c>
      <c r="I115" s="2"/>
      <c r="J115" s="7">
        <f t="shared" si="71"/>
        <v>7.3425751879699248E-3</v>
      </c>
      <c r="K115" s="2"/>
      <c r="L115" s="6">
        <f t="shared" si="72"/>
        <v>-500</v>
      </c>
      <c r="M115" s="2"/>
      <c r="N115" s="7">
        <f t="shared" si="73"/>
        <v>-1</v>
      </c>
      <c r="O115" s="11"/>
      <c r="P115" s="6">
        <v>547.47</v>
      </c>
      <c r="Q115" s="2"/>
      <c r="R115" s="7">
        <f t="shared" si="74"/>
        <v>1.8619820426937824E-4</v>
      </c>
      <c r="S115" s="2"/>
      <c r="T115" s="6">
        <v>1800</v>
      </c>
      <c r="U115" s="2"/>
      <c r="V115" s="7">
        <f t="shared" si="75"/>
        <v>5.659583592992932E-4</v>
      </c>
      <c r="W115" s="2"/>
      <c r="X115" s="6">
        <f t="shared" si="76"/>
        <v>-1252.53</v>
      </c>
      <c r="Y115" s="2"/>
      <c r="Z115" s="7">
        <f t="shared" si="77"/>
        <v>-0.69584999999999997</v>
      </c>
    </row>
    <row r="116" spans="1:26" s="25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SUM(OSRRefD22_14x_0)</f>
        <v>0</v>
      </c>
      <c r="E116" s="1"/>
      <c r="F116" s="5">
        <f t="shared" si="70"/>
        <v>0</v>
      </c>
      <c r="G116" s="1"/>
      <c r="H116" s="1">
        <f>SUM(OSRRefH22_14x_0)</f>
        <v>0</v>
      </c>
      <c r="I116" s="1"/>
      <c r="J116" s="5">
        <f t="shared" si="71"/>
        <v>0</v>
      </c>
      <c r="K116" s="1"/>
      <c r="L116" s="1">
        <f t="shared" si="72"/>
        <v>0</v>
      </c>
      <c r="M116" s="1"/>
      <c r="N116" s="5">
        <f t="shared" si="73"/>
        <v>0</v>
      </c>
      <c r="O116" s="13"/>
      <c r="P116" s="1">
        <f>SUM(OSRRefP22_14x_0)</f>
        <v>83.93</v>
      </c>
      <c r="Q116" s="1"/>
      <c r="R116" s="5">
        <f t="shared" si="74"/>
        <v>2.8545153678427889E-5</v>
      </c>
      <c r="S116" s="1"/>
      <c r="T116" s="1">
        <f>SUM(OSRRefT22_14x_0)</f>
        <v>450</v>
      </c>
      <c r="U116" s="1"/>
      <c r="V116" s="5">
        <f t="shared" si="75"/>
        <v>1.414895898248233E-4</v>
      </c>
      <c r="W116" s="1"/>
      <c r="X116" s="1">
        <f t="shared" si="76"/>
        <v>-366.07</v>
      </c>
      <c r="Y116" s="1"/>
      <c r="Z116" s="5">
        <f t="shared" si="77"/>
        <v>-0.81348888888888893</v>
      </c>
    </row>
    <row r="117" spans="1:26" s="24" customFormat="1" hidden="1" outlineLevel="2" x14ac:dyDescent="0.25">
      <c r="A117" s="26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70"/>
        <v>0</v>
      </c>
      <c r="G117" s="2"/>
      <c r="H117" s="6"/>
      <c r="I117" s="2"/>
      <c r="J117" s="7">
        <f t="shared" si="71"/>
        <v>0</v>
      </c>
      <c r="K117" s="2"/>
      <c r="L117" s="6">
        <f t="shared" si="72"/>
        <v>0</v>
      </c>
      <c r="M117" s="2"/>
      <c r="N117" s="7">
        <f t="shared" si="73"/>
        <v>0</v>
      </c>
      <c r="O117" s="11"/>
      <c r="P117" s="6">
        <v>83.93</v>
      </c>
      <c r="Q117" s="2"/>
      <c r="R117" s="7">
        <f t="shared" si="74"/>
        <v>2.8545153678427889E-5</v>
      </c>
      <c r="S117" s="2"/>
      <c r="T117" s="6"/>
      <c r="U117" s="2"/>
      <c r="V117" s="7">
        <f t="shared" si="75"/>
        <v>0</v>
      </c>
      <c r="W117" s="2"/>
      <c r="X117" s="6">
        <f t="shared" si="76"/>
        <v>83.93</v>
      </c>
      <c r="Y117" s="2"/>
      <c r="Z117" s="7">
        <f t="shared" si="77"/>
        <v>0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6"/>
      <c r="E118" s="2"/>
      <c r="F118" s="7">
        <f t="shared" si="70"/>
        <v>0</v>
      </c>
      <c r="G118" s="2"/>
      <c r="H118" s="6"/>
      <c r="I118" s="2"/>
      <c r="J118" s="7">
        <f t="shared" si="71"/>
        <v>0</v>
      </c>
      <c r="K118" s="2"/>
      <c r="L118" s="6">
        <f t="shared" si="72"/>
        <v>0</v>
      </c>
      <c r="M118" s="2"/>
      <c r="N118" s="7">
        <f t="shared" si="73"/>
        <v>0</v>
      </c>
      <c r="O118" s="11"/>
      <c r="P118" s="6"/>
      <c r="Q118" s="2"/>
      <c r="R118" s="7">
        <f t="shared" si="74"/>
        <v>0</v>
      </c>
      <c r="S118" s="2"/>
      <c r="T118" s="6">
        <v>450</v>
      </c>
      <c r="U118" s="2"/>
      <c r="V118" s="7">
        <f t="shared" si="75"/>
        <v>1.414895898248233E-4</v>
      </c>
      <c r="W118" s="2"/>
      <c r="X118" s="6">
        <f t="shared" si="76"/>
        <v>-450</v>
      </c>
      <c r="Y118" s="2"/>
      <c r="Z118" s="7">
        <f t="shared" si="77"/>
        <v>-1</v>
      </c>
    </row>
    <row r="119" spans="1:26" s="53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8" t="s">
        <v>0</v>
      </c>
      <c r="C120" s="10"/>
      <c r="D120" s="4">
        <f>SUM(OSRRefD25x_0)</f>
        <v>3606.87</v>
      </c>
      <c r="E120" s="4"/>
      <c r="F120" s="12">
        <f t="shared" ref="F120:F124" si="78">IF(D$12=0,0,D120/D$12)</f>
        <v>5.7072055315210667E-2</v>
      </c>
      <c r="G120" s="4"/>
      <c r="H120" s="4">
        <f>SUM(OSRRefH25x_0)</f>
        <v>7550</v>
      </c>
      <c r="I120" s="4"/>
      <c r="J120" s="12">
        <f t="shared" ref="J120:J124" si="79">IF(H$12=0,0,H120/H$12)</f>
        <v>0.11087288533834587</v>
      </c>
      <c r="K120" s="4"/>
      <c r="L120" s="4">
        <f t="shared" ref="L120:L124" si="80">+D120-H120</f>
        <v>-3943.13</v>
      </c>
      <c r="M120" s="4"/>
      <c r="N120" s="12">
        <f t="shared" ref="N120:N124" si="81">IF(H120=0,0,L120/H120)</f>
        <v>-0.52226887417218548</v>
      </c>
      <c r="O120" s="10"/>
      <c r="P120" s="4">
        <f>SUM(OSRRefP25x_0)</f>
        <v>146048.81</v>
      </c>
      <c r="Q120" s="4"/>
      <c r="R120" s="12">
        <f t="shared" ref="R120:R124" si="82">IF(P$12=0,0,P120/P$12)</f>
        <v>4.9672175932342612E-2</v>
      </c>
      <c r="S120" s="4"/>
      <c r="T120" s="4">
        <f>SUM(OSRRefT25x_0)</f>
        <v>92150</v>
      </c>
      <c r="U120" s="4"/>
      <c r="V120" s="12">
        <f t="shared" ref="V120:V124" si="83">IF(T$12=0,0,T120/T$12)</f>
        <v>2.8973923783016595E-2</v>
      </c>
      <c r="W120" s="4"/>
      <c r="X120" s="4">
        <f t="shared" ref="X120:X124" si="84">+P120-T120</f>
        <v>53898.81</v>
      </c>
      <c r="Y120" s="4"/>
      <c r="Z120" s="12">
        <f t="shared" ref="Z120:Z124" si="85">IF(T120=0,0,X120/T120)</f>
        <v>0.5849029842647856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--224.43</f>
        <v>224.43</v>
      </c>
      <c r="E121" s="2"/>
      <c r="F121" s="19">
        <f t="shared" si="78"/>
        <v>3.5511901938225471E-3</v>
      </c>
      <c r="G121" s="2"/>
      <c r="H121" s="2"/>
      <c r="I121" s="2"/>
      <c r="J121" s="19">
        <f t="shared" si="79"/>
        <v>0</v>
      </c>
      <c r="K121" s="2"/>
      <c r="L121" s="2">
        <f t="shared" si="80"/>
        <v>224.43</v>
      </c>
      <c r="M121" s="2"/>
      <c r="N121" s="19">
        <f t="shared" si="81"/>
        <v>0</v>
      </c>
      <c r="O121" s="11"/>
      <c r="P121" s="2">
        <f>--54141.85</f>
        <v>54141.85</v>
      </c>
      <c r="Q121" s="2"/>
      <c r="R121" s="19">
        <f t="shared" si="82"/>
        <v>1.8414004869348157E-2</v>
      </c>
      <c r="S121" s="2"/>
      <c r="T121" s="2"/>
      <c r="U121" s="2"/>
      <c r="V121" s="19">
        <f t="shared" si="83"/>
        <v>0</v>
      </c>
      <c r="W121" s="2"/>
      <c r="X121" s="2">
        <f t="shared" si="84"/>
        <v>54141.85</v>
      </c>
      <c r="Y121" s="2"/>
      <c r="Z121" s="19">
        <f t="shared" si="85"/>
        <v>0</v>
      </c>
    </row>
    <row r="122" spans="1:26" s="24" customFormat="1" hidden="1" outlineLevel="1" x14ac:dyDescent="0.25">
      <c r="A122" s="44"/>
      <c r="B122" s="11" t="str">
        <f>CONCATENATE("          ", "9151", " - ", "MISC. INCOME")</f>
        <v xml:space="preserve">          9151 - MISC. INCOME</v>
      </c>
      <c r="C122" s="11"/>
      <c r="D122" s="2">
        <f>0</f>
        <v>0</v>
      </c>
      <c r="E122" s="2"/>
      <c r="F122" s="19">
        <f t="shared" si="78"/>
        <v>0</v>
      </c>
      <c r="G122" s="2"/>
      <c r="H122" s="2"/>
      <c r="I122" s="2"/>
      <c r="J122" s="19">
        <f t="shared" si="79"/>
        <v>0</v>
      </c>
      <c r="K122" s="2"/>
      <c r="L122" s="2">
        <f t="shared" si="80"/>
        <v>0</v>
      </c>
      <c r="M122" s="2"/>
      <c r="N122" s="19">
        <f t="shared" si="81"/>
        <v>0</v>
      </c>
      <c r="O122" s="11"/>
      <c r="P122" s="2">
        <f>--87676.2</f>
        <v>87676.2</v>
      </c>
      <c r="Q122" s="2"/>
      <c r="R122" s="19">
        <f t="shared" si="82"/>
        <v>2.9819261324205638E-2</v>
      </c>
      <c r="S122" s="2"/>
      <c r="T122" s="2"/>
      <c r="U122" s="2"/>
      <c r="V122" s="19">
        <f t="shared" si="83"/>
        <v>0</v>
      </c>
      <c r="W122" s="2"/>
      <c r="X122" s="2">
        <f t="shared" si="84"/>
        <v>87676.2</v>
      </c>
      <c r="Y122" s="2"/>
      <c r="Z122" s="19">
        <f t="shared" si="85"/>
        <v>0</v>
      </c>
    </row>
    <row r="123" spans="1:26" s="24" customFormat="1" hidden="1" outlineLevel="1" x14ac:dyDescent="0.25">
      <c r="A123" s="44"/>
      <c r="B123" s="11" t="str">
        <f>CONCATENATE("          ", "9152", " - ", "MISC. INCOME")</f>
        <v xml:space="preserve">          9152 - MISC. INCOME</v>
      </c>
      <c r="C123" s="11"/>
      <c r="D123" s="2">
        <f>--3382.44</f>
        <v>3382.44</v>
      </c>
      <c r="E123" s="2"/>
      <c r="F123" s="19">
        <f t="shared" si="78"/>
        <v>5.3520865121388123E-2</v>
      </c>
      <c r="G123" s="2"/>
      <c r="H123" s="2"/>
      <c r="I123" s="2"/>
      <c r="J123" s="19">
        <f t="shared" si="79"/>
        <v>0</v>
      </c>
      <c r="K123" s="2"/>
      <c r="L123" s="2">
        <f t="shared" si="80"/>
        <v>3382.44</v>
      </c>
      <c r="M123" s="2"/>
      <c r="N123" s="19">
        <f t="shared" si="81"/>
        <v>0</v>
      </c>
      <c r="O123" s="11"/>
      <c r="P123" s="2">
        <f>--4230.76</f>
        <v>4230.76</v>
      </c>
      <c r="Q123" s="2"/>
      <c r="R123" s="19">
        <f t="shared" si="82"/>
        <v>1.4389097387888189E-3</v>
      </c>
      <c r="S123" s="2"/>
      <c r="T123" s="2"/>
      <c r="U123" s="2"/>
      <c r="V123" s="19">
        <f t="shared" si="83"/>
        <v>0</v>
      </c>
      <c r="W123" s="2"/>
      <c r="X123" s="2">
        <f t="shared" si="84"/>
        <v>4230.76</v>
      </c>
      <c r="Y123" s="2"/>
      <c r="Z123" s="19">
        <f t="shared" si="85"/>
        <v>0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>0</f>
        <v>0</v>
      </c>
      <c r="E124" s="2"/>
      <c r="F124" s="19">
        <f t="shared" si="78"/>
        <v>0</v>
      </c>
      <c r="G124" s="2"/>
      <c r="H124" s="2">
        <v>7550</v>
      </c>
      <c r="I124" s="2"/>
      <c r="J124" s="19">
        <f t="shared" si="79"/>
        <v>0.11087288533834587</v>
      </c>
      <c r="K124" s="2"/>
      <c r="L124" s="2">
        <f t="shared" si="80"/>
        <v>-7550</v>
      </c>
      <c r="M124" s="2"/>
      <c r="N124" s="19">
        <f t="shared" si="81"/>
        <v>-1</v>
      </c>
      <c r="O124" s="11"/>
      <c r="P124" s="2">
        <f>0</f>
        <v>0</v>
      </c>
      <c r="Q124" s="2"/>
      <c r="R124" s="19">
        <f t="shared" si="82"/>
        <v>0</v>
      </c>
      <c r="S124" s="2"/>
      <c r="T124" s="2">
        <v>92150</v>
      </c>
      <c r="U124" s="2"/>
      <c r="V124" s="19">
        <f t="shared" si="83"/>
        <v>2.8973923783016595E-2</v>
      </c>
      <c r="W124" s="2"/>
      <c r="X124" s="2">
        <f t="shared" si="84"/>
        <v>-92150</v>
      </c>
      <c r="Y124" s="2"/>
      <c r="Z124" s="19">
        <f t="shared" si="85"/>
        <v>-1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2">
        <f>+D60-D62+D120</f>
        <v>-11946.420000000024</v>
      </c>
      <c r="E126" s="14"/>
      <c r="F126" s="20">
        <f>IF(D$12=0,0,D126/D$12)</f>
        <v>-0.18903002965417118</v>
      </c>
      <c r="G126" s="14"/>
      <c r="H126" s="22">
        <f>+H60-H62+H120</f>
        <v>-23791.042860297872</v>
      </c>
      <c r="I126" s="14"/>
      <c r="J126" s="20">
        <f>IF(H$12=0,0,H126/H$12)</f>
        <v>-0.34937504200390435</v>
      </c>
      <c r="K126" s="16"/>
      <c r="L126" s="22">
        <f>+D126-H126</f>
        <v>11844.622860297848</v>
      </c>
      <c r="M126" s="16"/>
      <c r="N126" s="20">
        <f>IF(H126=0,0,L126/H126)</f>
        <v>-0.49786059946384165</v>
      </c>
      <c r="O126" s="28"/>
      <c r="P126" s="22">
        <f>+P60-P62+P120</f>
        <v>676199.88999999897</v>
      </c>
      <c r="Q126" s="14"/>
      <c r="R126" s="20">
        <f>IF(P$12=0,0,P126/P$12)</f>
        <v>0.22998009981396406</v>
      </c>
      <c r="S126" s="14"/>
      <c r="T126" s="22">
        <f>+T60-T62+T120</f>
        <v>646602.47218106384</v>
      </c>
      <c r="U126" s="14"/>
      <c r="V126" s="20">
        <f>IF(T$12=0,0,T126/T$12)</f>
        <v>0.20330559681914545</v>
      </c>
      <c r="W126" s="16"/>
      <c r="X126" s="22">
        <f>+P126-T126</f>
        <v>29597.417818935122</v>
      </c>
      <c r="Y126" s="16"/>
      <c r="Z126" s="20">
        <f>IF(T126=0,0,X126/T126)</f>
        <v>4.5773746764530082E-2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2"/>
      <c r="B128" s="10" t="s">
        <v>14</v>
      </c>
      <c r="C128" s="10"/>
      <c r="D128" s="4">
        <v>12909.36</v>
      </c>
      <c r="E128" s="4"/>
      <c r="F128" s="12">
        <f>IF(D$12=0,0,D128/D$12)</f>
        <v>0.20426677645824995</v>
      </c>
      <c r="G128" s="4"/>
      <c r="H128" s="4">
        <v>15254</v>
      </c>
      <c r="I128" s="4"/>
      <c r="J128" s="12">
        <f>IF(H$12=0,0,H128/H$12)</f>
        <v>0.22400728383458646</v>
      </c>
      <c r="K128" s="4"/>
      <c r="L128" s="4">
        <f>+D128-H128</f>
        <v>-2344.6399999999994</v>
      </c>
      <c r="M128" s="4"/>
      <c r="N128" s="12">
        <f>IF(H128=0,0,L128/H128)</f>
        <v>-0.15370656876884747</v>
      </c>
      <c r="O128" s="10"/>
      <c r="P128" s="4">
        <v>317570.06</v>
      </c>
      <c r="Q128" s="4"/>
      <c r="R128" s="12">
        <f>IF(P$12=0,0,P128/P$12)</f>
        <v>0.10800769887248379</v>
      </c>
      <c r="S128" s="4"/>
      <c r="T128" s="4">
        <v>409688</v>
      </c>
      <c r="U128" s="4"/>
      <c r="V128" s="12">
        <f>IF(T$12=0,0,T128/T$12)</f>
        <v>0.12881463794700493</v>
      </c>
      <c r="W128" s="4"/>
      <c r="X128" s="4">
        <f>+P128-T128</f>
        <v>-92117.94</v>
      </c>
      <c r="Y128" s="4"/>
      <c r="Z128" s="12">
        <f>IF(T128=0,0,X128/T128)</f>
        <v>-0.22484900704926677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1">
        <f>+D126-D128</f>
        <v>-24855.780000000024</v>
      </c>
      <c r="E130" s="14"/>
      <c r="F130" s="32">
        <f>IF(D$12=0,0,D130/D$12)</f>
        <v>-0.39329680611242113</v>
      </c>
      <c r="G130" s="14"/>
      <c r="H130" s="31">
        <f>+H126-H128</f>
        <v>-39045.042860297872</v>
      </c>
      <c r="I130" s="14"/>
      <c r="J130" s="32">
        <f>IF(H$12=0,0,H130/H$12)</f>
        <v>-0.5733823258384908</v>
      </c>
      <c r="K130" s="16"/>
      <c r="L130" s="31">
        <f>D130-H130</f>
        <v>14189.262860297848</v>
      </c>
      <c r="M130" s="16"/>
      <c r="N130" s="32">
        <f>IF(H130=0,0,L130/H130)</f>
        <v>-0.36340753706089285</v>
      </c>
      <c r="O130" s="28"/>
      <c r="P130" s="31">
        <f>+P126-P128</f>
        <v>358629.82999999897</v>
      </c>
      <c r="Q130" s="14"/>
      <c r="R130" s="32">
        <f>IF(P$12=0,0,P130/P$12)</f>
        <v>0.12197240094148026</v>
      </c>
      <c r="S130" s="14"/>
      <c r="T130" s="31">
        <f>+T126-T128</f>
        <v>236914.47218106384</v>
      </c>
      <c r="U130" s="14"/>
      <c r="V130" s="32">
        <f>IF(T$12=0,0,T130/T$12)</f>
        <v>7.4490958872140522E-2</v>
      </c>
      <c r="W130" s="16"/>
      <c r="X130" s="31">
        <f>P130-T130</f>
        <v>121715.35781893512</v>
      </c>
      <c r="Y130" s="16"/>
      <c r="Z130" s="32">
        <f>IF(T130=0,0,X130/T130)</f>
        <v>0.51375231195632975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5">
        <f>SUM(D130:D132)</f>
        <v>-24855.780000000024</v>
      </c>
      <c r="E133" s="14"/>
      <c r="F133" s="34">
        <f>IF(D$12=0,0,D133/D$12)</f>
        <v>-0.39329680611242113</v>
      </c>
      <c r="G133" s="14"/>
      <c r="H133" s="35">
        <f>SUM(H130:H132)</f>
        <v>-39045.042860297872</v>
      </c>
      <c r="I133" s="14"/>
      <c r="J133" s="34">
        <f>IF(H$12=0,0,H133/H$12)</f>
        <v>-0.5733823258384908</v>
      </c>
      <c r="K133" s="16"/>
      <c r="L133" s="35">
        <f>+D133-H133</f>
        <v>14189.262860297848</v>
      </c>
      <c r="M133" s="16"/>
      <c r="N133" s="34">
        <f>IF(H133=0,0,L133/H133)</f>
        <v>-0.36340753706089285</v>
      </c>
      <c r="O133" s="28"/>
      <c r="P133" s="35">
        <f>SUM(P130:P132)</f>
        <v>358629.82999999897</v>
      </c>
      <c r="Q133" s="14"/>
      <c r="R133" s="34">
        <f>IF(P$12=0,0,P133/P$12)</f>
        <v>0.12197240094148026</v>
      </c>
      <c r="S133" s="14"/>
      <c r="T133" s="35">
        <f>SUM(T130:T132)</f>
        <v>236914.47218106384</v>
      </c>
      <c r="U133" s="14"/>
      <c r="V133" s="34">
        <f>IF(T$12=0,0,T133/T$12)</f>
        <v>7.4490958872140522E-2</v>
      </c>
      <c r="W133" s="16"/>
      <c r="X133" s="35">
        <f>+P133-T133</f>
        <v>121715.35781893512</v>
      </c>
      <c r="Y133" s="16"/>
      <c r="Z133" s="34">
        <f>IF(T133=0,0,X133/T133)</f>
        <v>0.51375231195632975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3">
        <v>43847.445466701392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5" t="s">
        <v>314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6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63043.359999999993</v>
      </c>
      <c r="E12" s="4"/>
      <c r="F12" s="12"/>
      <c r="G12" s="4"/>
      <c r="H12" s="4">
        <f>SUM(OSRRefH13x_0)</f>
        <v>69045</v>
      </c>
      <c r="I12" s="4"/>
      <c r="J12" s="12"/>
      <c r="K12" s="4"/>
      <c r="L12" s="4">
        <f t="shared" ref="L12:L40" si="0">+D12-H12</f>
        <v>-6001.6400000000067</v>
      </c>
      <c r="M12" s="4"/>
      <c r="N12" s="12">
        <f t="shared" ref="N12:N40" si="1">IF(H12=0,0,L12/H12)</f>
        <v>-8.6923600550365798E-2</v>
      </c>
      <c r="O12" s="10"/>
      <c r="P12" s="4">
        <f>SUM(OSRRefP13x_0)</f>
        <v>2037279.6700000002</v>
      </c>
      <c r="Q12" s="4"/>
      <c r="R12" s="12"/>
      <c r="S12" s="4"/>
      <c r="T12" s="4">
        <f>SUM(OSRRefT13x_0)</f>
        <v>2122976</v>
      </c>
      <c r="U12" s="4"/>
      <c r="V12" s="12"/>
      <c r="W12" s="4"/>
      <c r="X12" s="4">
        <f t="shared" ref="X12:X40" si="2">+P12-T12</f>
        <v>-85696.329999999842</v>
      </c>
      <c r="Y12" s="4"/>
      <c r="Z12" s="12">
        <f t="shared" ref="Z12:Z40" si="3">IF(T12=0,0,X12/T12)</f>
        <v>-4.036613225962038E-2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--37225.05</f>
        <v>37225.050000000003</v>
      </c>
      <c r="E13" s="2"/>
      <c r="F13" s="19"/>
      <c r="G13" s="2"/>
      <c r="H13" s="2"/>
      <c r="I13" s="2"/>
      <c r="J13" s="19"/>
      <c r="K13" s="2"/>
      <c r="L13" s="2">
        <f t="shared" si="0"/>
        <v>37225.050000000003</v>
      </c>
      <c r="M13" s="2"/>
      <c r="N13" s="19">
        <f t="shared" si="1"/>
        <v>0</v>
      </c>
      <c r="O13" s="11"/>
      <c r="P13" s="2">
        <f>--1283550.77</f>
        <v>1283550.77</v>
      </c>
      <c r="Q13" s="2"/>
      <c r="R13" s="19"/>
      <c r="S13" s="2"/>
      <c r="T13" s="2"/>
      <c r="U13" s="2"/>
      <c r="V13" s="19"/>
      <c r="W13" s="2"/>
      <c r="X13" s="2">
        <f t="shared" si="2"/>
        <v>1283550.77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--10013.4</f>
        <v>10013.4</v>
      </c>
      <c r="E14" s="2"/>
      <c r="F14" s="19"/>
      <c r="G14" s="2"/>
      <c r="H14" s="2"/>
      <c r="I14" s="2"/>
      <c r="J14" s="19"/>
      <c r="K14" s="2"/>
      <c r="L14" s="2">
        <f t="shared" si="0"/>
        <v>10013.4</v>
      </c>
      <c r="M14" s="2"/>
      <c r="N14" s="19">
        <f t="shared" si="1"/>
        <v>0</v>
      </c>
      <c r="O14" s="11"/>
      <c r="P14" s="2">
        <f>--370532.88</f>
        <v>370532.88</v>
      </c>
      <c r="Q14" s="2"/>
      <c r="R14" s="19"/>
      <c r="S14" s="2"/>
      <c r="T14" s="2"/>
      <c r="U14" s="2"/>
      <c r="V14" s="19"/>
      <c r="W14" s="2"/>
      <c r="X14" s="2">
        <f t="shared" si="2"/>
        <v>370532.88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--586.01</f>
        <v>586.01</v>
      </c>
      <c r="E15" s="2"/>
      <c r="F15" s="19"/>
      <c r="G15" s="2"/>
      <c r="H15" s="2"/>
      <c r="I15" s="2"/>
      <c r="J15" s="19"/>
      <c r="K15" s="2"/>
      <c r="L15" s="2">
        <f t="shared" si="0"/>
        <v>586.01</v>
      </c>
      <c r="M15" s="2"/>
      <c r="N15" s="19">
        <f t="shared" si="1"/>
        <v>0</v>
      </c>
      <c r="O15" s="11"/>
      <c r="P15" s="2">
        <f>--16430.67</f>
        <v>16430.669999999998</v>
      </c>
      <c r="Q15" s="2"/>
      <c r="R15" s="19"/>
      <c r="S15" s="2"/>
      <c r="T15" s="2"/>
      <c r="U15" s="2"/>
      <c r="V15" s="19"/>
      <c r="W15" s="2"/>
      <c r="X15" s="2">
        <f t="shared" si="2"/>
        <v>16430.669999999998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--30279.88</f>
        <v>30279.88</v>
      </c>
      <c r="Q16" s="2"/>
      <c r="R16" s="19"/>
      <c r="S16" s="2"/>
      <c r="T16" s="2"/>
      <c r="U16" s="2"/>
      <c r="V16" s="19"/>
      <c r="W16" s="2"/>
      <c r="X16" s="2">
        <f t="shared" si="2"/>
        <v>30279.88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--3.62</f>
        <v>3.62</v>
      </c>
      <c r="E17" s="2"/>
      <c r="F17" s="19"/>
      <c r="G17" s="2"/>
      <c r="H17" s="2"/>
      <c r="I17" s="2"/>
      <c r="J17" s="19"/>
      <c r="K17" s="2"/>
      <c r="L17" s="2">
        <f t="shared" si="0"/>
        <v>3.62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/>
      <c r="U17" s="2"/>
      <c r="V17" s="19"/>
      <c r="W17" s="2"/>
      <c r="X17" s="2">
        <f t="shared" si="2"/>
        <v>13.22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--167.6</f>
        <v>167.6</v>
      </c>
      <c r="E18" s="2"/>
      <c r="F18" s="19"/>
      <c r="G18" s="2"/>
      <c r="H18" s="2"/>
      <c r="I18" s="2"/>
      <c r="J18" s="19"/>
      <c r="K18" s="2"/>
      <c r="L18" s="2">
        <f t="shared" si="0"/>
        <v>167.6</v>
      </c>
      <c r="M18" s="2"/>
      <c r="N18" s="19">
        <f t="shared" si="1"/>
        <v>0</v>
      </c>
      <c r="O18" s="11"/>
      <c r="P18" s="2">
        <f>--1280.32</f>
        <v>1280.32</v>
      </c>
      <c r="Q18" s="2"/>
      <c r="R18" s="19"/>
      <c r="S18" s="2"/>
      <c r="T18" s="2"/>
      <c r="U18" s="2"/>
      <c r="V18" s="19"/>
      <c r="W18" s="2"/>
      <c r="X18" s="2">
        <f t="shared" si="2"/>
        <v>1280.32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--109.34</f>
        <v>109.34</v>
      </c>
      <c r="E19" s="2"/>
      <c r="F19" s="19"/>
      <c r="G19" s="2"/>
      <c r="H19" s="2"/>
      <c r="I19" s="2"/>
      <c r="J19" s="19"/>
      <c r="K19" s="2"/>
      <c r="L19" s="2">
        <f t="shared" si="0"/>
        <v>109.34</v>
      </c>
      <c r="M19" s="2"/>
      <c r="N19" s="19">
        <f t="shared" si="1"/>
        <v>0</v>
      </c>
      <c r="O19" s="11"/>
      <c r="P19" s="2">
        <f>--992.69</f>
        <v>992.69</v>
      </c>
      <c r="Q19" s="2"/>
      <c r="R19" s="19"/>
      <c r="S19" s="2"/>
      <c r="T19" s="2"/>
      <c r="U19" s="2"/>
      <c r="V19" s="19"/>
      <c r="W19" s="2"/>
      <c r="X19" s="2">
        <f t="shared" si="2"/>
        <v>992.69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--157.74</f>
        <v>157.74</v>
      </c>
      <c r="E20" s="2"/>
      <c r="F20" s="19"/>
      <c r="G20" s="2"/>
      <c r="H20" s="2"/>
      <c r="I20" s="2"/>
      <c r="J20" s="19"/>
      <c r="K20" s="2"/>
      <c r="L20" s="2">
        <f t="shared" si="0"/>
        <v>157.74</v>
      </c>
      <c r="M20" s="2"/>
      <c r="N20" s="19">
        <f t="shared" si="1"/>
        <v>0</v>
      </c>
      <c r="O20" s="11"/>
      <c r="P20" s="2">
        <f>--2890.39</f>
        <v>2890.39</v>
      </c>
      <c r="Q20" s="2"/>
      <c r="R20" s="19"/>
      <c r="S20" s="2"/>
      <c r="T20" s="2"/>
      <c r="U20" s="2"/>
      <c r="V20" s="19"/>
      <c r="W20" s="2"/>
      <c r="X20" s="2">
        <f t="shared" si="2"/>
        <v>2890.39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69045</v>
      </c>
      <c r="I21" s="2"/>
      <c r="J21" s="19"/>
      <c r="K21" s="2"/>
      <c r="L21" s="2">
        <f t="shared" si="0"/>
        <v>-69045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2122976</v>
      </c>
      <c r="U21" s="2"/>
      <c r="V21" s="19"/>
      <c r="W21" s="2"/>
      <c r="X21" s="2">
        <f t="shared" si="2"/>
        <v>-2122976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--2606.82</f>
        <v>2606.8200000000002</v>
      </c>
      <c r="E22" s="2"/>
      <c r="F22" s="19"/>
      <c r="G22" s="2"/>
      <c r="H22" s="2"/>
      <c r="I22" s="2"/>
      <c r="J22" s="19"/>
      <c r="K22" s="2"/>
      <c r="L22" s="2">
        <f t="shared" si="0"/>
        <v>2606.8200000000002</v>
      </c>
      <c r="M22" s="2"/>
      <c r="N22" s="19">
        <f t="shared" si="1"/>
        <v>0</v>
      </c>
      <c r="O22" s="11"/>
      <c r="P22" s="2">
        <f>--95287.57</f>
        <v>95287.57</v>
      </c>
      <c r="Q22" s="2"/>
      <c r="R22" s="19"/>
      <c r="S22" s="2"/>
      <c r="T22" s="2"/>
      <c r="U22" s="2"/>
      <c r="V22" s="19"/>
      <c r="W22" s="2"/>
      <c r="X22" s="2">
        <f t="shared" si="2"/>
        <v>95287.57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--595.75</f>
        <v>595.75</v>
      </c>
      <c r="E23" s="2"/>
      <c r="F23" s="19"/>
      <c r="G23" s="2"/>
      <c r="H23" s="2"/>
      <c r="I23" s="2"/>
      <c r="J23" s="19"/>
      <c r="K23" s="2"/>
      <c r="L23" s="2">
        <f t="shared" si="0"/>
        <v>595.75</v>
      </c>
      <c r="M23" s="2"/>
      <c r="N23" s="19">
        <f t="shared" si="1"/>
        <v>0</v>
      </c>
      <c r="O23" s="11"/>
      <c r="P23" s="2">
        <f>--38202.59</f>
        <v>38202.589999999997</v>
      </c>
      <c r="Q23" s="2"/>
      <c r="R23" s="19"/>
      <c r="S23" s="2"/>
      <c r="T23" s="2"/>
      <c r="U23" s="2"/>
      <c r="V23" s="19"/>
      <c r="W23" s="2"/>
      <c r="X23" s="2">
        <f t="shared" si="2"/>
        <v>38202.589999999997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--12189.74</f>
        <v>12189.74</v>
      </c>
      <c r="E25" s="2"/>
      <c r="F25" s="19"/>
      <c r="G25" s="2"/>
      <c r="H25" s="2"/>
      <c r="I25" s="2"/>
      <c r="J25" s="19"/>
      <c r="K25" s="2"/>
      <c r="L25" s="2">
        <f t="shared" si="0"/>
        <v>12189.74</v>
      </c>
      <c r="M25" s="2"/>
      <c r="N25" s="19">
        <f t="shared" si="1"/>
        <v>0</v>
      </c>
      <c r="O25" s="11"/>
      <c r="P25" s="2">
        <f>--332888.83</f>
        <v>332888.83</v>
      </c>
      <c r="Q25" s="2"/>
      <c r="R25" s="19"/>
      <c r="S25" s="2"/>
      <c r="T25" s="2"/>
      <c r="U25" s="2"/>
      <c r="V25" s="19"/>
      <c r="W25" s="2"/>
      <c r="X25" s="2">
        <f t="shared" si="2"/>
        <v>332888.83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--431.78</f>
        <v>431.78</v>
      </c>
      <c r="E26" s="2"/>
      <c r="F26" s="19"/>
      <c r="G26" s="2"/>
      <c r="H26" s="2"/>
      <c r="I26" s="2"/>
      <c r="J26" s="19"/>
      <c r="K26" s="2"/>
      <c r="L26" s="2">
        <f t="shared" si="0"/>
        <v>431.78</v>
      </c>
      <c r="M26" s="2"/>
      <c r="N26" s="19">
        <f t="shared" si="1"/>
        <v>0</v>
      </c>
      <c r="O26" s="11"/>
      <c r="P26" s="2">
        <f>--8023.97</f>
        <v>8023.97</v>
      </c>
      <c r="Q26" s="2"/>
      <c r="R26" s="19"/>
      <c r="S26" s="2"/>
      <c r="T26" s="2"/>
      <c r="U26" s="2"/>
      <c r="V26" s="19"/>
      <c r="W26" s="2"/>
      <c r="X26" s="2">
        <f t="shared" si="2"/>
        <v>8023.97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--6.95</f>
        <v>6.95</v>
      </c>
      <c r="E28" s="2"/>
      <c r="F28" s="19"/>
      <c r="G28" s="2"/>
      <c r="H28" s="2"/>
      <c r="I28" s="2"/>
      <c r="J28" s="19"/>
      <c r="K28" s="2"/>
      <c r="L28" s="2">
        <f t="shared" si="0"/>
        <v>6.95</v>
      </c>
      <c r="M28" s="2"/>
      <c r="N28" s="19">
        <f t="shared" si="1"/>
        <v>0</v>
      </c>
      <c r="O28" s="11"/>
      <c r="P28" s="2">
        <f>--41.91</f>
        <v>41.91</v>
      </c>
      <c r="Q28" s="2"/>
      <c r="R28" s="19"/>
      <c r="S28" s="2"/>
      <c r="T28" s="2"/>
      <c r="U28" s="2"/>
      <c r="V28" s="19"/>
      <c r="W28" s="2"/>
      <c r="X28" s="2">
        <f t="shared" si="2"/>
        <v>41.91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-631.8</f>
        <v>-631.79999999999995</v>
      </c>
      <c r="E29" s="2"/>
      <c r="F29" s="19"/>
      <c r="G29" s="2"/>
      <c r="H29" s="2"/>
      <c r="I29" s="2"/>
      <c r="J29" s="19"/>
      <c r="K29" s="2"/>
      <c r="L29" s="2">
        <f t="shared" si="0"/>
        <v>-631.79999999999995</v>
      </c>
      <c r="M29" s="2"/>
      <c r="N29" s="19">
        <f t="shared" si="1"/>
        <v>0</v>
      </c>
      <c r="O29" s="11"/>
      <c r="P29" s="2">
        <f>-78730.37</f>
        <v>-78730.37</v>
      </c>
      <c r="Q29" s="2"/>
      <c r="R29" s="19"/>
      <c r="S29" s="2"/>
      <c r="T29" s="2"/>
      <c r="U29" s="2"/>
      <c r="V29" s="19"/>
      <c r="W29" s="2"/>
      <c r="X29" s="2">
        <f t="shared" si="2"/>
        <v>-78730.37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-166.15</f>
        <v>-166.15</v>
      </c>
      <c r="E30" s="2"/>
      <c r="F30" s="19"/>
      <c r="G30" s="2"/>
      <c r="H30" s="2"/>
      <c r="I30" s="2"/>
      <c r="J30" s="19"/>
      <c r="K30" s="2"/>
      <c r="L30" s="2">
        <f t="shared" si="0"/>
        <v>-166.15</v>
      </c>
      <c r="M30" s="2"/>
      <c r="N30" s="19">
        <f t="shared" si="1"/>
        <v>0</v>
      </c>
      <c r="O30" s="11"/>
      <c r="P30" s="2">
        <f>-27208.35</f>
        <v>-27208.35</v>
      </c>
      <c r="Q30" s="2"/>
      <c r="R30" s="19"/>
      <c r="S30" s="2"/>
      <c r="T30" s="2"/>
      <c r="U30" s="2"/>
      <c r="V30" s="19"/>
      <c r="W30" s="2"/>
      <c r="X30" s="2">
        <f t="shared" si="2"/>
        <v>-27208.35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3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-11369.46</f>
        <v>-11369.46</v>
      </c>
      <c r="Q32" s="2"/>
      <c r="R32" s="19"/>
      <c r="S32" s="2"/>
      <c r="T32" s="2"/>
      <c r="U32" s="2"/>
      <c r="V32" s="19"/>
      <c r="W32" s="2"/>
      <c r="X32" s="2">
        <f t="shared" si="2"/>
        <v>-11369.46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-102.71</f>
        <v>-102.71</v>
      </c>
      <c r="Q33" s="2"/>
      <c r="R33" s="19"/>
      <c r="S33" s="2"/>
      <c r="T33" s="2"/>
      <c r="U33" s="2"/>
      <c r="V33" s="19"/>
      <c r="W33" s="2"/>
      <c r="X33" s="2">
        <f t="shared" si="2"/>
        <v>-102.71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-11.94</f>
        <v>-11.94</v>
      </c>
      <c r="E34" s="2"/>
      <c r="F34" s="19"/>
      <c r="G34" s="2"/>
      <c r="H34" s="2"/>
      <c r="I34" s="2"/>
      <c r="J34" s="19"/>
      <c r="K34" s="2"/>
      <c r="L34" s="2">
        <f t="shared" si="0"/>
        <v>-11.94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ref="D35:D36" si="5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-32.75</f>
        <v>-32.75</v>
      </c>
      <c r="Q35" s="2"/>
      <c r="R35" s="19"/>
      <c r="S35" s="2"/>
      <c r="T35" s="2"/>
      <c r="U35" s="2"/>
      <c r="V35" s="19"/>
      <c r="W35" s="2"/>
      <c r="X35" s="2">
        <f t="shared" si="2"/>
        <v>-32.75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-12310.98</f>
        <v>-12310.98</v>
      </c>
      <c r="Q36" s="2"/>
      <c r="R36" s="19"/>
      <c r="S36" s="2"/>
      <c r="T36" s="2"/>
      <c r="U36" s="2"/>
      <c r="V36" s="19"/>
      <c r="W36" s="2"/>
      <c r="X36" s="2">
        <f t="shared" si="2"/>
        <v>-12310.98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-14.1</f>
        <v>-14.1</v>
      </c>
      <c r="E37" s="2"/>
      <c r="F37" s="19"/>
      <c r="G37" s="2"/>
      <c r="H37" s="2"/>
      <c r="I37" s="2"/>
      <c r="J37" s="19"/>
      <c r="K37" s="2"/>
      <c r="L37" s="2">
        <f t="shared" si="0"/>
        <v>-14.1</v>
      </c>
      <c r="M37" s="2"/>
      <c r="N37" s="19">
        <f t="shared" si="1"/>
        <v>0</v>
      </c>
      <c r="O37" s="11"/>
      <c r="P37" s="2">
        <f>-697.9</f>
        <v>-697.9</v>
      </c>
      <c r="Q37" s="2"/>
      <c r="R37" s="19"/>
      <c r="S37" s="2"/>
      <c r="T37" s="2"/>
      <c r="U37" s="2"/>
      <c r="V37" s="19"/>
      <c r="W37" s="2"/>
      <c r="X37" s="2">
        <f t="shared" si="2"/>
        <v>-697.9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-226.45</f>
        <v>-226.45</v>
      </c>
      <c r="E39" s="2"/>
      <c r="F39" s="19"/>
      <c r="G39" s="2"/>
      <c r="H39" s="2"/>
      <c r="I39" s="2"/>
      <c r="J39" s="19"/>
      <c r="K39" s="2"/>
      <c r="L39" s="2">
        <f t="shared" si="0"/>
        <v>-226.45</v>
      </c>
      <c r="M39" s="2"/>
      <c r="N39" s="19">
        <f t="shared" si="1"/>
        <v>0</v>
      </c>
      <c r="O39" s="11"/>
      <c r="P39" s="2">
        <f>-13430.32</f>
        <v>-13430.32</v>
      </c>
      <c r="Q39" s="2"/>
      <c r="R39" s="19"/>
      <c r="S39" s="2"/>
      <c r="T39" s="2"/>
      <c r="U39" s="2"/>
      <c r="V39" s="19"/>
      <c r="W39" s="2"/>
      <c r="X39" s="2">
        <f t="shared" si="2"/>
        <v>-13430.32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-387.96</f>
        <v>-387.96</v>
      </c>
      <c r="Q40" s="2"/>
      <c r="R40" s="19"/>
      <c r="S40" s="2"/>
      <c r="T40" s="2"/>
      <c r="U40" s="2"/>
      <c r="V40" s="19"/>
      <c r="W40" s="2"/>
      <c r="X40" s="2">
        <f t="shared" si="2"/>
        <v>-387.96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46642.580000000038</v>
      </c>
      <c r="E42" s="4"/>
      <c r="F42" s="12">
        <f t="shared" ref="F42:F58" si="6">IF(D$12=0,0,D42/D$12)</f>
        <v>0.73984920854472291</v>
      </c>
      <c r="G42" s="4"/>
      <c r="H42" s="4">
        <f>SUM(OSRRefH16x_0)</f>
        <v>49802</v>
      </c>
      <c r="I42" s="4"/>
      <c r="J42" s="12">
        <f t="shared" ref="J42:J58" si="7">IF(H$12=0,0,H42/H$12)</f>
        <v>0.72129770439568397</v>
      </c>
      <c r="K42" s="4"/>
      <c r="L42" s="4">
        <f t="shared" ref="L42:L58" si="8">+D42-H42</f>
        <v>-3159.4199999999619</v>
      </c>
      <c r="M42" s="4"/>
      <c r="N42" s="12">
        <f t="shared" ref="N42:N58" si="9">IF(H42=0,0,L42/H42)</f>
        <v>-6.343962089875832E-2</v>
      </c>
      <c r="O42" s="10"/>
      <c r="P42" s="4">
        <f>SUM(OSRRefP16x_0)</f>
        <v>1485404.19</v>
      </c>
      <c r="Q42" s="4"/>
      <c r="R42" s="12">
        <f t="shared" ref="R42:R58" si="10">IF(P$12=0,0,P42/P$12)</f>
        <v>0.72911157553542949</v>
      </c>
      <c r="S42" s="4"/>
      <c r="T42" s="4">
        <f>SUM(OSRRefT16x_0)</f>
        <v>1527458</v>
      </c>
      <c r="U42" s="4"/>
      <c r="V42" s="12">
        <f t="shared" ref="V42:V58" si="11">IF(T$12=0,0,T42/T$12)</f>
        <v>0.7194890568711092</v>
      </c>
      <c r="W42" s="4"/>
      <c r="X42" s="4">
        <f t="shared" ref="X42:X58" si="12">+P42-T42</f>
        <v>-42053.810000000056</v>
      </c>
      <c r="Y42" s="4"/>
      <c r="Z42" s="12">
        <f t="shared" ref="Z42:Z58" si="13">IF(T42=0,0,X42/T42)</f>
        <v>-2.7531892857283184E-2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6"/>
        <v>0</v>
      </c>
      <c r="G43" s="2"/>
      <c r="H43" s="2">
        <v>49802</v>
      </c>
      <c r="I43" s="2"/>
      <c r="J43" s="19">
        <f t="shared" si="7"/>
        <v>0.72129770439568397</v>
      </c>
      <c r="K43" s="2"/>
      <c r="L43" s="2">
        <f t="shared" si="8"/>
        <v>-49802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1527458</v>
      </c>
      <c r="U43" s="2"/>
      <c r="V43" s="19">
        <f t="shared" si="11"/>
        <v>0.7194890568711092</v>
      </c>
      <c r="W43" s="2"/>
      <c r="X43" s="2">
        <f t="shared" si="12"/>
        <v>-1527458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162207.46000000002</v>
      </c>
      <c r="E44" s="2"/>
      <c r="F44" s="19">
        <f t="shared" si="6"/>
        <v>2.5729507437420853</v>
      </c>
      <c r="G44" s="2"/>
      <c r="H44" s="2"/>
      <c r="I44" s="2"/>
      <c r="J44" s="19">
        <f t="shared" si="7"/>
        <v>0</v>
      </c>
      <c r="K44" s="2"/>
      <c r="L44" s="2">
        <f t="shared" si="8"/>
        <v>162207.46000000002</v>
      </c>
      <c r="M44" s="2"/>
      <c r="N44" s="19">
        <f t="shared" si="9"/>
        <v>0</v>
      </c>
      <c r="O44" s="11"/>
      <c r="P44" s="2">
        <v>1434989.29</v>
      </c>
      <c r="Q44" s="2"/>
      <c r="R44" s="19">
        <f t="shared" si="10"/>
        <v>0.70436539034427215</v>
      </c>
      <c r="S44" s="2"/>
      <c r="T44" s="2"/>
      <c r="U44" s="2"/>
      <c r="V44" s="19">
        <f t="shared" si="11"/>
        <v>0</v>
      </c>
      <c r="W44" s="2"/>
      <c r="X44" s="2">
        <f t="shared" si="12"/>
        <v>1434989.29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47515.25</v>
      </c>
      <c r="E45" s="2"/>
      <c r="F45" s="19">
        <f t="shared" si="6"/>
        <v>0.75369158623525145</v>
      </c>
      <c r="G45" s="2"/>
      <c r="H45" s="2"/>
      <c r="I45" s="2"/>
      <c r="J45" s="19">
        <f t="shared" si="7"/>
        <v>0</v>
      </c>
      <c r="K45" s="2"/>
      <c r="L45" s="2">
        <f t="shared" si="8"/>
        <v>47515.25</v>
      </c>
      <c r="M45" s="2"/>
      <c r="N45" s="19">
        <f t="shared" si="9"/>
        <v>0</v>
      </c>
      <c r="O45" s="11"/>
      <c r="P45" s="2">
        <v>-114508.34999999999</v>
      </c>
      <c r="Q45" s="2"/>
      <c r="R45" s="19">
        <f t="shared" si="10"/>
        <v>-5.6206495203478854E-2</v>
      </c>
      <c r="S45" s="2"/>
      <c r="T45" s="2"/>
      <c r="U45" s="2"/>
      <c r="V45" s="19">
        <f t="shared" si="11"/>
        <v>0</v>
      </c>
      <c r="W45" s="2"/>
      <c r="X45" s="2">
        <f t="shared" si="12"/>
        <v>-114508.34999999999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-78.400000000000006</v>
      </c>
      <c r="Q46" s="2"/>
      <c r="R46" s="19">
        <f t="shared" si="10"/>
        <v>-3.8482689026195409E-5</v>
      </c>
      <c r="S46" s="2"/>
      <c r="T46" s="2"/>
      <c r="U46" s="2"/>
      <c r="V46" s="19">
        <f t="shared" si="11"/>
        <v>0</v>
      </c>
      <c r="W46" s="2"/>
      <c r="X46" s="2">
        <f t="shared" si="12"/>
        <v>-78.400000000000006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31572.300000000003</v>
      </c>
      <c r="E47" s="2"/>
      <c r="F47" s="19">
        <f t="shared" si="6"/>
        <v>0.50080293943723819</v>
      </c>
      <c r="G47" s="2"/>
      <c r="H47" s="2"/>
      <c r="I47" s="2"/>
      <c r="J47" s="19">
        <f t="shared" si="7"/>
        <v>0</v>
      </c>
      <c r="K47" s="2"/>
      <c r="L47" s="2">
        <f t="shared" si="8"/>
        <v>31572.300000000003</v>
      </c>
      <c r="M47" s="2"/>
      <c r="N47" s="19">
        <f t="shared" si="9"/>
        <v>0</v>
      </c>
      <c r="O47" s="11"/>
      <c r="P47" s="2">
        <v>354352.27</v>
      </c>
      <c r="Q47" s="2"/>
      <c r="R47" s="19">
        <f t="shared" si="10"/>
        <v>0.17393403331806673</v>
      </c>
      <c r="S47" s="2"/>
      <c r="T47" s="2"/>
      <c r="U47" s="2"/>
      <c r="V47" s="19">
        <f t="shared" si="11"/>
        <v>0</v>
      </c>
      <c r="W47" s="2"/>
      <c r="X47" s="2">
        <f t="shared" si="12"/>
        <v>354352.27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1161</v>
      </c>
      <c r="E48" s="2"/>
      <c r="F48" s="19">
        <f t="shared" si="6"/>
        <v>1.8415896614647445E-2</v>
      </c>
      <c r="G48" s="2"/>
      <c r="H48" s="2"/>
      <c r="I48" s="2"/>
      <c r="J48" s="19">
        <f t="shared" si="7"/>
        <v>0</v>
      </c>
      <c r="K48" s="2"/>
      <c r="L48" s="2">
        <f t="shared" si="8"/>
        <v>1161</v>
      </c>
      <c r="M48" s="2"/>
      <c r="N48" s="19">
        <f t="shared" si="9"/>
        <v>0</v>
      </c>
      <c r="O48" s="11"/>
      <c r="P48" s="2">
        <v>4902</v>
      </c>
      <c r="Q48" s="2"/>
      <c r="R48" s="19">
        <f t="shared" si="10"/>
        <v>2.4061497653878809E-3</v>
      </c>
      <c r="S48" s="2"/>
      <c r="T48" s="2"/>
      <c r="U48" s="2"/>
      <c r="V48" s="19">
        <f t="shared" si="11"/>
        <v>0</v>
      </c>
      <c r="W48" s="2"/>
      <c r="X48" s="2">
        <f t="shared" si="12"/>
        <v>4902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37.17</v>
      </c>
      <c r="E49" s="2"/>
      <c r="F49" s="19">
        <f t="shared" si="6"/>
        <v>5.8959420944568956E-4</v>
      </c>
      <c r="G49" s="2"/>
      <c r="H49" s="2"/>
      <c r="I49" s="2"/>
      <c r="J49" s="19">
        <f t="shared" si="7"/>
        <v>0</v>
      </c>
      <c r="K49" s="2"/>
      <c r="L49" s="2">
        <f t="shared" si="8"/>
        <v>37.17</v>
      </c>
      <c r="M49" s="2"/>
      <c r="N49" s="19">
        <f t="shared" si="9"/>
        <v>0</v>
      </c>
      <c r="O49" s="11"/>
      <c r="P49" s="2">
        <v>735.31</v>
      </c>
      <c r="Q49" s="2"/>
      <c r="R49" s="19">
        <f t="shared" si="10"/>
        <v>3.6092737331443544E-4</v>
      </c>
      <c r="S49" s="2"/>
      <c r="T49" s="2"/>
      <c r="U49" s="2"/>
      <c r="V49" s="19">
        <f t="shared" si="11"/>
        <v>0</v>
      </c>
      <c r="W49" s="2"/>
      <c r="X49" s="2">
        <f t="shared" si="12"/>
        <v>735.31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56.98</v>
      </c>
      <c r="E50" s="2"/>
      <c r="F50" s="19">
        <f t="shared" si="6"/>
        <v>9.0382238510130174E-4</v>
      </c>
      <c r="G50" s="2"/>
      <c r="H50" s="2"/>
      <c r="I50" s="2"/>
      <c r="J50" s="19">
        <f t="shared" si="7"/>
        <v>0</v>
      </c>
      <c r="K50" s="2"/>
      <c r="L50" s="2">
        <f t="shared" si="8"/>
        <v>56.98</v>
      </c>
      <c r="M50" s="2"/>
      <c r="N50" s="19">
        <f t="shared" si="9"/>
        <v>0</v>
      </c>
      <c r="O50" s="11"/>
      <c r="P50" s="2">
        <v>499.33</v>
      </c>
      <c r="Q50" s="2"/>
      <c r="R50" s="19">
        <f t="shared" si="10"/>
        <v>2.4509644274808867E-4</v>
      </c>
      <c r="S50" s="2"/>
      <c r="T50" s="2"/>
      <c r="U50" s="2"/>
      <c r="V50" s="19">
        <f t="shared" si="11"/>
        <v>0</v>
      </c>
      <c r="W50" s="2"/>
      <c r="X50" s="2">
        <f t="shared" si="12"/>
        <v>499.33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196.31</v>
      </c>
      <c r="E51" s="2"/>
      <c r="F51" s="19">
        <f t="shared" si="6"/>
        <v>3.1138885998462013E-3</v>
      </c>
      <c r="G51" s="2"/>
      <c r="H51" s="2"/>
      <c r="I51" s="2"/>
      <c r="J51" s="19">
        <f t="shared" si="7"/>
        <v>0</v>
      </c>
      <c r="K51" s="2"/>
      <c r="L51" s="2">
        <f t="shared" si="8"/>
        <v>196.31</v>
      </c>
      <c r="M51" s="2"/>
      <c r="N51" s="19">
        <f t="shared" si="9"/>
        <v>0</v>
      </c>
      <c r="O51" s="11"/>
      <c r="P51" s="2">
        <v>998.4</v>
      </c>
      <c r="Q51" s="2"/>
      <c r="R51" s="19">
        <f t="shared" si="10"/>
        <v>4.9006526433359042E-4</v>
      </c>
      <c r="S51" s="2"/>
      <c r="T51" s="2"/>
      <c r="U51" s="2"/>
      <c r="V51" s="19">
        <f t="shared" si="11"/>
        <v>0</v>
      </c>
      <c r="W51" s="2"/>
      <c r="X51" s="2">
        <f t="shared" si="12"/>
        <v>998.4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-247490</v>
      </c>
      <c r="E52" s="2"/>
      <c r="F52" s="19">
        <f t="shared" si="6"/>
        <v>-3.925710812367869</v>
      </c>
      <c r="G52" s="2"/>
      <c r="H52" s="2"/>
      <c r="I52" s="2"/>
      <c r="J52" s="19">
        <f t="shared" si="7"/>
        <v>0</v>
      </c>
      <c r="K52" s="2"/>
      <c r="L52" s="2">
        <f t="shared" si="8"/>
        <v>-247490</v>
      </c>
      <c r="M52" s="2"/>
      <c r="N52" s="19">
        <f t="shared" si="9"/>
        <v>0</v>
      </c>
      <c r="O52" s="11"/>
      <c r="P52" s="2">
        <v>-1728365</v>
      </c>
      <c r="Q52" s="2"/>
      <c r="R52" s="19">
        <f t="shared" si="10"/>
        <v>-0.84836904105561506</v>
      </c>
      <c r="S52" s="2"/>
      <c r="T52" s="2"/>
      <c r="U52" s="2"/>
      <c r="V52" s="19">
        <f t="shared" si="11"/>
        <v>0</v>
      </c>
      <c r="W52" s="2"/>
      <c r="X52" s="2">
        <f t="shared" si="12"/>
        <v>-1728365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46642.47</v>
      </c>
      <c r="E53" s="2"/>
      <c r="F53" s="19">
        <f t="shared" si="6"/>
        <v>0.73984746371386312</v>
      </c>
      <c r="G53" s="2"/>
      <c r="H53" s="2"/>
      <c r="I53" s="2"/>
      <c r="J53" s="19">
        <f t="shared" si="7"/>
        <v>0</v>
      </c>
      <c r="K53" s="2"/>
      <c r="L53" s="2">
        <f t="shared" si="8"/>
        <v>46642.47</v>
      </c>
      <c r="M53" s="2"/>
      <c r="N53" s="19">
        <f t="shared" si="9"/>
        <v>0</v>
      </c>
      <c r="O53" s="11"/>
      <c r="P53" s="2">
        <v>1485407.4700000002</v>
      </c>
      <c r="Q53" s="2"/>
      <c r="R53" s="19">
        <f t="shared" si="10"/>
        <v>0.72911318552548066</v>
      </c>
      <c r="S53" s="2"/>
      <c r="T53" s="2"/>
      <c r="U53" s="2"/>
      <c r="V53" s="19">
        <f t="shared" si="11"/>
        <v>0</v>
      </c>
      <c r="W53" s="2"/>
      <c r="X53" s="2">
        <f t="shared" si="12"/>
        <v>1485407.4700000002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4162.3900000000003</v>
      </c>
      <c r="E54" s="2"/>
      <c r="F54" s="19">
        <f t="shared" si="6"/>
        <v>6.6024241093748826E-2</v>
      </c>
      <c r="G54" s="2"/>
      <c r="H54" s="2"/>
      <c r="I54" s="2"/>
      <c r="J54" s="19">
        <f t="shared" si="7"/>
        <v>0</v>
      </c>
      <c r="K54" s="2"/>
      <c r="L54" s="2">
        <f t="shared" si="8"/>
        <v>4162.3900000000003</v>
      </c>
      <c r="M54" s="2"/>
      <c r="N54" s="19">
        <f t="shared" si="9"/>
        <v>0</v>
      </c>
      <c r="O54" s="11"/>
      <c r="P54" s="2">
        <v>38669.939999999995</v>
      </c>
      <c r="Q54" s="2"/>
      <c r="R54" s="19">
        <f t="shared" si="10"/>
        <v>1.8981164230633094E-2</v>
      </c>
      <c r="S54" s="2"/>
      <c r="T54" s="2"/>
      <c r="U54" s="2"/>
      <c r="V54" s="19">
        <f t="shared" si="11"/>
        <v>0</v>
      </c>
      <c r="W54" s="2"/>
      <c r="X54" s="2">
        <f t="shared" si="12"/>
        <v>38669.939999999995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563.29999999999995</v>
      </c>
      <c r="E55" s="2"/>
      <c r="F55" s="19">
        <f t="shared" si="6"/>
        <v>8.9351202093289443E-3</v>
      </c>
      <c r="G55" s="2"/>
      <c r="H55" s="2"/>
      <c r="I55" s="2"/>
      <c r="J55" s="19">
        <f t="shared" si="7"/>
        <v>0</v>
      </c>
      <c r="K55" s="2"/>
      <c r="L55" s="2">
        <f t="shared" si="8"/>
        <v>563.29999999999995</v>
      </c>
      <c r="M55" s="2"/>
      <c r="N55" s="19">
        <f t="shared" si="9"/>
        <v>0</v>
      </c>
      <c r="O55" s="11"/>
      <c r="P55" s="2">
        <v>7653.42</v>
      </c>
      <c r="Q55" s="2"/>
      <c r="R55" s="19">
        <f t="shared" si="10"/>
        <v>3.7566859929446992E-3</v>
      </c>
      <c r="S55" s="2"/>
      <c r="T55" s="2"/>
      <c r="U55" s="2"/>
      <c r="V55" s="19">
        <f t="shared" si="11"/>
        <v>0</v>
      </c>
      <c r="W55" s="2"/>
      <c r="X55" s="2">
        <f t="shared" si="12"/>
        <v>7653.42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105.97</v>
      </c>
      <c r="Q56" s="2"/>
      <c r="R56" s="19">
        <f t="shared" si="10"/>
        <v>5.2015440766657231E-5</v>
      </c>
      <c r="S56" s="2"/>
      <c r="T56" s="2"/>
      <c r="U56" s="2"/>
      <c r="V56" s="19">
        <f t="shared" si="11"/>
        <v>0</v>
      </c>
      <c r="W56" s="2"/>
      <c r="X56" s="2">
        <f t="shared" si="12"/>
        <v>105.97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9.08</v>
      </c>
      <c r="E57" s="2"/>
      <c r="F57" s="19">
        <f t="shared" si="6"/>
        <v>1.4402785638328923E-4</v>
      </c>
      <c r="G57" s="2"/>
      <c r="H57" s="2"/>
      <c r="I57" s="2"/>
      <c r="J57" s="19">
        <f t="shared" si="7"/>
        <v>0</v>
      </c>
      <c r="K57" s="2"/>
      <c r="L57" s="2">
        <f t="shared" si="8"/>
        <v>9.08</v>
      </c>
      <c r="M57" s="2"/>
      <c r="N57" s="19">
        <f t="shared" si="9"/>
        <v>0</v>
      </c>
      <c r="O57" s="11"/>
      <c r="P57" s="2">
        <v>21.41</v>
      </c>
      <c r="Q57" s="2"/>
      <c r="R57" s="19">
        <f t="shared" si="10"/>
        <v>1.0509111888403618E-5</v>
      </c>
      <c r="S57" s="2"/>
      <c r="T57" s="2"/>
      <c r="U57" s="2"/>
      <c r="V57" s="19">
        <f t="shared" si="11"/>
        <v>0</v>
      </c>
      <c r="W57" s="2"/>
      <c r="X57" s="2">
        <f t="shared" si="12"/>
        <v>21.41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>
        <v>8.8699999999999992</v>
      </c>
      <c r="E58" s="2"/>
      <c r="F58" s="19">
        <f t="shared" si="6"/>
        <v>1.4069681565195765E-4</v>
      </c>
      <c r="G58" s="2"/>
      <c r="H58" s="2"/>
      <c r="I58" s="2"/>
      <c r="J58" s="19">
        <f t="shared" si="7"/>
        <v>0</v>
      </c>
      <c r="K58" s="2"/>
      <c r="L58" s="2">
        <f t="shared" si="8"/>
        <v>8.8699999999999992</v>
      </c>
      <c r="M58" s="2"/>
      <c r="N58" s="19">
        <f t="shared" si="9"/>
        <v>0</v>
      </c>
      <c r="O58" s="11"/>
      <c r="P58" s="2">
        <v>21.13</v>
      </c>
      <c r="Q58" s="2"/>
      <c r="R58" s="19">
        <f t="shared" si="10"/>
        <v>1.0371673713310062E-5</v>
      </c>
      <c r="S58" s="2"/>
      <c r="T58" s="2"/>
      <c r="U58" s="2"/>
      <c r="V58" s="19">
        <f t="shared" si="11"/>
        <v>0</v>
      </c>
      <c r="W58" s="2"/>
      <c r="X58" s="2">
        <f t="shared" si="12"/>
        <v>21.13</v>
      </c>
      <c r="Y58" s="2"/>
      <c r="Z58" s="19">
        <f t="shared" si="13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2">
        <f>D12-D42</f>
        <v>16400.779999999955</v>
      </c>
      <c r="E60" s="14"/>
      <c r="F60" s="20">
        <f>IF(D$12=0,0,D60/D$12)</f>
        <v>0.26015079145527709</v>
      </c>
      <c r="G60" s="14"/>
      <c r="H60" s="22">
        <f>H12-H42</f>
        <v>19243</v>
      </c>
      <c r="I60" s="14"/>
      <c r="J60" s="20">
        <f>IF(H$12=0,0,H60/H$12)</f>
        <v>0.27870229560431603</v>
      </c>
      <c r="K60" s="16"/>
      <c r="L60" s="22">
        <f>+D60-H60</f>
        <v>-2842.2200000000448</v>
      </c>
      <c r="M60" s="16"/>
      <c r="N60" s="20">
        <f>IF(H60=0,0,L60/H60)</f>
        <v>-0.14770150184482903</v>
      </c>
      <c r="O60" s="28"/>
      <c r="P60" s="22">
        <f>P12-P42</f>
        <v>551875.48000000021</v>
      </c>
      <c r="Q60" s="14"/>
      <c r="R60" s="20">
        <f>IF(P$12=0,0,P60/P$12)</f>
        <v>0.27088842446457051</v>
      </c>
      <c r="S60" s="14"/>
      <c r="T60" s="22">
        <f>T12-T42</f>
        <v>595518</v>
      </c>
      <c r="U60" s="14"/>
      <c r="V60" s="20">
        <f>IF(T$12=0,0,T60/T$12)</f>
        <v>0.28051094312889074</v>
      </c>
      <c r="W60" s="16"/>
      <c r="X60" s="22">
        <f>+P60-T60</f>
        <v>-43642.519999999786</v>
      </c>
      <c r="Y60" s="16"/>
      <c r="Z60" s="20">
        <f>IF(T60=0,0,X60/T60)</f>
        <v>-7.3284972074731225E-2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1">
        <f>SUM(OSRRefD22x_0)</f>
        <v>46337.939999999988</v>
      </c>
      <c r="E62" s="21"/>
      <c r="F62" s="30">
        <f t="shared" ref="F62:F73" si="14">IF(D$12=0,0,D62/D$12)</f>
        <v>0.73501697879047045</v>
      </c>
      <c r="G62" s="21"/>
      <c r="H62" s="21">
        <f>SUM(OSRRefH22x_0)</f>
        <v>55655.112860297872</v>
      </c>
      <c r="I62" s="21"/>
      <c r="J62" s="30">
        <f t="shared" ref="J62:J73" si="15">IF(H$12=0,0,H62/H$12)</f>
        <v>0.8060701406372347</v>
      </c>
      <c r="K62" s="4"/>
      <c r="L62" s="21">
        <f t="shared" ref="L62:L73" si="16">+D62-H62</f>
        <v>-9317.1728602978837</v>
      </c>
      <c r="M62" s="4"/>
      <c r="N62" s="30">
        <f t="shared" ref="N62:N73" si="17">IF(H62=0,0,L62/H62)</f>
        <v>-0.16740910909093459</v>
      </c>
      <c r="O62" s="10"/>
      <c r="P62" s="21">
        <f>SUM(OSRRefP22x_0)</f>
        <v>255586.98999999993</v>
      </c>
      <c r="Q62" s="21"/>
      <c r="R62" s="30">
        <f t="shared" ref="R62:R73" si="18">IF(P$12=0,0,P62/P$12)</f>
        <v>0.12545503386876675</v>
      </c>
      <c r="S62" s="21"/>
      <c r="T62" s="21">
        <f>SUM(OSRRefT22x_0)</f>
        <v>335115.82781893597</v>
      </c>
      <c r="U62" s="21"/>
      <c r="V62" s="30">
        <f t="shared" ref="V62:V73" si="19">IF(T$12=0,0,T62/T$12)</f>
        <v>0.15785191533909756</v>
      </c>
      <c r="W62" s="4"/>
      <c r="X62" s="21">
        <f t="shared" ref="X62:X73" si="20">+P62-T62</f>
        <v>-79528.837818936037</v>
      </c>
      <c r="Y62" s="4"/>
      <c r="Z62" s="30">
        <f t="shared" ref="Z62:Z73" si="21">IF(T62=0,0,X62/T62)</f>
        <v>-0.23731746225339645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9543.23</v>
      </c>
      <c r="E63" s="1"/>
      <c r="F63" s="5">
        <f t="shared" si="14"/>
        <v>0.15137565637364506</v>
      </c>
      <c r="G63" s="1"/>
      <c r="H63" s="1">
        <f>SUM(OSRRefH22_0x_0)</f>
        <v>11962.495644574772</v>
      </c>
      <c r="I63" s="1"/>
      <c r="J63" s="5">
        <f t="shared" si="15"/>
        <v>0.17325650872003437</v>
      </c>
      <c r="K63" s="1"/>
      <c r="L63" s="1">
        <f t="shared" si="16"/>
        <v>-2419.2656445747725</v>
      </c>
      <c r="M63" s="1"/>
      <c r="N63" s="5">
        <f t="shared" si="17"/>
        <v>-0.20223753608403253</v>
      </c>
      <c r="O63" s="13"/>
      <c r="P63" s="1">
        <f>SUM(OSRRefP22_0x_0)</f>
        <v>60890.789999999994</v>
      </c>
      <c r="Q63" s="1"/>
      <c r="R63" s="5">
        <f t="shared" si="18"/>
        <v>2.9888282348588886E-2</v>
      </c>
      <c r="S63" s="1"/>
      <c r="T63" s="1">
        <f>SUM(OSRRefT22_0x_0)</f>
        <v>76568.720916735998</v>
      </c>
      <c r="U63" s="1"/>
      <c r="V63" s="5">
        <f t="shared" si="19"/>
        <v>3.606669171801094E-2</v>
      </c>
      <c r="W63" s="1"/>
      <c r="X63" s="1">
        <f t="shared" si="20"/>
        <v>-15677.930916736004</v>
      </c>
      <c r="Y63" s="1"/>
      <c r="Z63" s="5">
        <f t="shared" si="21"/>
        <v>-0.20475633821524636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6">
        <v>1559.53</v>
      </c>
      <c r="E64" s="2"/>
      <c r="F64" s="7">
        <f t="shared" si="14"/>
        <v>2.4737418817778752E-2</v>
      </c>
      <c r="G64" s="2"/>
      <c r="H64" s="6">
        <v>1602.9579046486201</v>
      </c>
      <c r="I64" s="2"/>
      <c r="J64" s="7">
        <f t="shared" si="15"/>
        <v>2.3216133024094723E-2</v>
      </c>
      <c r="K64" s="2"/>
      <c r="L64" s="6">
        <f t="shared" si="16"/>
        <v>-43.427904648620142</v>
      </c>
      <c r="M64" s="2"/>
      <c r="N64" s="7">
        <f t="shared" si="17"/>
        <v>-2.7092355028586888E-2</v>
      </c>
      <c r="O64" s="11"/>
      <c r="P64" s="6">
        <v>10634.91</v>
      </c>
      <c r="Q64" s="2"/>
      <c r="R64" s="7">
        <f t="shared" si="18"/>
        <v>5.22015222387214E-3</v>
      </c>
      <c r="S64" s="2"/>
      <c r="T64" s="6">
        <v>11033.95360521602</v>
      </c>
      <c r="U64" s="2"/>
      <c r="V64" s="7">
        <f t="shared" si="19"/>
        <v>5.1973991251978453E-3</v>
      </c>
      <c r="W64" s="2"/>
      <c r="X64" s="6">
        <f t="shared" si="20"/>
        <v>-399.0436052160203</v>
      </c>
      <c r="Y64" s="2"/>
      <c r="Z64" s="7">
        <f t="shared" si="21"/>
        <v>-3.6165061001106856E-2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6">
        <v>115.27</v>
      </c>
      <c r="E65" s="2"/>
      <c r="F65" s="7">
        <f t="shared" si="14"/>
        <v>1.8284241195266244E-3</v>
      </c>
      <c r="G65" s="2"/>
      <c r="H65" s="6">
        <v>529.00092950769204</v>
      </c>
      <c r="I65" s="2"/>
      <c r="J65" s="7">
        <f t="shared" si="15"/>
        <v>7.6616833877571448E-3</v>
      </c>
      <c r="K65" s="2"/>
      <c r="L65" s="6">
        <f t="shared" si="16"/>
        <v>-413.73092950769205</v>
      </c>
      <c r="M65" s="2"/>
      <c r="N65" s="7">
        <f t="shared" si="17"/>
        <v>-0.78209868155189344</v>
      </c>
      <c r="O65" s="11"/>
      <c r="P65" s="6">
        <v>383.33</v>
      </c>
      <c r="Q65" s="2"/>
      <c r="R65" s="7">
        <f t="shared" si="18"/>
        <v>1.8815777020933015E-4</v>
      </c>
      <c r="S65" s="2"/>
      <c r="T65" s="6">
        <v>3610.0303467999979</v>
      </c>
      <c r="U65" s="2"/>
      <c r="V65" s="7">
        <f t="shared" si="19"/>
        <v>1.7004574459626477E-3</v>
      </c>
      <c r="W65" s="2"/>
      <c r="X65" s="6">
        <f t="shared" si="20"/>
        <v>-3226.700346799998</v>
      </c>
      <c r="Y65" s="2"/>
      <c r="Z65" s="7">
        <f t="shared" si="21"/>
        <v>-0.89381529705427787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6">
        <v>4168.57</v>
      </c>
      <c r="E66" s="2"/>
      <c r="F66" s="7">
        <f t="shared" si="14"/>
        <v>6.6122268863842287E-2</v>
      </c>
      <c r="G66" s="2"/>
      <c r="H66" s="6">
        <v>5311.7692307692296</v>
      </c>
      <c r="I66" s="2"/>
      <c r="J66" s="7">
        <f t="shared" si="15"/>
        <v>7.6931989727992312E-2</v>
      </c>
      <c r="K66" s="2"/>
      <c r="L66" s="6">
        <f t="shared" si="16"/>
        <v>-1143.1992307692299</v>
      </c>
      <c r="M66" s="2"/>
      <c r="N66" s="7">
        <f t="shared" si="17"/>
        <v>-0.21522004836864425</v>
      </c>
      <c r="O66" s="11"/>
      <c r="P66" s="6">
        <v>25011.42</v>
      </c>
      <c r="Q66" s="2"/>
      <c r="R66" s="7">
        <f t="shared" si="18"/>
        <v>1.2276871147494442E-2</v>
      </c>
      <c r="S66" s="2"/>
      <c r="T66" s="6">
        <v>32814</v>
      </c>
      <c r="U66" s="2"/>
      <c r="V66" s="7">
        <f t="shared" si="19"/>
        <v>1.5456604313944199E-2</v>
      </c>
      <c r="W66" s="2"/>
      <c r="X66" s="6">
        <f t="shared" si="20"/>
        <v>-7802.5800000000017</v>
      </c>
      <c r="Y66" s="2"/>
      <c r="Z66" s="7">
        <f t="shared" si="21"/>
        <v>-0.2377820442494058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6">
        <v>88.15</v>
      </c>
      <c r="E67" s="2"/>
      <c r="F67" s="7">
        <f t="shared" si="14"/>
        <v>1.3982440022232319E-3</v>
      </c>
      <c r="G67" s="2"/>
      <c r="H67" s="6">
        <v>72.389600880000003</v>
      </c>
      <c r="I67" s="2"/>
      <c r="J67" s="7">
        <f t="shared" si="15"/>
        <v>1.0484408846404519E-3</v>
      </c>
      <c r="K67" s="2"/>
      <c r="L67" s="6">
        <f t="shared" si="16"/>
        <v>15.760399120000002</v>
      </c>
      <c r="M67" s="2"/>
      <c r="N67" s="7">
        <f t="shared" si="17"/>
        <v>0.21771634224266498</v>
      </c>
      <c r="O67" s="11"/>
      <c r="P67" s="6">
        <v>391.59</v>
      </c>
      <c r="Q67" s="2"/>
      <c r="R67" s="7">
        <f t="shared" si="18"/>
        <v>1.9221219637459002E-4</v>
      </c>
      <c r="S67" s="2"/>
      <c r="T67" s="6">
        <v>494.00415271999998</v>
      </c>
      <c r="U67" s="2"/>
      <c r="V67" s="7">
        <f t="shared" si="19"/>
        <v>2.326941768159414E-4</v>
      </c>
      <c r="W67" s="2"/>
      <c r="X67" s="6">
        <f t="shared" si="20"/>
        <v>-102.41415272</v>
      </c>
      <c r="Y67" s="2"/>
      <c r="Z67" s="7">
        <f t="shared" si="21"/>
        <v>-0.20731435587353864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6">
        <v>1325.86</v>
      </c>
      <c r="E68" s="2"/>
      <c r="F68" s="7">
        <f t="shared" si="14"/>
        <v>2.1030922209729939E-2</v>
      </c>
      <c r="G68" s="2"/>
      <c r="H68" s="6">
        <v>1235.9586478769202</v>
      </c>
      <c r="I68" s="2"/>
      <c r="J68" s="7">
        <f t="shared" si="15"/>
        <v>1.790076975707032E-2</v>
      </c>
      <c r="K68" s="2"/>
      <c r="L68" s="6">
        <f t="shared" si="16"/>
        <v>89.901352123079732</v>
      </c>
      <c r="M68" s="2"/>
      <c r="N68" s="7">
        <f t="shared" si="17"/>
        <v>7.273815533999349E-2</v>
      </c>
      <c r="O68" s="11"/>
      <c r="P68" s="6">
        <v>8432.4</v>
      </c>
      <c r="Q68" s="2"/>
      <c r="R68" s="7">
        <f t="shared" si="18"/>
        <v>4.1390488130674755E-3</v>
      </c>
      <c r="S68" s="2"/>
      <c r="T68" s="6">
        <v>8033.73121119998</v>
      </c>
      <c r="U68" s="2"/>
      <c r="V68" s="7">
        <f t="shared" si="19"/>
        <v>3.7841837171969819E-3</v>
      </c>
      <c r="W68" s="2"/>
      <c r="X68" s="6">
        <f t="shared" si="20"/>
        <v>398.66878880001968</v>
      </c>
      <c r="Y68" s="2"/>
      <c r="Z68" s="7">
        <f t="shared" si="21"/>
        <v>4.9624362369035675E-2</v>
      </c>
    </row>
    <row r="69" spans="1:26" s="24" customFormat="1" hidden="1" outlineLevel="2" x14ac:dyDescent="0.25">
      <c r="A69" s="26"/>
      <c r="B69" s="11" t="str">
        <f>CONCATENATE("          ", "6116", " - ", "EDUCATIONAL BENEFITS")</f>
        <v xml:space="preserve">          6116 - EDUCATIONAL BENEFITS</v>
      </c>
      <c r="C69" s="11"/>
      <c r="D69" s="6"/>
      <c r="E69" s="2"/>
      <c r="F69" s="7">
        <f t="shared" si="14"/>
        <v>0</v>
      </c>
      <c r="G69" s="2"/>
      <c r="H69" s="6">
        <v>0</v>
      </c>
      <c r="I69" s="2"/>
      <c r="J69" s="7">
        <f t="shared" si="15"/>
        <v>0</v>
      </c>
      <c r="K69" s="2"/>
      <c r="L69" s="6">
        <f t="shared" si="16"/>
        <v>0</v>
      </c>
      <c r="M69" s="2"/>
      <c r="N69" s="7">
        <f t="shared" si="17"/>
        <v>0</v>
      </c>
      <c r="O69" s="11"/>
      <c r="P69" s="6"/>
      <c r="Q69" s="2"/>
      <c r="R69" s="7">
        <f t="shared" si="18"/>
        <v>0</v>
      </c>
      <c r="S69" s="2"/>
      <c r="T69" s="6">
        <v>0</v>
      </c>
      <c r="U69" s="2"/>
      <c r="V69" s="7">
        <f t="shared" si="19"/>
        <v>0</v>
      </c>
      <c r="W69" s="2"/>
      <c r="X69" s="6">
        <f t="shared" si="20"/>
        <v>0</v>
      </c>
      <c r="Y69" s="2"/>
      <c r="Z69" s="7">
        <f t="shared" si="21"/>
        <v>0</v>
      </c>
    </row>
    <row r="70" spans="1:26" s="24" customFormat="1" hidden="1" outlineLevel="2" x14ac:dyDescent="0.25">
      <c r="A70" s="26"/>
      <c r="B70" s="11" t="str">
        <f>CONCATENATE("          ", "6117", " - ", "RETIREMENT STAFF HOURLY")</f>
        <v xml:space="preserve">          6117 - RETIREMENT STAFF HOURLY</v>
      </c>
      <c r="C70" s="11"/>
      <c r="D70" s="6">
        <v>92.54</v>
      </c>
      <c r="E70" s="2"/>
      <c r="F70" s="7">
        <f t="shared" si="14"/>
        <v>1.4678786156067827E-3</v>
      </c>
      <c r="G70" s="2"/>
      <c r="H70" s="6"/>
      <c r="I70" s="2"/>
      <c r="J70" s="7">
        <f t="shared" si="15"/>
        <v>0</v>
      </c>
      <c r="K70" s="2"/>
      <c r="L70" s="6">
        <f t="shared" si="16"/>
        <v>92.54</v>
      </c>
      <c r="M70" s="2"/>
      <c r="N70" s="7">
        <f t="shared" si="17"/>
        <v>0</v>
      </c>
      <c r="O70" s="11"/>
      <c r="P70" s="6">
        <v>738.74</v>
      </c>
      <c r="Q70" s="2"/>
      <c r="R70" s="7">
        <f t="shared" si="18"/>
        <v>3.6261099095933155E-4</v>
      </c>
      <c r="S70" s="2"/>
      <c r="T70" s="6"/>
      <c r="U70" s="2"/>
      <c r="V70" s="7">
        <f t="shared" si="19"/>
        <v>0</v>
      </c>
      <c r="W70" s="2"/>
      <c r="X70" s="6">
        <f t="shared" si="20"/>
        <v>738.74</v>
      </c>
      <c r="Y70" s="2"/>
      <c r="Z70" s="7">
        <f t="shared" si="21"/>
        <v>0</v>
      </c>
    </row>
    <row r="71" spans="1:26" s="24" customFormat="1" hidden="1" outlineLevel="2" x14ac:dyDescent="0.25">
      <c r="A71" s="26"/>
      <c r="B71" s="11" t="str">
        <f>CONCATENATE("          ", "6118", " - ", "VACATION")</f>
        <v xml:space="preserve">          6118 - VACATION</v>
      </c>
      <c r="C71" s="11"/>
      <c r="D71" s="6">
        <v>794.54</v>
      </c>
      <c r="E71" s="2"/>
      <c r="F71" s="7">
        <f t="shared" si="14"/>
        <v>1.2603071917486632E-2</v>
      </c>
      <c r="G71" s="2"/>
      <c r="H71" s="6">
        <v>1427.9603583999999</v>
      </c>
      <c r="I71" s="2"/>
      <c r="J71" s="7">
        <f t="shared" si="15"/>
        <v>2.0681589664711418E-2</v>
      </c>
      <c r="K71" s="2"/>
      <c r="L71" s="6">
        <f t="shared" si="16"/>
        <v>-633.42035839999994</v>
      </c>
      <c r="M71" s="2"/>
      <c r="N71" s="7">
        <f t="shared" si="17"/>
        <v>-0.44358399354288403</v>
      </c>
      <c r="O71" s="11"/>
      <c r="P71" s="6">
        <v>5636.46</v>
      </c>
      <c r="Q71" s="2"/>
      <c r="R71" s="7">
        <f t="shared" si="18"/>
        <v>2.7666599156707826E-3</v>
      </c>
      <c r="S71" s="2"/>
      <c r="T71" s="6">
        <v>9281.7423295999997</v>
      </c>
      <c r="U71" s="2"/>
      <c r="V71" s="7">
        <f t="shared" si="19"/>
        <v>4.3720429856955517E-3</v>
      </c>
      <c r="W71" s="2"/>
      <c r="X71" s="6">
        <f t="shared" si="20"/>
        <v>-3645.2823295999997</v>
      </c>
      <c r="Y71" s="2"/>
      <c r="Z71" s="7">
        <f t="shared" si="21"/>
        <v>-0.39273685911049144</v>
      </c>
    </row>
    <row r="72" spans="1:26" s="24" customFormat="1" hidden="1" outlineLevel="2" x14ac:dyDescent="0.25">
      <c r="A72" s="26"/>
      <c r="B72" s="11" t="str">
        <f>CONCATENATE("          ", "6119", " - ", "SICK LEAVE")</f>
        <v xml:space="preserve">          6119 - SICK LEAVE</v>
      </c>
      <c r="C72" s="11"/>
      <c r="D72" s="6">
        <v>801.74</v>
      </c>
      <c r="E72" s="2"/>
      <c r="F72" s="7">
        <f t="shared" si="14"/>
        <v>1.2717279028275144E-2</v>
      </c>
      <c r="G72" s="2"/>
      <c r="H72" s="6">
        <v>1032.4589724923101</v>
      </c>
      <c r="I72" s="2"/>
      <c r="J72" s="7">
        <f t="shared" si="15"/>
        <v>1.4953421283109712E-2</v>
      </c>
      <c r="K72" s="2"/>
      <c r="L72" s="6">
        <f t="shared" si="16"/>
        <v>-230.71897249231006</v>
      </c>
      <c r="M72" s="2"/>
      <c r="N72" s="7">
        <f t="shared" si="17"/>
        <v>-0.22346551159835892</v>
      </c>
      <c r="O72" s="11"/>
      <c r="P72" s="6">
        <v>6120.11</v>
      </c>
      <c r="Q72" s="2"/>
      <c r="R72" s="7">
        <f t="shared" si="18"/>
        <v>3.0040598206136321E-3</v>
      </c>
      <c r="S72" s="2"/>
      <c r="T72" s="6">
        <v>6801.2592711999996</v>
      </c>
      <c r="U72" s="2"/>
      <c r="V72" s="7">
        <f t="shared" si="19"/>
        <v>3.2036439748730082E-3</v>
      </c>
      <c r="W72" s="2"/>
      <c r="X72" s="6">
        <f t="shared" si="20"/>
        <v>-681.14927119999993</v>
      </c>
      <c r="Y72" s="2"/>
      <c r="Z72" s="7">
        <f t="shared" si="21"/>
        <v>-0.10015046391251886</v>
      </c>
    </row>
    <row r="73" spans="1:26" s="24" customFormat="1" hidden="1" outlineLevel="2" x14ac:dyDescent="0.25">
      <c r="A73" s="26"/>
      <c r="B73" s="11" t="str">
        <f>CONCATENATE("          ", "6156", " - ", "EMPLOYEE MEALS")</f>
        <v xml:space="preserve">          6156 - EMPLOYEE MEALS</v>
      </c>
      <c r="C73" s="11"/>
      <c r="D73" s="6">
        <v>597.03</v>
      </c>
      <c r="E73" s="2"/>
      <c r="F73" s="7">
        <f t="shared" si="14"/>
        <v>9.4701487991756782E-3</v>
      </c>
      <c r="G73" s="2"/>
      <c r="H73" s="6">
        <v>750</v>
      </c>
      <c r="I73" s="2"/>
      <c r="J73" s="7">
        <f t="shared" si="15"/>
        <v>1.0862480990658266E-2</v>
      </c>
      <c r="K73" s="2"/>
      <c r="L73" s="6">
        <f t="shared" si="16"/>
        <v>-152.97000000000003</v>
      </c>
      <c r="M73" s="2"/>
      <c r="N73" s="7">
        <f t="shared" si="17"/>
        <v>-0.20396000000000003</v>
      </c>
      <c r="O73" s="11"/>
      <c r="P73" s="6">
        <v>3541.83</v>
      </c>
      <c r="Q73" s="2"/>
      <c r="R73" s="7">
        <f t="shared" si="18"/>
        <v>1.738509470327164E-3</v>
      </c>
      <c r="S73" s="2"/>
      <c r="T73" s="6">
        <v>4500</v>
      </c>
      <c r="U73" s="2"/>
      <c r="V73" s="7">
        <f t="shared" si="19"/>
        <v>2.1196659783247669E-3</v>
      </c>
      <c r="W73" s="2"/>
      <c r="X73" s="6">
        <f t="shared" si="20"/>
        <v>-958.17000000000007</v>
      </c>
      <c r="Y73" s="2"/>
      <c r="Z73" s="7">
        <f t="shared" si="21"/>
        <v>-0.21292666666666668</v>
      </c>
    </row>
    <row r="74" spans="1:26" s="25" customFormat="1" outlineLevel="1" collapsed="1" x14ac:dyDescent="0.25">
      <c r="A74" s="27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24062.180000000004</v>
      </c>
      <c r="E74" s="1"/>
      <c r="F74" s="5">
        <f t="shared" ref="F74:F84" si="22">IF(D$12=0,0,D74/D$12)</f>
        <v>0.38167667459348625</v>
      </c>
      <c r="G74" s="1"/>
      <c r="H74" s="1">
        <f>SUM(OSRRefH22_1x_0)</f>
        <v>25527.617215723098</v>
      </c>
      <c r="I74" s="1"/>
      <c r="J74" s="5">
        <f t="shared" ref="J74:J84" si="23">IF(H$12=0,0,H74/H$12)</f>
        <v>0.36972434232345713</v>
      </c>
      <c r="K74" s="1"/>
      <c r="L74" s="1">
        <f t="shared" ref="L74:L84" si="24">+D74-H74</f>
        <v>-1465.4372157230937</v>
      </c>
      <c r="M74" s="1"/>
      <c r="N74" s="5">
        <f t="shared" ref="N74:N84" si="25">IF(H74=0,0,L74/H74)</f>
        <v>-5.7405953847525351E-2</v>
      </c>
      <c r="O74" s="13"/>
      <c r="P74" s="1">
        <f>SUM(OSRRefP22_1x_0)</f>
        <v>143018.14000000001</v>
      </c>
      <c r="Q74" s="1"/>
      <c r="R74" s="5">
        <f t="shared" ref="R74:R84" si="26">IF(P$12=0,0,P74/P$12)</f>
        <v>7.0200543453123446E-2</v>
      </c>
      <c r="S74" s="1"/>
      <c r="T74" s="1">
        <f>SUM(OSRRefT22_1x_0)</f>
        <v>174957.1069022</v>
      </c>
      <c r="U74" s="1"/>
      <c r="V74" s="5">
        <f t="shared" ref="V74:V84" si="27">IF(T$12=0,0,T74/T$12)</f>
        <v>8.2411250481493906E-2</v>
      </c>
      <c r="W74" s="1"/>
      <c r="X74" s="1">
        <f t="shared" ref="X74:X84" si="28">+P74-T74</f>
        <v>-31938.966902199987</v>
      </c>
      <c r="Y74" s="1"/>
      <c r="Z74" s="5">
        <f t="shared" ref="Z74:Z84" si="29">IF(T74=0,0,X74/T74)</f>
        <v>-0.18255312669323964</v>
      </c>
    </row>
    <row r="75" spans="1:26" s="24" customFormat="1" hidden="1" outlineLevel="2" x14ac:dyDescent="0.25">
      <c r="A75" s="26"/>
      <c r="B75" s="11" t="str">
        <f>CONCATENATE("          ", "6001", " - ", "ADMINISTRATIVE SALARIES")</f>
        <v xml:space="preserve">          6001 - ADMINISTRATIVE SALARIES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/>
      <c r="Q75" s="2"/>
      <c r="R75" s="7">
        <f t="shared" si="26"/>
        <v>0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0</v>
      </c>
      <c r="Y75" s="2"/>
      <c r="Z75" s="7">
        <f t="shared" si="29"/>
        <v>0</v>
      </c>
    </row>
    <row r="76" spans="1:26" s="24" customFormat="1" hidden="1" outlineLevel="2" x14ac:dyDescent="0.25">
      <c r="A76" s="26"/>
      <c r="B76" s="11" t="str">
        <f>CONCATENATE("          ", "6002", " - ", "STAFF SALARIES")</f>
        <v xml:space="preserve">          6002 - STAFF SALARIES</v>
      </c>
      <c r="C76" s="11"/>
      <c r="D76" s="6">
        <v>14382.75</v>
      </c>
      <c r="E76" s="2"/>
      <c r="F76" s="7">
        <f t="shared" si="22"/>
        <v>0.22814060037409176</v>
      </c>
      <c r="G76" s="2"/>
      <c r="H76" s="6">
        <v>12765.0123437231</v>
      </c>
      <c r="I76" s="2"/>
      <c r="J76" s="7">
        <f t="shared" si="23"/>
        <v>0.18487960523894706</v>
      </c>
      <c r="K76" s="2"/>
      <c r="L76" s="6">
        <f t="shared" si="24"/>
        <v>1617.7376562769005</v>
      </c>
      <c r="M76" s="2"/>
      <c r="N76" s="7">
        <f t="shared" si="25"/>
        <v>0.12673216544693633</v>
      </c>
      <c r="O76" s="11"/>
      <c r="P76" s="6">
        <v>89028.58</v>
      </c>
      <c r="Q76" s="2"/>
      <c r="R76" s="7">
        <f t="shared" si="26"/>
        <v>4.3699734165609176E-2</v>
      </c>
      <c r="S76" s="2"/>
      <c r="T76" s="6">
        <v>82972.580234199995</v>
      </c>
      <c r="U76" s="2"/>
      <c r="V76" s="7">
        <f t="shared" si="27"/>
        <v>3.908314565694572E-2</v>
      </c>
      <c r="W76" s="2"/>
      <c r="X76" s="6">
        <f t="shared" si="28"/>
        <v>6055.9997658000066</v>
      </c>
      <c r="Y76" s="2"/>
      <c r="Z76" s="7">
        <f t="shared" si="29"/>
        <v>7.2987964803628208E-2</v>
      </c>
    </row>
    <row r="77" spans="1:26" s="24" customFormat="1" hidden="1" outlineLevel="2" x14ac:dyDescent="0.25">
      <c r="A77" s="26"/>
      <c r="B77" s="11" t="str">
        <f>CONCATENATE("          ", "6003", " - ", "STAFF HOURLY-9 MONTH")</f>
        <v xml:space="preserve">          6003 - STAFF HOURLY-9 MONTH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/>
      <c r="Q77" s="2"/>
      <c r="R77" s="7">
        <f t="shared" si="26"/>
        <v>0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0</v>
      </c>
      <c r="Y77" s="2"/>
      <c r="Z77" s="7">
        <f t="shared" si="29"/>
        <v>0</v>
      </c>
    </row>
    <row r="78" spans="1:26" s="24" customFormat="1" hidden="1" outlineLevel="2" x14ac:dyDescent="0.25">
      <c r="A78" s="26"/>
      <c r="B78" s="11" t="str">
        <f>CONCATENATE("          ", "6004", " - ", "STAFF HOURLY")</f>
        <v xml:space="preserve">          6004 - STAFF HOURLY</v>
      </c>
      <c r="C78" s="11"/>
      <c r="D78" s="6">
        <v>3238.83</v>
      </c>
      <c r="E78" s="2"/>
      <c r="F78" s="7">
        <f t="shared" si="22"/>
        <v>5.1374641199326943E-2</v>
      </c>
      <c r="G78" s="2"/>
      <c r="H78" s="6">
        <v>5865.9348719999998</v>
      </c>
      <c r="I78" s="2"/>
      <c r="J78" s="7">
        <f t="shared" si="23"/>
        <v>8.4958141386052566E-2</v>
      </c>
      <c r="K78" s="2"/>
      <c r="L78" s="6">
        <f t="shared" si="24"/>
        <v>-2627.1048719999999</v>
      </c>
      <c r="M78" s="2"/>
      <c r="N78" s="7">
        <f t="shared" si="25"/>
        <v>-0.44785783158623516</v>
      </c>
      <c r="O78" s="11"/>
      <c r="P78" s="6">
        <v>18551.86</v>
      </c>
      <c r="Q78" s="2"/>
      <c r="R78" s="7">
        <f t="shared" si="26"/>
        <v>9.1061920821111416E-3</v>
      </c>
      <c r="S78" s="2"/>
      <c r="T78" s="6">
        <v>38128.576668000002</v>
      </c>
      <c r="U78" s="2"/>
      <c r="V78" s="7">
        <f t="shared" si="27"/>
        <v>1.7959965947801578E-2</v>
      </c>
      <c r="W78" s="2"/>
      <c r="X78" s="6">
        <f t="shared" si="28"/>
        <v>-19576.716668000001</v>
      </c>
      <c r="Y78" s="2"/>
      <c r="Z78" s="7">
        <f t="shared" si="29"/>
        <v>-0.5134394823720253</v>
      </c>
    </row>
    <row r="79" spans="1:26" s="24" customFormat="1" hidden="1" outlineLevel="2" x14ac:dyDescent="0.25">
      <c r="A79" s="26"/>
      <c r="B79" s="11" t="str">
        <f>CONCATENATE("          ", "6005", " - ", "TEMPORARY WAGES-HOURLY")</f>
        <v xml:space="preserve">          6005 - TEMPORARY WAGES-HOURLY</v>
      </c>
      <c r="C79" s="11"/>
      <c r="D79" s="6">
        <v>3282.15</v>
      </c>
      <c r="E79" s="2"/>
      <c r="F79" s="7">
        <f t="shared" si="22"/>
        <v>5.2061787315904488E-2</v>
      </c>
      <c r="G79" s="2"/>
      <c r="H79" s="6">
        <v>3517.92</v>
      </c>
      <c r="I79" s="2"/>
      <c r="J79" s="7">
        <f t="shared" si="23"/>
        <v>5.0951118835542042E-2</v>
      </c>
      <c r="K79" s="2"/>
      <c r="L79" s="6">
        <f t="shared" si="24"/>
        <v>-235.76999999999998</v>
      </c>
      <c r="M79" s="2"/>
      <c r="N79" s="7">
        <f t="shared" si="25"/>
        <v>-6.7019716195933957E-2</v>
      </c>
      <c r="O79" s="11"/>
      <c r="P79" s="6">
        <v>13553.27</v>
      </c>
      <c r="Q79" s="2"/>
      <c r="R79" s="7">
        <f t="shared" si="26"/>
        <v>6.652631054822237E-3</v>
      </c>
      <c r="S79" s="2"/>
      <c r="T79" s="6">
        <v>19823.2</v>
      </c>
      <c r="U79" s="2"/>
      <c r="V79" s="7">
        <f t="shared" si="27"/>
        <v>9.3374583603394491E-3</v>
      </c>
      <c r="W79" s="2"/>
      <c r="X79" s="6">
        <f t="shared" si="28"/>
        <v>-6269.93</v>
      </c>
      <c r="Y79" s="2"/>
      <c r="Z79" s="7">
        <f t="shared" si="29"/>
        <v>-0.31629252592921425</v>
      </c>
    </row>
    <row r="80" spans="1:26" s="24" customFormat="1" hidden="1" outlineLevel="2" x14ac:dyDescent="0.25">
      <c r="A80" s="26"/>
      <c r="B80" s="11" t="str">
        <f>CONCATENATE("          ", "6006", " - ", "TEMPORARY PART TIME")</f>
        <v xml:space="preserve">          6006 - TEMPORARY PART TIME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4" customFormat="1" hidden="1" outlineLevel="2" x14ac:dyDescent="0.25">
      <c r="A81" s="26"/>
      <c r="B81" s="11" t="str">
        <f>CONCATENATE("          ", "6007", " - ", "STUDENT HOURLY")</f>
        <v xml:space="preserve">          6007 - STUDENT HOURLY</v>
      </c>
      <c r="C81" s="11"/>
      <c r="D81" s="6">
        <v>3158.45</v>
      </c>
      <c r="E81" s="2"/>
      <c r="F81" s="7">
        <f t="shared" si="22"/>
        <v>5.0099645704162976E-2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3158.45</v>
      </c>
      <c r="M81" s="2"/>
      <c r="N81" s="7">
        <f t="shared" si="25"/>
        <v>0</v>
      </c>
      <c r="O81" s="11"/>
      <c r="P81" s="6">
        <v>21884.43</v>
      </c>
      <c r="Q81" s="2"/>
      <c r="R81" s="7">
        <f t="shared" si="26"/>
        <v>1.0741986150580887E-2</v>
      </c>
      <c r="S81" s="2"/>
      <c r="T81" s="6">
        <v>8032.5</v>
      </c>
      <c r="U81" s="2"/>
      <c r="V81" s="7">
        <f t="shared" si="27"/>
        <v>3.7836037713097088E-3</v>
      </c>
      <c r="W81" s="2"/>
      <c r="X81" s="6">
        <f t="shared" si="28"/>
        <v>13851.93</v>
      </c>
      <c r="Y81" s="2"/>
      <c r="Z81" s="7">
        <f t="shared" si="29"/>
        <v>1.7244855275443511</v>
      </c>
    </row>
    <row r="82" spans="1:26" s="24" customFormat="1" hidden="1" outlineLevel="2" x14ac:dyDescent="0.25">
      <c r="A82" s="26"/>
      <c r="B82" s="11" t="str">
        <f>CONCATENATE("          ", "6008", " - ", "STUDENT HOURLY-FICA EXEMPT")</f>
        <v xml:space="preserve">          6008 - STUDENT HOURLY-FICA EXEMPT</v>
      </c>
      <c r="C82" s="11"/>
      <c r="D82" s="6"/>
      <c r="E82" s="2"/>
      <c r="F82" s="7">
        <f t="shared" si="22"/>
        <v>0</v>
      </c>
      <c r="G82" s="2"/>
      <c r="H82" s="6">
        <v>3378.75</v>
      </c>
      <c r="I82" s="2"/>
      <c r="J82" s="7">
        <f t="shared" si="23"/>
        <v>4.8935476862915488E-2</v>
      </c>
      <c r="K82" s="2"/>
      <c r="L82" s="6">
        <f t="shared" si="24"/>
        <v>-3378.75</v>
      </c>
      <c r="M82" s="2"/>
      <c r="N82" s="7">
        <f t="shared" si="25"/>
        <v>-1</v>
      </c>
      <c r="O82" s="11"/>
      <c r="P82" s="6"/>
      <c r="Q82" s="2"/>
      <c r="R82" s="7">
        <f t="shared" si="26"/>
        <v>0</v>
      </c>
      <c r="S82" s="2"/>
      <c r="T82" s="6">
        <v>26000.25</v>
      </c>
      <c r="U82" s="2"/>
      <c r="V82" s="7">
        <f t="shared" si="27"/>
        <v>1.2247076745097448E-2</v>
      </c>
      <c r="W82" s="2"/>
      <c r="X82" s="6">
        <f t="shared" si="28"/>
        <v>-26000.25</v>
      </c>
      <c r="Y82" s="2"/>
      <c r="Z82" s="7">
        <f t="shared" si="29"/>
        <v>-1</v>
      </c>
    </row>
    <row r="83" spans="1:26" s="24" customFormat="1" hidden="1" outlineLevel="2" x14ac:dyDescent="0.25">
      <c r="A83" s="26"/>
      <c r="B83" s="11" t="str">
        <f>CONCATENATE("          ", "6009", " - ", "TEMPORARY-SEASONAL")</f>
        <v xml:space="preserve">          6009 - TEMPORARY-SEASONAL</v>
      </c>
      <c r="C83" s="11"/>
      <c r="D83" s="6"/>
      <c r="E83" s="2"/>
      <c r="F83" s="7">
        <f t="shared" si="22"/>
        <v>0</v>
      </c>
      <c r="G83" s="2"/>
      <c r="H83" s="6">
        <v>0</v>
      </c>
      <c r="I83" s="2"/>
      <c r="J83" s="7">
        <f t="shared" si="23"/>
        <v>0</v>
      </c>
      <c r="K83" s="2"/>
      <c r="L83" s="6">
        <f t="shared" si="24"/>
        <v>0</v>
      </c>
      <c r="M83" s="2"/>
      <c r="N83" s="7">
        <f t="shared" si="25"/>
        <v>0</v>
      </c>
      <c r="O83" s="11"/>
      <c r="P83" s="6"/>
      <c r="Q83" s="2"/>
      <c r="R83" s="7">
        <f t="shared" si="26"/>
        <v>0</v>
      </c>
      <c r="S83" s="2"/>
      <c r="T83" s="6">
        <v>0</v>
      </c>
      <c r="U83" s="2"/>
      <c r="V83" s="7">
        <f t="shared" si="27"/>
        <v>0</v>
      </c>
      <c r="W83" s="2"/>
      <c r="X83" s="6">
        <f t="shared" si="28"/>
        <v>0</v>
      </c>
      <c r="Y83" s="2"/>
      <c r="Z83" s="7">
        <f t="shared" si="29"/>
        <v>0</v>
      </c>
    </row>
    <row r="84" spans="1:26" s="24" customFormat="1" hidden="1" outlineLevel="2" x14ac:dyDescent="0.25">
      <c r="A84" s="26"/>
      <c r="B84" s="11" t="str">
        <f>CONCATENATE("          ", "6010", " - ", "GRATUITY")</f>
        <v xml:space="preserve">          6010 - GRATUITY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5" customFormat="1" outlineLevel="1" collapsed="1" x14ac:dyDescent="0.25">
      <c r="A85" s="27"/>
      <c r="B85" s="13" t="str">
        <f>CONCATENATE("     ","Advertising/Promo                                 ")</f>
        <v xml:space="preserve">     Advertising/Promo                                 </v>
      </c>
      <c r="C85" s="13"/>
      <c r="D85" s="1">
        <f>SUM(OSRRefD22_2x_0)</f>
        <v>1138.8499999999999</v>
      </c>
      <c r="E85" s="1"/>
      <c r="F85" s="5">
        <f t="shared" ref="F85:F89" si="30">IF(D$12=0,0,D85/D$12)</f>
        <v>1.8064551127985565E-2</v>
      </c>
      <c r="G85" s="1"/>
      <c r="H85" s="1">
        <f>SUM(OSRRefH22_2x_0)</f>
        <v>1000</v>
      </c>
      <c r="I85" s="1"/>
      <c r="J85" s="5">
        <f t="shared" ref="J85:J89" si="31">IF(H$12=0,0,H85/H$12)</f>
        <v>1.4483307987544354E-2</v>
      </c>
      <c r="K85" s="1"/>
      <c r="L85" s="1">
        <f t="shared" ref="L85:L89" si="32">+D85-H85</f>
        <v>138.84999999999991</v>
      </c>
      <c r="M85" s="1"/>
      <c r="N85" s="5">
        <f t="shared" ref="N85:N89" si="33">IF(H85=0,0,L85/H85)</f>
        <v>0.13884999999999992</v>
      </c>
      <c r="O85" s="13"/>
      <c r="P85" s="1">
        <f>SUM(OSRRefP22_2x_0)</f>
        <v>4346.9399999999996</v>
      </c>
      <c r="Q85" s="1"/>
      <c r="R85" s="5">
        <f t="shared" ref="R85:R89" si="34">IF(P$12=0,0,P85/P$12)</f>
        <v>2.1336982172899211E-3</v>
      </c>
      <c r="S85" s="1"/>
      <c r="T85" s="1">
        <f>SUM(OSRRefT22_2x_0)</f>
        <v>3400</v>
      </c>
      <c r="U85" s="1"/>
      <c r="V85" s="5">
        <f t="shared" ref="V85:V89" si="35">IF(T$12=0,0,T85/T$12)</f>
        <v>1.6015254058453793E-3</v>
      </c>
      <c r="W85" s="1"/>
      <c r="X85" s="1">
        <f t="shared" ref="X85:X89" si="36">+P85-T85</f>
        <v>946.9399999999996</v>
      </c>
      <c r="Y85" s="1"/>
      <c r="Z85" s="5">
        <f t="shared" ref="Z85:Z89" si="37">IF(T85=0,0,X85/T85)</f>
        <v>0.27851176470588224</v>
      </c>
    </row>
    <row r="86" spans="1:26" s="24" customFormat="1" hidden="1" outlineLevel="2" x14ac:dyDescent="0.25">
      <c r="A86" s="26"/>
      <c r="B86" s="11" t="str">
        <f>CONCATENATE("          ", "6362", " - ", "ADVERTISING EXPENSE")</f>
        <v xml:space="preserve">          6362 - ADVERTISING EXPENSE</v>
      </c>
      <c r="C86" s="11"/>
      <c r="D86" s="6">
        <v>1138.8499999999999</v>
      </c>
      <c r="E86" s="2"/>
      <c r="F86" s="7">
        <f t="shared" si="30"/>
        <v>1.8064551127985565E-2</v>
      </c>
      <c r="G86" s="2"/>
      <c r="H86" s="6">
        <v>1000</v>
      </c>
      <c r="I86" s="2"/>
      <c r="J86" s="7">
        <f t="shared" si="31"/>
        <v>1.4483307987544354E-2</v>
      </c>
      <c r="K86" s="2"/>
      <c r="L86" s="6">
        <f t="shared" si="32"/>
        <v>138.84999999999991</v>
      </c>
      <c r="M86" s="2"/>
      <c r="N86" s="7">
        <f t="shared" si="33"/>
        <v>0.13884999999999992</v>
      </c>
      <c r="O86" s="11"/>
      <c r="P86" s="6">
        <v>4346.9399999999996</v>
      </c>
      <c r="Q86" s="2"/>
      <c r="R86" s="7">
        <f t="shared" si="34"/>
        <v>2.1336982172899211E-3</v>
      </c>
      <c r="S86" s="2"/>
      <c r="T86" s="6">
        <v>3400</v>
      </c>
      <c r="U86" s="2"/>
      <c r="V86" s="7">
        <f t="shared" si="35"/>
        <v>1.6015254058453793E-3</v>
      </c>
      <c r="W86" s="2"/>
      <c r="X86" s="6">
        <f t="shared" si="36"/>
        <v>946.9399999999996</v>
      </c>
      <c r="Y86" s="2"/>
      <c r="Z86" s="7">
        <f t="shared" si="37"/>
        <v>0.27851176470588224</v>
      </c>
    </row>
    <row r="87" spans="1:26" s="25" customFormat="1" outlineLevel="1" collapsed="1" x14ac:dyDescent="0.25">
      <c r="A87" s="27"/>
      <c r="B87" s="13" t="str">
        <f>CONCATENATE("     ","Discounts and Markdowns                           ")</f>
        <v xml:space="preserve">     Discounts and Markdowns                           </v>
      </c>
      <c r="C87" s="13"/>
      <c r="D87" s="1">
        <f>SUM(OSRRefD22_3x_0)</f>
        <v>675.06</v>
      </c>
      <c r="E87" s="1"/>
      <c r="F87" s="5">
        <f t="shared" si="30"/>
        <v>1.0707868362346169E-2</v>
      </c>
      <c r="G87" s="1"/>
      <c r="H87" s="1">
        <f>SUM(OSRRefH22_3x_0)</f>
        <v>1625</v>
      </c>
      <c r="I87" s="1"/>
      <c r="J87" s="5">
        <f t="shared" si="31"/>
        <v>2.3535375479759577E-2</v>
      </c>
      <c r="K87" s="1"/>
      <c r="L87" s="1">
        <f t="shared" si="32"/>
        <v>-949.94</v>
      </c>
      <c r="M87" s="1"/>
      <c r="N87" s="5">
        <f t="shared" si="33"/>
        <v>-0.5845784615384616</v>
      </c>
      <c r="O87" s="13"/>
      <c r="P87" s="1">
        <f>SUM(OSRRefP22_3x_0)</f>
        <v>-1838.17</v>
      </c>
      <c r="Q87" s="1"/>
      <c r="R87" s="5">
        <f t="shared" si="34"/>
        <v>-9.022668939704287E-4</v>
      </c>
      <c r="S87" s="1"/>
      <c r="T87" s="1">
        <f>SUM(OSRRefT22_3x_0)</f>
        <v>14850</v>
      </c>
      <c r="U87" s="1"/>
      <c r="V87" s="5">
        <f t="shared" si="35"/>
        <v>6.9948977284717299E-3</v>
      </c>
      <c r="W87" s="1"/>
      <c r="X87" s="1">
        <f t="shared" si="36"/>
        <v>-16688.169999999998</v>
      </c>
      <c r="Y87" s="1"/>
      <c r="Z87" s="5">
        <f t="shared" si="37"/>
        <v>-1.1237824915824914</v>
      </c>
    </row>
    <row r="88" spans="1:26" s="24" customFormat="1" hidden="1" outlineLevel="2" x14ac:dyDescent="0.25">
      <c r="A88" s="26"/>
      <c r="B88" s="11" t="str">
        <f>CONCATENATE("          ", "6382", " - ", "DISCOUNTS/MARK DOWNS")</f>
        <v xml:space="preserve">          6382 - DISCOUNTS/MARK DOWNS</v>
      </c>
      <c r="C88" s="11"/>
      <c r="D88" s="6">
        <v>675.06</v>
      </c>
      <c r="E88" s="2"/>
      <c r="F88" s="7">
        <f t="shared" si="30"/>
        <v>1.0707868362346169E-2</v>
      </c>
      <c r="G88" s="2"/>
      <c r="H88" s="6">
        <v>1625</v>
      </c>
      <c r="I88" s="2"/>
      <c r="J88" s="7">
        <f t="shared" si="31"/>
        <v>2.3535375479759577E-2</v>
      </c>
      <c r="K88" s="2"/>
      <c r="L88" s="6">
        <f t="shared" si="32"/>
        <v>-949.94</v>
      </c>
      <c r="M88" s="2"/>
      <c r="N88" s="7">
        <f t="shared" si="33"/>
        <v>-0.5845784615384616</v>
      </c>
      <c r="O88" s="11"/>
      <c r="P88" s="6">
        <v>-1404.54</v>
      </c>
      <c r="Q88" s="2"/>
      <c r="R88" s="7">
        <f t="shared" si="34"/>
        <v>-6.8941933730679202E-4</v>
      </c>
      <c r="S88" s="2"/>
      <c r="T88" s="6">
        <v>14850</v>
      </c>
      <c r="U88" s="2"/>
      <c r="V88" s="7">
        <f t="shared" si="35"/>
        <v>6.9948977284717299E-3</v>
      </c>
      <c r="W88" s="2"/>
      <c r="X88" s="6">
        <f t="shared" si="36"/>
        <v>-16254.54</v>
      </c>
      <c r="Y88" s="2"/>
      <c r="Z88" s="7">
        <f t="shared" si="37"/>
        <v>-1.0945818181818183</v>
      </c>
    </row>
    <row r="89" spans="1:26" s="24" customFormat="1" hidden="1" outlineLevel="2" x14ac:dyDescent="0.25">
      <c r="A89" s="26"/>
      <c r="B89" s="11" t="str">
        <f>CONCATENATE("          ", "9175", " - ", "EARNED DISCOUNTS")</f>
        <v xml:space="preserve">          9175 - EARNED DISCOUNTS</v>
      </c>
      <c r="C89" s="11"/>
      <c r="D89" s="6"/>
      <c r="E89" s="2"/>
      <c r="F89" s="7">
        <f t="shared" si="30"/>
        <v>0</v>
      </c>
      <c r="G89" s="2"/>
      <c r="H89" s="6"/>
      <c r="I89" s="2"/>
      <c r="J89" s="7">
        <f t="shared" si="31"/>
        <v>0</v>
      </c>
      <c r="K89" s="2"/>
      <c r="L89" s="6">
        <f t="shared" si="32"/>
        <v>0</v>
      </c>
      <c r="M89" s="2"/>
      <c r="N89" s="7">
        <f t="shared" si="33"/>
        <v>0</v>
      </c>
      <c r="O89" s="11"/>
      <c r="P89" s="6">
        <v>-433.63</v>
      </c>
      <c r="Q89" s="2"/>
      <c r="R89" s="7">
        <f t="shared" si="34"/>
        <v>-2.1284755666363663E-4</v>
      </c>
      <c r="S89" s="2"/>
      <c r="T89" s="6"/>
      <c r="U89" s="2"/>
      <c r="V89" s="7">
        <f t="shared" si="35"/>
        <v>0</v>
      </c>
      <c r="W89" s="2"/>
      <c r="X89" s="6">
        <f t="shared" si="36"/>
        <v>-433.63</v>
      </c>
      <c r="Y89" s="2"/>
      <c r="Z89" s="7">
        <f t="shared" si="37"/>
        <v>0</v>
      </c>
    </row>
    <row r="90" spans="1:26" s="25" customFormat="1" outlineLevel="1" collapsed="1" x14ac:dyDescent="0.25">
      <c r="A90" s="27"/>
      <c r="B90" s="13" t="str">
        <f>CONCATENATE("     ","Employees' Appreciation                           ")</f>
        <v xml:space="preserve">     Employees' Appreciation                           </v>
      </c>
      <c r="C90" s="13"/>
      <c r="D90" s="1">
        <f>SUM(OSRRefD22_4x_0)</f>
        <v>0</v>
      </c>
      <c r="E90" s="1"/>
      <c r="F90" s="5">
        <f t="shared" ref="F90:F96" si="38">IF(D$12=0,0,D90/D$12)</f>
        <v>0</v>
      </c>
      <c r="G90" s="1"/>
      <c r="H90" s="1">
        <f>SUM(OSRRefH22_4x_0)</f>
        <v>100</v>
      </c>
      <c r="I90" s="1"/>
      <c r="J90" s="5">
        <f t="shared" ref="J90:J96" si="39">IF(H$12=0,0,H90/H$12)</f>
        <v>1.4483307987544355E-3</v>
      </c>
      <c r="K90" s="1"/>
      <c r="L90" s="1">
        <f t="shared" ref="L90:L96" si="40">+D90-H90</f>
        <v>-100</v>
      </c>
      <c r="M90" s="1"/>
      <c r="N90" s="5">
        <f t="shared" ref="N90:N96" si="41">IF(H90=0,0,L90/H90)</f>
        <v>-1</v>
      </c>
      <c r="O90" s="13"/>
      <c r="P90" s="1">
        <f>SUM(OSRRefP22_4x_0)</f>
        <v>37.880000000000003</v>
      </c>
      <c r="Q90" s="1"/>
      <c r="R90" s="5">
        <f t="shared" ref="R90:R96" si="42">IF(P$12=0,0,P90/P$12)</f>
        <v>1.8593421687656659E-5</v>
      </c>
      <c r="S90" s="1"/>
      <c r="T90" s="1">
        <f>SUM(OSRRefT22_4x_0)</f>
        <v>600</v>
      </c>
      <c r="U90" s="1"/>
      <c r="V90" s="5">
        <f t="shared" ref="V90:V96" si="43">IF(T$12=0,0,T90/T$12)</f>
        <v>2.8262213044330222E-4</v>
      </c>
      <c r="W90" s="1"/>
      <c r="X90" s="1">
        <f t="shared" ref="X90:X96" si="44">+P90-T90</f>
        <v>-562.12</v>
      </c>
      <c r="Y90" s="1"/>
      <c r="Z90" s="5">
        <f t="shared" ref="Z90:Z96" si="45">IF(T90=0,0,X90/T90)</f>
        <v>-0.93686666666666663</v>
      </c>
    </row>
    <row r="91" spans="1:26" s="24" customFormat="1" hidden="1" outlineLevel="2" x14ac:dyDescent="0.25">
      <c r="A91" s="26"/>
      <c r="B91" s="11" t="str">
        <f>CONCATENATE("          ", "6277", " - ", "EMPLOYEE APPRECIATION")</f>
        <v xml:space="preserve">          6277 - EMPLOYEE APPRECIATION</v>
      </c>
      <c r="C91" s="11"/>
      <c r="D91" s="6"/>
      <c r="E91" s="2"/>
      <c r="F91" s="7">
        <f t="shared" si="38"/>
        <v>0</v>
      </c>
      <c r="G91" s="2"/>
      <c r="H91" s="6">
        <v>100</v>
      </c>
      <c r="I91" s="2"/>
      <c r="J91" s="7">
        <f t="shared" si="39"/>
        <v>1.4483307987544355E-3</v>
      </c>
      <c r="K91" s="2"/>
      <c r="L91" s="6">
        <f t="shared" si="40"/>
        <v>-100</v>
      </c>
      <c r="M91" s="2"/>
      <c r="N91" s="7">
        <f t="shared" si="41"/>
        <v>-1</v>
      </c>
      <c r="O91" s="11"/>
      <c r="P91" s="6">
        <v>37.880000000000003</v>
      </c>
      <c r="Q91" s="2"/>
      <c r="R91" s="7">
        <f t="shared" si="42"/>
        <v>1.8593421687656659E-5</v>
      </c>
      <c r="S91" s="2"/>
      <c r="T91" s="6">
        <v>600</v>
      </c>
      <c r="U91" s="2"/>
      <c r="V91" s="7">
        <f t="shared" si="43"/>
        <v>2.8262213044330222E-4</v>
      </c>
      <c r="W91" s="2"/>
      <c r="X91" s="6">
        <f t="shared" si="44"/>
        <v>-562.12</v>
      </c>
      <c r="Y91" s="2"/>
      <c r="Z91" s="7">
        <f t="shared" si="45"/>
        <v>-0.93686666666666663</v>
      </c>
    </row>
    <row r="92" spans="1:26" s="25" customFormat="1" outlineLevel="1" collapsed="1" x14ac:dyDescent="0.25">
      <c r="A92" s="27"/>
      <c r="B92" s="13" t="str">
        <f>CONCATENATE("     ","Equipment Rental                                  ")</f>
        <v xml:space="preserve">     Equipment Rental                                  </v>
      </c>
      <c r="C92" s="13"/>
      <c r="D92" s="1">
        <f>SUM(OSRRefD22_5x_0)</f>
        <v>0</v>
      </c>
      <c r="E92" s="1"/>
      <c r="F92" s="5">
        <f t="shared" si="38"/>
        <v>0</v>
      </c>
      <c r="G92" s="1"/>
      <c r="H92" s="1">
        <f>SUM(OSRRefH22_5x_0)</f>
        <v>100</v>
      </c>
      <c r="I92" s="1"/>
      <c r="J92" s="5">
        <f t="shared" si="39"/>
        <v>1.4483307987544355E-3</v>
      </c>
      <c r="K92" s="1"/>
      <c r="L92" s="1">
        <f t="shared" si="40"/>
        <v>-100</v>
      </c>
      <c r="M92" s="1"/>
      <c r="N92" s="5">
        <f t="shared" si="41"/>
        <v>-1</v>
      </c>
      <c r="O92" s="13"/>
      <c r="P92" s="1">
        <f>SUM(OSRRefP22_5x_0)</f>
        <v>547.55999999999995</v>
      </c>
      <c r="Q92" s="1"/>
      <c r="R92" s="5">
        <f t="shared" si="42"/>
        <v>2.6877016840795348E-4</v>
      </c>
      <c r="S92" s="1"/>
      <c r="T92" s="1">
        <f>SUM(OSRRefT22_5x_0)</f>
        <v>600</v>
      </c>
      <c r="U92" s="1"/>
      <c r="V92" s="5">
        <f t="shared" si="43"/>
        <v>2.8262213044330222E-4</v>
      </c>
      <c r="W92" s="1"/>
      <c r="X92" s="1">
        <f t="shared" si="44"/>
        <v>-52.440000000000055</v>
      </c>
      <c r="Y92" s="1"/>
      <c r="Z92" s="5">
        <f t="shared" si="45"/>
        <v>-8.7400000000000089E-2</v>
      </c>
    </row>
    <row r="93" spans="1:26" s="24" customFormat="1" hidden="1" outlineLevel="2" x14ac:dyDescent="0.25">
      <c r="A93" s="26"/>
      <c r="B93" s="11" t="str">
        <f>CONCATENATE("          ", "6351", " - ", "EQUIPMENT RENTAL")</f>
        <v xml:space="preserve">          6351 - EQUIPMENT RENTAL</v>
      </c>
      <c r="C93" s="11"/>
      <c r="D93" s="6"/>
      <c r="E93" s="2"/>
      <c r="F93" s="7">
        <f t="shared" si="38"/>
        <v>0</v>
      </c>
      <c r="G93" s="2"/>
      <c r="H93" s="6">
        <v>100</v>
      </c>
      <c r="I93" s="2"/>
      <c r="J93" s="7">
        <f t="shared" si="39"/>
        <v>1.4483307987544355E-3</v>
      </c>
      <c r="K93" s="2"/>
      <c r="L93" s="6">
        <f t="shared" si="40"/>
        <v>-100</v>
      </c>
      <c r="M93" s="2"/>
      <c r="N93" s="7">
        <f t="shared" si="41"/>
        <v>-1</v>
      </c>
      <c r="O93" s="11"/>
      <c r="P93" s="6">
        <v>547.55999999999995</v>
      </c>
      <c r="Q93" s="2"/>
      <c r="R93" s="7">
        <f t="shared" si="42"/>
        <v>2.6877016840795348E-4</v>
      </c>
      <c r="S93" s="2"/>
      <c r="T93" s="6">
        <v>600</v>
      </c>
      <c r="U93" s="2"/>
      <c r="V93" s="7">
        <f t="shared" si="43"/>
        <v>2.8262213044330222E-4</v>
      </c>
      <c r="W93" s="2"/>
      <c r="X93" s="6">
        <f t="shared" si="44"/>
        <v>-52.440000000000055</v>
      </c>
      <c r="Y93" s="2"/>
      <c r="Z93" s="7">
        <f t="shared" si="45"/>
        <v>-8.7400000000000089E-2</v>
      </c>
    </row>
    <row r="94" spans="1:26" s="25" customFormat="1" outlineLevel="1" collapsed="1" x14ac:dyDescent="0.25">
      <c r="A94" s="27"/>
      <c r="B94" s="13" t="str">
        <f>CONCATENATE("     ","Freight out/Postage                               ")</f>
        <v xml:space="preserve">     Freight out/Postage                               </v>
      </c>
      <c r="C94" s="13"/>
      <c r="D94" s="1">
        <f>SUM(OSRRefD22_6x_0)</f>
        <v>2571.11</v>
      </c>
      <c r="E94" s="1"/>
      <c r="F94" s="5">
        <f t="shared" si="38"/>
        <v>4.0783200641590175E-2</v>
      </c>
      <c r="G94" s="1"/>
      <c r="H94" s="1">
        <f>SUM(OSRRefH22_6x_0)</f>
        <v>1500</v>
      </c>
      <c r="I94" s="1"/>
      <c r="J94" s="5">
        <f t="shared" si="39"/>
        <v>2.1724961981316532E-2</v>
      </c>
      <c r="K94" s="1"/>
      <c r="L94" s="1">
        <f t="shared" si="40"/>
        <v>1071.1100000000001</v>
      </c>
      <c r="M94" s="1"/>
      <c r="N94" s="5">
        <f t="shared" si="41"/>
        <v>0.71407333333333345</v>
      </c>
      <c r="O94" s="13"/>
      <c r="P94" s="1">
        <f>SUM(OSRRefP22_6x_0)</f>
        <v>11941.9</v>
      </c>
      <c r="Q94" s="1"/>
      <c r="R94" s="5">
        <f t="shared" si="42"/>
        <v>5.8616890826775877E-3</v>
      </c>
      <c r="S94" s="1"/>
      <c r="T94" s="1">
        <f>SUM(OSRRefT22_6x_0)</f>
        <v>13800</v>
      </c>
      <c r="U94" s="1"/>
      <c r="V94" s="5">
        <f t="shared" si="43"/>
        <v>6.500309000195951E-3</v>
      </c>
      <c r="W94" s="1"/>
      <c r="X94" s="1">
        <f t="shared" si="44"/>
        <v>-1858.1000000000004</v>
      </c>
      <c r="Y94" s="1"/>
      <c r="Z94" s="5">
        <f t="shared" si="45"/>
        <v>-0.13464492753623192</v>
      </c>
    </row>
    <row r="95" spans="1:26" s="24" customFormat="1" hidden="1" outlineLevel="2" x14ac:dyDescent="0.25">
      <c r="A95" s="26"/>
      <c r="B95" s="11" t="str">
        <f>CONCATENATE("          ", "6305", " - ", "FREIGHT OUT")</f>
        <v xml:space="preserve">          6305 - FREIGHT OUT</v>
      </c>
      <c r="C95" s="11"/>
      <c r="D95" s="6">
        <v>2571.11</v>
      </c>
      <c r="E95" s="2"/>
      <c r="F95" s="7">
        <f t="shared" si="38"/>
        <v>4.0783200641590175E-2</v>
      </c>
      <c r="G95" s="2"/>
      <c r="H95" s="6">
        <v>1500</v>
      </c>
      <c r="I95" s="2"/>
      <c r="J95" s="7">
        <f t="shared" si="39"/>
        <v>2.1724961981316532E-2</v>
      </c>
      <c r="K95" s="2"/>
      <c r="L95" s="6">
        <f t="shared" si="40"/>
        <v>1071.1100000000001</v>
      </c>
      <c r="M95" s="2"/>
      <c r="N95" s="7">
        <f t="shared" si="41"/>
        <v>0.71407333333333345</v>
      </c>
      <c r="O95" s="11"/>
      <c r="P95" s="6">
        <v>11941.4</v>
      </c>
      <c r="Q95" s="2"/>
      <c r="R95" s="7">
        <f t="shared" si="42"/>
        <v>5.8614436573649203E-3</v>
      </c>
      <c r="S95" s="2"/>
      <c r="T95" s="6">
        <v>13800</v>
      </c>
      <c r="U95" s="2"/>
      <c r="V95" s="7">
        <f t="shared" si="43"/>
        <v>6.500309000195951E-3</v>
      </c>
      <c r="W95" s="2"/>
      <c r="X95" s="6">
        <f t="shared" si="44"/>
        <v>-1858.6000000000004</v>
      </c>
      <c r="Y95" s="2"/>
      <c r="Z95" s="7">
        <f t="shared" si="45"/>
        <v>-0.13468115942028988</v>
      </c>
    </row>
    <row r="96" spans="1:26" s="24" customFormat="1" hidden="1" outlineLevel="2" x14ac:dyDescent="0.25">
      <c r="A96" s="26"/>
      <c r="B96" s="11" t="str">
        <f>CONCATENATE("          ", "6307", " - ", "POSTAGE")</f>
        <v xml:space="preserve">          6307 - POSTAGE</v>
      </c>
      <c r="C96" s="11"/>
      <c r="D96" s="6"/>
      <c r="E96" s="2"/>
      <c r="F96" s="7">
        <f t="shared" si="38"/>
        <v>0</v>
      </c>
      <c r="G96" s="2"/>
      <c r="H96" s="6"/>
      <c r="I96" s="2"/>
      <c r="J96" s="7">
        <f t="shared" si="39"/>
        <v>0</v>
      </c>
      <c r="K96" s="2"/>
      <c r="L96" s="6">
        <f t="shared" si="40"/>
        <v>0</v>
      </c>
      <c r="M96" s="2"/>
      <c r="N96" s="7">
        <f t="shared" si="41"/>
        <v>0</v>
      </c>
      <c r="O96" s="11"/>
      <c r="P96" s="6">
        <v>0.5</v>
      </c>
      <c r="Q96" s="2"/>
      <c r="R96" s="7">
        <f t="shared" si="42"/>
        <v>2.4542531266706252E-7</v>
      </c>
      <c r="S96" s="2"/>
      <c r="T96" s="6"/>
      <c r="U96" s="2"/>
      <c r="V96" s="7">
        <f t="shared" si="43"/>
        <v>0</v>
      </c>
      <c r="W96" s="2"/>
      <c r="X96" s="6">
        <f t="shared" si="44"/>
        <v>0.5</v>
      </c>
      <c r="Y96" s="2"/>
      <c r="Z96" s="7">
        <f t="shared" si="45"/>
        <v>0</v>
      </c>
    </row>
    <row r="97" spans="1:26" s="25" customFormat="1" outlineLevel="1" collapsed="1" x14ac:dyDescent="0.25">
      <c r="A97" s="27"/>
      <c r="B97" s="13" t="str">
        <f>CONCATENATE("     ","General                                           ")</f>
        <v xml:space="preserve">     General                                           </v>
      </c>
      <c r="C97" s="13"/>
      <c r="D97" s="1">
        <f>SUM(OSRRefD22_7x_0)</f>
        <v>0</v>
      </c>
      <c r="E97" s="1"/>
      <c r="F97" s="5">
        <f t="shared" ref="F97:F104" si="46">IF(D$12=0,0,D97/D$12)</f>
        <v>0</v>
      </c>
      <c r="G97" s="1"/>
      <c r="H97" s="1">
        <f>SUM(OSRRefH22_7x_0)</f>
        <v>0</v>
      </c>
      <c r="I97" s="1"/>
      <c r="J97" s="5">
        <f t="shared" ref="J97:J104" si="47">IF(H$12=0,0,H97/H$12)</f>
        <v>0</v>
      </c>
      <c r="K97" s="1"/>
      <c r="L97" s="1">
        <f t="shared" ref="L97:L104" si="48">+D97-H97</f>
        <v>0</v>
      </c>
      <c r="M97" s="1"/>
      <c r="N97" s="5">
        <f t="shared" ref="N97:N104" si="49">IF(H97=0,0,L97/H97)</f>
        <v>0</v>
      </c>
      <c r="O97" s="13"/>
      <c r="P97" s="1">
        <f>SUM(OSRRefP22_7x_0)</f>
        <v>8152.9</v>
      </c>
      <c r="Q97" s="1"/>
      <c r="R97" s="5">
        <f t="shared" ref="R97:R104" si="50">IF(P$12=0,0,P97/P$12)</f>
        <v>4.0018560632865876E-3</v>
      </c>
      <c r="S97" s="1"/>
      <c r="T97" s="1">
        <f>SUM(OSRRefT22_7x_0)</f>
        <v>13000</v>
      </c>
      <c r="U97" s="1"/>
      <c r="V97" s="5">
        <f t="shared" ref="V97:V104" si="51">IF(T$12=0,0,T97/T$12)</f>
        <v>6.1234794929382148E-3</v>
      </c>
      <c r="W97" s="1"/>
      <c r="X97" s="1">
        <f t="shared" ref="X97:X104" si="52">+P97-T97</f>
        <v>-4847.1000000000004</v>
      </c>
      <c r="Y97" s="1"/>
      <c r="Z97" s="5">
        <f t="shared" ref="Z97:Z104" si="53">IF(T97=0,0,X97/T97)</f>
        <v>-0.3728538461538462</v>
      </c>
    </row>
    <row r="98" spans="1:26" s="24" customFormat="1" hidden="1" outlineLevel="2" x14ac:dyDescent="0.25">
      <c r="A98" s="26"/>
      <c r="B98" s="11" t="str">
        <f>CONCATENATE("          ", "6279", " - ", "GENERAL EXPENSE")</f>
        <v xml:space="preserve">          6279 - GENERAL EXPENSE</v>
      </c>
      <c r="C98" s="11"/>
      <c r="D98" s="6"/>
      <c r="E98" s="2"/>
      <c r="F98" s="7">
        <f t="shared" si="46"/>
        <v>0</v>
      </c>
      <c r="G98" s="2"/>
      <c r="H98" s="6"/>
      <c r="I98" s="2"/>
      <c r="J98" s="7">
        <f t="shared" si="47"/>
        <v>0</v>
      </c>
      <c r="K98" s="2"/>
      <c r="L98" s="6">
        <f t="shared" si="48"/>
        <v>0</v>
      </c>
      <c r="M98" s="2"/>
      <c r="N98" s="7">
        <f t="shared" si="49"/>
        <v>0</v>
      </c>
      <c r="O98" s="11"/>
      <c r="P98" s="6">
        <v>8152.9</v>
      </c>
      <c r="Q98" s="2"/>
      <c r="R98" s="7">
        <f t="shared" si="50"/>
        <v>4.0018560632865876E-3</v>
      </c>
      <c r="S98" s="2"/>
      <c r="T98" s="6">
        <v>13000</v>
      </c>
      <c r="U98" s="2"/>
      <c r="V98" s="7">
        <f t="shared" si="51"/>
        <v>6.1234794929382148E-3</v>
      </c>
      <c r="W98" s="2"/>
      <c r="X98" s="6">
        <f t="shared" si="52"/>
        <v>-4847.1000000000004</v>
      </c>
      <c r="Y98" s="2"/>
      <c r="Z98" s="7">
        <f t="shared" si="53"/>
        <v>-0.3728538461538462</v>
      </c>
    </row>
    <row r="99" spans="1:26" s="25" customFormat="1" outlineLevel="1" collapsed="1" x14ac:dyDescent="0.25">
      <c r="A99" s="27"/>
      <c r="B99" s="13" t="str">
        <f>CONCATENATE("     ","Inventory Adjustment                              ")</f>
        <v xml:space="preserve">     Inventory Adjustment                              </v>
      </c>
      <c r="C99" s="13"/>
      <c r="D99" s="1">
        <f>SUM(OSRRefD22_8x_0)</f>
        <v>6800</v>
      </c>
      <c r="E99" s="1"/>
      <c r="F99" s="5">
        <f t="shared" si="46"/>
        <v>0.10786227130026066</v>
      </c>
      <c r="G99" s="1"/>
      <c r="H99" s="1">
        <f>SUM(OSRRefH22_8x_0)</f>
        <v>6800</v>
      </c>
      <c r="I99" s="1"/>
      <c r="J99" s="5">
        <f t="shared" si="47"/>
        <v>9.8486494315301612E-2</v>
      </c>
      <c r="K99" s="1"/>
      <c r="L99" s="1">
        <f t="shared" si="48"/>
        <v>0</v>
      </c>
      <c r="M99" s="1"/>
      <c r="N99" s="5">
        <f t="shared" si="49"/>
        <v>0</v>
      </c>
      <c r="O99" s="13"/>
      <c r="P99" s="1">
        <f>SUM(OSRRefP22_8x_0)</f>
        <v>11800</v>
      </c>
      <c r="Q99" s="1"/>
      <c r="R99" s="5">
        <f t="shared" si="50"/>
        <v>5.7920373789426757E-3</v>
      </c>
      <c r="S99" s="1"/>
      <c r="T99" s="1">
        <f>SUM(OSRRefT22_8x_0)</f>
        <v>11800</v>
      </c>
      <c r="U99" s="1"/>
      <c r="V99" s="5">
        <f t="shared" si="51"/>
        <v>5.5582352320516105E-3</v>
      </c>
      <c r="W99" s="1"/>
      <c r="X99" s="1">
        <f t="shared" si="52"/>
        <v>0</v>
      </c>
      <c r="Y99" s="1"/>
      <c r="Z99" s="5">
        <f t="shared" si="53"/>
        <v>0</v>
      </c>
    </row>
    <row r="100" spans="1:26" s="24" customFormat="1" hidden="1" outlineLevel="2" x14ac:dyDescent="0.25">
      <c r="A100" s="26"/>
      <c r="B100" s="11" t="str">
        <f>CONCATENATE("          ", "6408", " - ", "INVENTORY ADJUSTMENT")</f>
        <v xml:space="preserve">          6408 - INVENTORY ADJUSTMENT</v>
      </c>
      <c r="C100" s="11"/>
      <c r="D100" s="6">
        <v>6800</v>
      </c>
      <c r="E100" s="2"/>
      <c r="F100" s="7">
        <f t="shared" si="46"/>
        <v>0.10786227130026066</v>
      </c>
      <c r="G100" s="2"/>
      <c r="H100" s="6">
        <v>6800</v>
      </c>
      <c r="I100" s="2"/>
      <c r="J100" s="7">
        <f t="shared" si="47"/>
        <v>9.8486494315301612E-2</v>
      </c>
      <c r="K100" s="2"/>
      <c r="L100" s="6">
        <f t="shared" si="48"/>
        <v>0</v>
      </c>
      <c r="M100" s="2"/>
      <c r="N100" s="7">
        <f t="shared" si="49"/>
        <v>0</v>
      </c>
      <c r="O100" s="11"/>
      <c r="P100" s="6">
        <v>11800</v>
      </c>
      <c r="Q100" s="2"/>
      <c r="R100" s="7">
        <f t="shared" si="50"/>
        <v>5.7920373789426757E-3</v>
      </c>
      <c r="S100" s="2"/>
      <c r="T100" s="6">
        <v>11800</v>
      </c>
      <c r="U100" s="2"/>
      <c r="V100" s="7">
        <f t="shared" si="51"/>
        <v>5.5582352320516105E-3</v>
      </c>
      <c r="W100" s="2"/>
      <c r="X100" s="6">
        <f t="shared" si="52"/>
        <v>0</v>
      </c>
      <c r="Y100" s="2"/>
      <c r="Z100" s="7">
        <f t="shared" si="53"/>
        <v>0</v>
      </c>
    </row>
    <row r="101" spans="1:26" s="25" customFormat="1" outlineLevel="1" collapsed="1" x14ac:dyDescent="0.25">
      <c r="A101" s="27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SUM(OSRRefD22_9x_0)</f>
        <v>23.6</v>
      </c>
      <c r="E101" s="1"/>
      <c r="F101" s="5">
        <f t="shared" si="46"/>
        <v>3.7434552980678703E-4</v>
      </c>
      <c r="G101" s="1"/>
      <c r="H101" s="1">
        <f>SUM(OSRRefH22_9x_0)</f>
        <v>2140</v>
      </c>
      <c r="I101" s="1"/>
      <c r="J101" s="5">
        <f t="shared" si="47"/>
        <v>3.0994279093344922E-2</v>
      </c>
      <c r="K101" s="1"/>
      <c r="L101" s="1">
        <f t="shared" si="48"/>
        <v>-2116.4</v>
      </c>
      <c r="M101" s="1"/>
      <c r="N101" s="5">
        <f t="shared" si="49"/>
        <v>-0.98897196261682252</v>
      </c>
      <c r="O101" s="13"/>
      <c r="P101" s="1">
        <f>SUM(OSRRefP22_9x_0)</f>
        <v>143.16</v>
      </c>
      <c r="Q101" s="1"/>
      <c r="R101" s="5">
        <f t="shared" si="50"/>
        <v>7.0270175522833345E-5</v>
      </c>
      <c r="S101" s="1"/>
      <c r="T101" s="1">
        <f>SUM(OSRRefT22_9x_0)</f>
        <v>2840</v>
      </c>
      <c r="U101" s="1"/>
      <c r="V101" s="5">
        <f t="shared" si="51"/>
        <v>1.337744750764964E-3</v>
      </c>
      <c r="W101" s="1"/>
      <c r="X101" s="1">
        <f t="shared" si="52"/>
        <v>-2696.84</v>
      </c>
      <c r="Y101" s="1"/>
      <c r="Z101" s="5">
        <f t="shared" si="53"/>
        <v>-0.94959154929577472</v>
      </c>
    </row>
    <row r="102" spans="1:26" s="24" customFormat="1" hidden="1" outlineLevel="2" x14ac:dyDescent="0.25">
      <c r="A102" s="26"/>
      <c r="B102" s="11" t="str">
        <f>CONCATENATE("          ", "6372", " - ", "COMPUTER HARDWARE MAINTENANCE")</f>
        <v xml:space="preserve">          6372 - COMPUTER HARDWARE MAINTENANCE</v>
      </c>
      <c r="C102" s="11"/>
      <c r="D102" s="6"/>
      <c r="E102" s="2"/>
      <c r="F102" s="7">
        <f t="shared" si="46"/>
        <v>0</v>
      </c>
      <c r="G102" s="2"/>
      <c r="H102" s="6">
        <v>2000</v>
      </c>
      <c r="I102" s="2"/>
      <c r="J102" s="7">
        <f t="shared" si="47"/>
        <v>2.8966615975088709E-2</v>
      </c>
      <c r="K102" s="2"/>
      <c r="L102" s="6">
        <f t="shared" si="48"/>
        <v>-2000</v>
      </c>
      <c r="M102" s="2"/>
      <c r="N102" s="7">
        <f t="shared" si="49"/>
        <v>-1</v>
      </c>
      <c r="O102" s="11"/>
      <c r="P102" s="6"/>
      <c r="Q102" s="2"/>
      <c r="R102" s="7">
        <f t="shared" si="50"/>
        <v>0</v>
      </c>
      <c r="S102" s="2"/>
      <c r="T102" s="6">
        <v>2000</v>
      </c>
      <c r="U102" s="2"/>
      <c r="V102" s="7">
        <f t="shared" si="51"/>
        <v>9.4207376814434076E-4</v>
      </c>
      <c r="W102" s="2"/>
      <c r="X102" s="6">
        <f t="shared" si="52"/>
        <v>-2000</v>
      </c>
      <c r="Y102" s="2"/>
      <c r="Z102" s="7">
        <f t="shared" si="53"/>
        <v>-1</v>
      </c>
    </row>
    <row r="103" spans="1:26" s="24" customFormat="1" hidden="1" outlineLevel="2" x14ac:dyDescent="0.25">
      <c r="A103" s="26"/>
      <c r="B103" s="11" t="str">
        <f>CONCATENATE("          ", "6373", " - ", "MAINTENANCE CONTRACTS")</f>
        <v xml:space="preserve">          6373 - MAINTENANCE CONTRACTS</v>
      </c>
      <c r="C103" s="11"/>
      <c r="D103" s="6">
        <v>23.6</v>
      </c>
      <c r="E103" s="2"/>
      <c r="F103" s="7">
        <f t="shared" si="46"/>
        <v>3.7434552980678703E-4</v>
      </c>
      <c r="G103" s="2"/>
      <c r="H103" s="6">
        <v>40</v>
      </c>
      <c r="I103" s="2"/>
      <c r="J103" s="7">
        <f t="shared" si="47"/>
        <v>5.7933231950177422E-4</v>
      </c>
      <c r="K103" s="2"/>
      <c r="L103" s="6">
        <f t="shared" si="48"/>
        <v>-16.399999999999999</v>
      </c>
      <c r="M103" s="2"/>
      <c r="N103" s="7">
        <f t="shared" si="49"/>
        <v>-0.41</v>
      </c>
      <c r="O103" s="11"/>
      <c r="P103" s="6">
        <v>143.16</v>
      </c>
      <c r="Q103" s="2"/>
      <c r="R103" s="7">
        <f t="shared" si="50"/>
        <v>7.0270175522833345E-5</v>
      </c>
      <c r="S103" s="2"/>
      <c r="T103" s="6">
        <v>240</v>
      </c>
      <c r="U103" s="2"/>
      <c r="V103" s="7">
        <f t="shared" si="51"/>
        <v>1.1304885217732089E-4</v>
      </c>
      <c r="W103" s="2"/>
      <c r="X103" s="6">
        <f t="shared" si="52"/>
        <v>-96.84</v>
      </c>
      <c r="Y103" s="2"/>
      <c r="Z103" s="7">
        <f t="shared" si="53"/>
        <v>-0.40350000000000003</v>
      </c>
    </row>
    <row r="104" spans="1:26" s="24" customFormat="1" hidden="1" outlineLevel="2" x14ac:dyDescent="0.25">
      <c r="A104" s="26"/>
      <c r="B104" s="11" t="str">
        <f>CONCATENATE("          ", "6375", " - ", "OUTSIDE REPAIRS &amp; MAINTENANCE")</f>
        <v xml:space="preserve">          6375 - OUTSIDE REPAIRS &amp; MAINTENANCE</v>
      </c>
      <c r="C104" s="11"/>
      <c r="D104" s="6"/>
      <c r="E104" s="2"/>
      <c r="F104" s="7">
        <f t="shared" si="46"/>
        <v>0</v>
      </c>
      <c r="G104" s="2"/>
      <c r="H104" s="6">
        <v>100</v>
      </c>
      <c r="I104" s="2"/>
      <c r="J104" s="7">
        <f t="shared" si="47"/>
        <v>1.4483307987544355E-3</v>
      </c>
      <c r="K104" s="2"/>
      <c r="L104" s="6">
        <f t="shared" si="48"/>
        <v>-100</v>
      </c>
      <c r="M104" s="2"/>
      <c r="N104" s="7">
        <f t="shared" si="49"/>
        <v>-1</v>
      </c>
      <c r="O104" s="11"/>
      <c r="P104" s="6"/>
      <c r="Q104" s="2"/>
      <c r="R104" s="7">
        <f t="shared" si="50"/>
        <v>0</v>
      </c>
      <c r="S104" s="2"/>
      <c r="T104" s="6">
        <v>600</v>
      </c>
      <c r="U104" s="2"/>
      <c r="V104" s="7">
        <f t="shared" si="51"/>
        <v>2.8262213044330222E-4</v>
      </c>
      <c r="W104" s="2"/>
      <c r="X104" s="6">
        <f t="shared" si="52"/>
        <v>-600</v>
      </c>
      <c r="Y104" s="2"/>
      <c r="Z104" s="7">
        <f t="shared" si="53"/>
        <v>-1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SUM(OSRRefD22_10x_0)</f>
        <v>250</v>
      </c>
      <c r="E105" s="1"/>
      <c r="F105" s="5">
        <f t="shared" ref="F105:F110" si="54">IF(D$12=0,0,D105/D$12)</f>
        <v>3.9655246801566417E-3</v>
      </c>
      <c r="G105" s="1"/>
      <c r="H105" s="1">
        <f>SUM(OSRRefH22_10x_0)</f>
        <v>300</v>
      </c>
      <c r="I105" s="1"/>
      <c r="J105" s="5">
        <f t="shared" ref="J105:J110" si="55">IF(H$12=0,0,H105/H$12)</f>
        <v>4.3449923962633067E-3</v>
      </c>
      <c r="K105" s="1"/>
      <c r="L105" s="1">
        <f t="shared" ref="L105:L110" si="56">+D105-H105</f>
        <v>-50</v>
      </c>
      <c r="M105" s="1"/>
      <c r="N105" s="5">
        <f t="shared" ref="N105:N110" si="57">IF(H105=0,0,L105/H105)</f>
        <v>-0.16666666666666666</v>
      </c>
      <c r="O105" s="13"/>
      <c r="P105" s="1">
        <f>SUM(OSRRefP22_10x_0)</f>
        <v>1557.4</v>
      </c>
      <c r="Q105" s="1"/>
      <c r="R105" s="5">
        <f t="shared" ref="R105:R110" si="58">IF(P$12=0,0,P105/P$12)</f>
        <v>7.6445076389536641E-4</v>
      </c>
      <c r="S105" s="1"/>
      <c r="T105" s="1">
        <f>SUM(OSRRefT22_10x_0)</f>
        <v>4300</v>
      </c>
      <c r="U105" s="1"/>
      <c r="V105" s="5">
        <f t="shared" ref="V105:V110" si="59">IF(T$12=0,0,T105/T$12)</f>
        <v>2.0254586015103328E-3</v>
      </c>
      <c r="W105" s="1"/>
      <c r="X105" s="1">
        <f t="shared" ref="X105:X110" si="60">+P105-T105</f>
        <v>-2742.6</v>
      </c>
      <c r="Y105" s="1"/>
      <c r="Z105" s="5">
        <f t="shared" ref="Z105:Z110" si="61">IF(T105=0,0,X105/T105)</f>
        <v>-0.63781395348837211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>
        <v>250</v>
      </c>
      <c r="E106" s="2"/>
      <c r="F106" s="7">
        <f t="shared" si="54"/>
        <v>3.9655246801566417E-3</v>
      </c>
      <c r="G106" s="2"/>
      <c r="H106" s="6">
        <v>300</v>
      </c>
      <c r="I106" s="2"/>
      <c r="J106" s="7">
        <f t="shared" si="55"/>
        <v>4.3449923962633067E-3</v>
      </c>
      <c r="K106" s="2"/>
      <c r="L106" s="6">
        <f t="shared" si="56"/>
        <v>-50</v>
      </c>
      <c r="M106" s="2"/>
      <c r="N106" s="7">
        <f t="shared" si="57"/>
        <v>-0.16666666666666666</v>
      </c>
      <c r="O106" s="11"/>
      <c r="P106" s="6">
        <v>1557.4</v>
      </c>
      <c r="Q106" s="2"/>
      <c r="R106" s="7">
        <f t="shared" si="58"/>
        <v>7.6445076389536641E-4</v>
      </c>
      <c r="S106" s="2"/>
      <c r="T106" s="6">
        <v>4300</v>
      </c>
      <c r="U106" s="2"/>
      <c r="V106" s="7">
        <f t="shared" si="59"/>
        <v>2.0254586015103328E-3</v>
      </c>
      <c r="W106" s="2"/>
      <c r="X106" s="6">
        <f t="shared" si="60"/>
        <v>-2742.6</v>
      </c>
      <c r="Y106" s="2"/>
      <c r="Z106" s="7">
        <f t="shared" si="61"/>
        <v>-0.63781395348837211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SUM(OSRRefD22_11x_0)</f>
        <v>208.46</v>
      </c>
      <c r="E107" s="1"/>
      <c r="F107" s="5">
        <f t="shared" si="54"/>
        <v>3.3066130993018145E-3</v>
      </c>
      <c r="G107" s="1"/>
      <c r="H107" s="1">
        <f>SUM(OSRRefH22_11x_0)</f>
        <v>3200</v>
      </c>
      <c r="I107" s="1"/>
      <c r="J107" s="5">
        <f t="shared" si="55"/>
        <v>4.6346585560141935E-2</v>
      </c>
      <c r="K107" s="1"/>
      <c r="L107" s="1">
        <f t="shared" si="56"/>
        <v>-2991.54</v>
      </c>
      <c r="M107" s="1"/>
      <c r="N107" s="5">
        <f t="shared" si="57"/>
        <v>-0.93485624999999994</v>
      </c>
      <c r="O107" s="13"/>
      <c r="P107" s="1">
        <f>SUM(OSRRefP22_11x_0)</f>
        <v>9423.0499999999993</v>
      </c>
      <c r="Q107" s="1"/>
      <c r="R107" s="5">
        <f t="shared" si="58"/>
        <v>4.6253099850547263E-3</v>
      </c>
      <c r="S107" s="1"/>
      <c r="T107" s="1">
        <f>SUM(OSRRefT22_11x_0)</f>
        <v>10750</v>
      </c>
      <c r="U107" s="1"/>
      <c r="V107" s="5">
        <f t="shared" si="59"/>
        <v>5.0636465037758316E-3</v>
      </c>
      <c r="W107" s="1"/>
      <c r="X107" s="1">
        <f t="shared" si="60"/>
        <v>-1326.9500000000007</v>
      </c>
      <c r="Y107" s="1"/>
      <c r="Z107" s="5">
        <f t="shared" si="61"/>
        <v>-0.12343720930232564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208.46</v>
      </c>
      <c r="E108" s="2"/>
      <c r="F108" s="7">
        <f t="shared" si="54"/>
        <v>3.3066130993018145E-3</v>
      </c>
      <c r="G108" s="2"/>
      <c r="H108" s="6">
        <v>2500</v>
      </c>
      <c r="I108" s="2"/>
      <c r="J108" s="7">
        <f t="shared" si="55"/>
        <v>3.6208269968860889E-2</v>
      </c>
      <c r="K108" s="2"/>
      <c r="L108" s="6">
        <f t="shared" si="56"/>
        <v>-2291.54</v>
      </c>
      <c r="M108" s="2"/>
      <c r="N108" s="7">
        <f t="shared" si="57"/>
        <v>-0.91661599999999999</v>
      </c>
      <c r="O108" s="11"/>
      <c r="P108" s="6">
        <v>3583.93</v>
      </c>
      <c r="Q108" s="2"/>
      <c r="R108" s="7">
        <f t="shared" si="58"/>
        <v>1.7591742816537308E-3</v>
      </c>
      <c r="S108" s="2"/>
      <c r="T108" s="6">
        <v>4150</v>
      </c>
      <c r="U108" s="2"/>
      <c r="V108" s="7">
        <f t="shared" si="59"/>
        <v>1.9548030688995069E-3</v>
      </c>
      <c r="W108" s="2"/>
      <c r="X108" s="6">
        <f t="shared" si="60"/>
        <v>-566.07000000000016</v>
      </c>
      <c r="Y108" s="2"/>
      <c r="Z108" s="7">
        <f t="shared" si="61"/>
        <v>-0.13640240963855427</v>
      </c>
    </row>
    <row r="109" spans="1:26" s="24" customFormat="1" hidden="1" outlineLevel="2" x14ac:dyDescent="0.25">
      <c r="A109" s="26"/>
      <c r="B109" s="11" t="str">
        <f>CONCATENATE("          ", "6245", " - ", "PRINTING")</f>
        <v xml:space="preserve">          6245 - PRINTING</v>
      </c>
      <c r="C109" s="11"/>
      <c r="D109" s="6"/>
      <c r="E109" s="2"/>
      <c r="F109" s="7">
        <f t="shared" si="54"/>
        <v>0</v>
      </c>
      <c r="G109" s="2"/>
      <c r="H109" s="6">
        <v>500</v>
      </c>
      <c r="I109" s="2"/>
      <c r="J109" s="7">
        <f t="shared" si="55"/>
        <v>7.2416539937721772E-3</v>
      </c>
      <c r="K109" s="2"/>
      <c r="L109" s="6">
        <f t="shared" si="56"/>
        <v>-500</v>
      </c>
      <c r="M109" s="2"/>
      <c r="N109" s="7">
        <f t="shared" si="57"/>
        <v>-1</v>
      </c>
      <c r="O109" s="11"/>
      <c r="P109" s="6">
        <v>4978.08</v>
      </c>
      <c r="Q109" s="2"/>
      <c r="R109" s="7">
        <f t="shared" si="58"/>
        <v>2.4434936809633011E-3</v>
      </c>
      <c r="S109" s="2"/>
      <c r="T109" s="6">
        <v>1400</v>
      </c>
      <c r="U109" s="2"/>
      <c r="V109" s="7">
        <f t="shared" si="59"/>
        <v>6.5945163770103859E-4</v>
      </c>
      <c r="W109" s="2"/>
      <c r="X109" s="6">
        <f t="shared" si="60"/>
        <v>3578.08</v>
      </c>
      <c r="Y109" s="2"/>
      <c r="Z109" s="7">
        <f t="shared" si="61"/>
        <v>2.5557714285714286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54"/>
        <v>0</v>
      </c>
      <c r="G110" s="2"/>
      <c r="H110" s="6">
        <v>200</v>
      </c>
      <c r="I110" s="2"/>
      <c r="J110" s="7">
        <f t="shared" si="55"/>
        <v>2.896661597508871E-3</v>
      </c>
      <c r="K110" s="2"/>
      <c r="L110" s="6">
        <f t="shared" si="56"/>
        <v>-200</v>
      </c>
      <c r="M110" s="2"/>
      <c r="N110" s="7">
        <f t="shared" si="57"/>
        <v>-1</v>
      </c>
      <c r="O110" s="11"/>
      <c r="P110" s="6">
        <v>861.04</v>
      </c>
      <c r="Q110" s="2"/>
      <c r="R110" s="7">
        <f t="shared" si="58"/>
        <v>4.2264202243769502E-4</v>
      </c>
      <c r="S110" s="2"/>
      <c r="T110" s="6">
        <v>5200</v>
      </c>
      <c r="U110" s="2"/>
      <c r="V110" s="7">
        <f t="shared" si="59"/>
        <v>2.4493917971752858E-3</v>
      </c>
      <c r="W110" s="2"/>
      <c r="X110" s="6">
        <f t="shared" si="60"/>
        <v>-4338.96</v>
      </c>
      <c r="Y110" s="2"/>
      <c r="Z110" s="7">
        <f t="shared" si="61"/>
        <v>-0.83441538461538467</v>
      </c>
    </row>
    <row r="111" spans="1:26" s="25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SUM(OSRRefD22_12x_0)</f>
        <v>1065.45</v>
      </c>
      <c r="E111" s="1"/>
      <c r="F111" s="5">
        <f t="shared" ref="F111:F113" si="62">IF(D$12=0,0,D111/D$12)</f>
        <v>1.6900273081891577E-2</v>
      </c>
      <c r="G111" s="1"/>
      <c r="H111" s="1">
        <f>SUM(OSRRefH22_12x_0)</f>
        <v>900</v>
      </c>
      <c r="I111" s="1"/>
      <c r="J111" s="5">
        <f t="shared" ref="J111:J113" si="63">IF(H$12=0,0,H111/H$12)</f>
        <v>1.3034977188789919E-2</v>
      </c>
      <c r="K111" s="1"/>
      <c r="L111" s="1">
        <f t="shared" ref="L111:L113" si="64">+D111-H111</f>
        <v>165.45000000000005</v>
      </c>
      <c r="M111" s="1"/>
      <c r="N111" s="5">
        <f t="shared" ref="N111:N113" si="65">IF(H111=0,0,L111/H111)</f>
        <v>0.18383333333333338</v>
      </c>
      <c r="O111" s="13"/>
      <c r="P111" s="1">
        <f>SUM(OSRRefP22_12x_0)</f>
        <v>4934.04</v>
      </c>
      <c r="Q111" s="1"/>
      <c r="R111" s="5">
        <f t="shared" ref="R111:R113" si="66">IF(P$12=0,0,P111/P$12)</f>
        <v>2.4218766194235865E-3</v>
      </c>
      <c r="S111" s="1"/>
      <c r="T111" s="1">
        <f>SUM(OSRRefT22_12x_0)</f>
        <v>5400</v>
      </c>
      <c r="U111" s="1"/>
      <c r="V111" s="5">
        <f t="shared" ref="V111:V113" si="67">IF(T$12=0,0,T111/T$12)</f>
        <v>2.5435991739897199E-3</v>
      </c>
      <c r="W111" s="1"/>
      <c r="X111" s="1">
        <f t="shared" ref="X111:X113" si="68">+P111-T111</f>
        <v>-465.96000000000004</v>
      </c>
      <c r="Y111" s="1"/>
      <c r="Z111" s="5">
        <f t="shared" ref="Z111:Z113" si="69">IF(T111=0,0,X111/T111)</f>
        <v>-8.6288888888888901E-2</v>
      </c>
    </row>
    <row r="112" spans="1:26" s="24" customFormat="1" hidden="1" outlineLevel="2" x14ac:dyDescent="0.25">
      <c r="A112" s="26"/>
      <c r="B112" s="11" t="str">
        <f>CONCATENATE("          ", "6303", " - ", "DATA PHONE LINES")</f>
        <v xml:space="preserve">          6303 - DATA PHONE LINES</v>
      </c>
      <c r="C112" s="11"/>
      <c r="D112" s="6">
        <v>295</v>
      </c>
      <c r="E112" s="2"/>
      <c r="F112" s="7">
        <f t="shared" si="62"/>
        <v>4.6793191225848376E-3</v>
      </c>
      <c r="G112" s="2"/>
      <c r="H112" s="6">
        <v>300</v>
      </c>
      <c r="I112" s="2"/>
      <c r="J112" s="7">
        <f t="shared" si="63"/>
        <v>4.3449923962633067E-3</v>
      </c>
      <c r="K112" s="2"/>
      <c r="L112" s="6">
        <f t="shared" si="64"/>
        <v>-5</v>
      </c>
      <c r="M112" s="2"/>
      <c r="N112" s="7">
        <f t="shared" si="65"/>
        <v>-1.6666666666666666E-2</v>
      </c>
      <c r="O112" s="11"/>
      <c r="P112" s="6">
        <v>1770</v>
      </c>
      <c r="Q112" s="2"/>
      <c r="R112" s="7">
        <f t="shared" si="66"/>
        <v>8.6880560684140129E-4</v>
      </c>
      <c r="S112" s="2"/>
      <c r="T112" s="6">
        <v>1800</v>
      </c>
      <c r="U112" s="2"/>
      <c r="V112" s="7">
        <f t="shared" si="67"/>
        <v>8.478663913299067E-4</v>
      </c>
      <c r="W112" s="2"/>
      <c r="X112" s="6">
        <f t="shared" si="68"/>
        <v>-30</v>
      </c>
      <c r="Y112" s="2"/>
      <c r="Z112" s="7">
        <f t="shared" si="69"/>
        <v>-1.6666666666666666E-2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6">
        <v>770.45</v>
      </c>
      <c r="E113" s="2"/>
      <c r="F113" s="7">
        <f t="shared" si="62"/>
        <v>1.222095395930674E-2</v>
      </c>
      <c r="G113" s="2"/>
      <c r="H113" s="6">
        <v>600</v>
      </c>
      <c r="I113" s="2"/>
      <c r="J113" s="7">
        <f t="shared" si="63"/>
        <v>8.6899847925266133E-3</v>
      </c>
      <c r="K113" s="2"/>
      <c r="L113" s="6">
        <f t="shared" si="64"/>
        <v>170.45000000000005</v>
      </c>
      <c r="M113" s="2"/>
      <c r="N113" s="7">
        <f t="shared" si="65"/>
        <v>0.28408333333333341</v>
      </c>
      <c r="O113" s="11"/>
      <c r="P113" s="6">
        <v>3164.04</v>
      </c>
      <c r="Q113" s="2"/>
      <c r="R113" s="7">
        <f t="shared" si="66"/>
        <v>1.5530710125821849E-3</v>
      </c>
      <c r="S113" s="2"/>
      <c r="T113" s="6">
        <v>3600</v>
      </c>
      <c r="U113" s="2"/>
      <c r="V113" s="7">
        <f t="shared" si="67"/>
        <v>1.6957327826598134E-3</v>
      </c>
      <c r="W113" s="2"/>
      <c r="X113" s="6">
        <f t="shared" si="68"/>
        <v>-435.96000000000004</v>
      </c>
      <c r="Y113" s="2"/>
      <c r="Z113" s="7">
        <f t="shared" si="69"/>
        <v>-0.12110000000000001</v>
      </c>
    </row>
    <row r="114" spans="1:26" s="25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SUM(OSRRefD22_13x_0)</f>
        <v>0</v>
      </c>
      <c r="E114" s="1"/>
      <c r="F114" s="5">
        <f t="shared" ref="F114:F118" si="70">IF(D$12=0,0,D114/D$12)</f>
        <v>0</v>
      </c>
      <c r="G114" s="1"/>
      <c r="H114" s="1">
        <f>SUM(OSRRefH22_13x_0)</f>
        <v>500</v>
      </c>
      <c r="I114" s="1"/>
      <c r="J114" s="5">
        <f t="shared" ref="J114:J118" si="71">IF(H$12=0,0,H114/H$12)</f>
        <v>7.2416539937721772E-3</v>
      </c>
      <c r="K114" s="1"/>
      <c r="L114" s="1">
        <f t="shared" ref="L114:L118" si="72">+D114-H114</f>
        <v>-500</v>
      </c>
      <c r="M114" s="1"/>
      <c r="N114" s="5">
        <f t="shared" ref="N114:N118" si="73">IF(H114=0,0,L114/H114)</f>
        <v>-1</v>
      </c>
      <c r="O114" s="13"/>
      <c r="P114" s="1">
        <f>SUM(OSRRefP22_13x_0)</f>
        <v>547.47</v>
      </c>
      <c r="Q114" s="1"/>
      <c r="R114" s="5">
        <f t="shared" ref="R114:R118" si="74">IF(P$12=0,0,P114/P$12)</f>
        <v>2.6872599185167348E-4</v>
      </c>
      <c r="S114" s="1"/>
      <c r="T114" s="1">
        <f>SUM(OSRRefT22_13x_0)</f>
        <v>1800</v>
      </c>
      <c r="U114" s="1"/>
      <c r="V114" s="5">
        <f t="shared" ref="V114:V118" si="75">IF(T$12=0,0,T114/T$12)</f>
        <v>8.478663913299067E-4</v>
      </c>
      <c r="W114" s="1"/>
      <c r="X114" s="1">
        <f t="shared" ref="X114:X118" si="76">+P114-T114</f>
        <v>-1252.53</v>
      </c>
      <c r="Y114" s="1"/>
      <c r="Z114" s="5">
        <f t="shared" ref="Z114:Z118" si="77">IF(T114=0,0,X114/T114)</f>
        <v>-0.69584999999999997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70"/>
        <v>0</v>
      </c>
      <c r="G115" s="2"/>
      <c r="H115" s="6">
        <v>500</v>
      </c>
      <c r="I115" s="2"/>
      <c r="J115" s="7">
        <f t="shared" si="71"/>
        <v>7.2416539937721772E-3</v>
      </c>
      <c r="K115" s="2"/>
      <c r="L115" s="6">
        <f t="shared" si="72"/>
        <v>-500</v>
      </c>
      <c r="M115" s="2"/>
      <c r="N115" s="7">
        <f t="shared" si="73"/>
        <v>-1</v>
      </c>
      <c r="O115" s="11"/>
      <c r="P115" s="6">
        <v>547.47</v>
      </c>
      <c r="Q115" s="2"/>
      <c r="R115" s="7">
        <f t="shared" si="74"/>
        <v>2.6872599185167348E-4</v>
      </c>
      <c r="S115" s="2"/>
      <c r="T115" s="6">
        <v>1800</v>
      </c>
      <c r="U115" s="2"/>
      <c r="V115" s="7">
        <f t="shared" si="75"/>
        <v>8.478663913299067E-4</v>
      </c>
      <c r="W115" s="2"/>
      <c r="X115" s="6">
        <f t="shared" si="76"/>
        <v>-1252.53</v>
      </c>
      <c r="Y115" s="2"/>
      <c r="Z115" s="7">
        <f t="shared" si="77"/>
        <v>-0.69584999999999997</v>
      </c>
    </row>
    <row r="116" spans="1:26" s="25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SUM(OSRRefD22_14x_0)</f>
        <v>0</v>
      </c>
      <c r="E116" s="1"/>
      <c r="F116" s="5">
        <f t="shared" si="70"/>
        <v>0</v>
      </c>
      <c r="G116" s="1"/>
      <c r="H116" s="1">
        <f>SUM(OSRRefH22_14x_0)</f>
        <v>0</v>
      </c>
      <c r="I116" s="1"/>
      <c r="J116" s="5">
        <f t="shared" si="71"/>
        <v>0</v>
      </c>
      <c r="K116" s="1"/>
      <c r="L116" s="1">
        <f t="shared" si="72"/>
        <v>0</v>
      </c>
      <c r="M116" s="1"/>
      <c r="N116" s="5">
        <f t="shared" si="73"/>
        <v>0</v>
      </c>
      <c r="O116" s="13"/>
      <c r="P116" s="1">
        <f>SUM(OSRRefP22_14x_0)</f>
        <v>83.93</v>
      </c>
      <c r="Q116" s="1"/>
      <c r="R116" s="5">
        <f t="shared" si="74"/>
        <v>4.1197092984293116E-5</v>
      </c>
      <c r="S116" s="1"/>
      <c r="T116" s="1">
        <f>SUM(OSRRefT22_14x_0)</f>
        <v>450</v>
      </c>
      <c r="U116" s="1"/>
      <c r="V116" s="5">
        <f t="shared" si="75"/>
        <v>2.1196659783247668E-4</v>
      </c>
      <c r="W116" s="1"/>
      <c r="X116" s="1">
        <f t="shared" si="76"/>
        <v>-366.07</v>
      </c>
      <c r="Y116" s="1"/>
      <c r="Z116" s="5">
        <f t="shared" si="77"/>
        <v>-0.81348888888888893</v>
      </c>
    </row>
    <row r="117" spans="1:26" s="24" customFormat="1" hidden="1" outlineLevel="2" x14ac:dyDescent="0.25">
      <c r="A117" s="26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70"/>
        <v>0</v>
      </c>
      <c r="G117" s="2"/>
      <c r="H117" s="6"/>
      <c r="I117" s="2"/>
      <c r="J117" s="7">
        <f t="shared" si="71"/>
        <v>0</v>
      </c>
      <c r="K117" s="2"/>
      <c r="L117" s="6">
        <f t="shared" si="72"/>
        <v>0</v>
      </c>
      <c r="M117" s="2"/>
      <c r="N117" s="7">
        <f t="shared" si="73"/>
        <v>0</v>
      </c>
      <c r="O117" s="11"/>
      <c r="P117" s="6">
        <v>83.93</v>
      </c>
      <c r="Q117" s="2"/>
      <c r="R117" s="7">
        <f t="shared" si="74"/>
        <v>4.1197092984293116E-5</v>
      </c>
      <c r="S117" s="2"/>
      <c r="T117" s="6"/>
      <c r="U117" s="2"/>
      <c r="V117" s="7">
        <f t="shared" si="75"/>
        <v>0</v>
      </c>
      <c r="W117" s="2"/>
      <c r="X117" s="6">
        <f t="shared" si="76"/>
        <v>83.93</v>
      </c>
      <c r="Y117" s="2"/>
      <c r="Z117" s="7">
        <f t="shared" si="77"/>
        <v>0</v>
      </c>
    </row>
    <row r="118" spans="1:26" s="24" customFormat="1" hidden="1" outlineLevel="2" x14ac:dyDescent="0.25">
      <c r="A118" s="26"/>
      <c r="B118" s="11" t="str">
        <f>CONCATENATE("          ", "6298", " - ", "VEHICLE MILEAGE")</f>
        <v xml:space="preserve">          6298 - VEHICLE MILEAGE</v>
      </c>
      <c r="C118" s="11"/>
      <c r="D118" s="6"/>
      <c r="E118" s="2"/>
      <c r="F118" s="7">
        <f t="shared" si="70"/>
        <v>0</v>
      </c>
      <c r="G118" s="2"/>
      <c r="H118" s="6"/>
      <c r="I118" s="2"/>
      <c r="J118" s="7">
        <f t="shared" si="71"/>
        <v>0</v>
      </c>
      <c r="K118" s="2"/>
      <c r="L118" s="6">
        <f t="shared" si="72"/>
        <v>0</v>
      </c>
      <c r="M118" s="2"/>
      <c r="N118" s="7">
        <f t="shared" si="73"/>
        <v>0</v>
      </c>
      <c r="O118" s="11"/>
      <c r="P118" s="6"/>
      <c r="Q118" s="2"/>
      <c r="R118" s="7">
        <f t="shared" si="74"/>
        <v>0</v>
      </c>
      <c r="S118" s="2"/>
      <c r="T118" s="6">
        <v>450</v>
      </c>
      <c r="U118" s="2"/>
      <c r="V118" s="7">
        <f t="shared" si="75"/>
        <v>2.1196659783247668E-4</v>
      </c>
      <c r="W118" s="2"/>
      <c r="X118" s="6">
        <f t="shared" si="76"/>
        <v>-450</v>
      </c>
      <c r="Y118" s="2"/>
      <c r="Z118" s="7">
        <f t="shared" si="77"/>
        <v>-1</v>
      </c>
    </row>
    <row r="119" spans="1:26" s="53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8" t="s">
        <v>0</v>
      </c>
      <c r="C120" s="10"/>
      <c r="D120" s="4">
        <f>SUM(OSRRefD25x_0)</f>
        <v>3606.87</v>
      </c>
      <c r="E120" s="4"/>
      <c r="F120" s="12">
        <f t="shared" ref="F120:F124" si="78">IF(D$12=0,0,D120/D$12)</f>
        <v>5.7212528012466346E-2</v>
      </c>
      <c r="G120" s="4"/>
      <c r="H120" s="4">
        <f>SUM(OSRRefH25x_0)</f>
        <v>7550</v>
      </c>
      <c r="I120" s="4"/>
      <c r="J120" s="12">
        <f t="shared" ref="J120:J124" si="79">IF(H$12=0,0,H120/H$12)</f>
        <v>0.10934897530595988</v>
      </c>
      <c r="K120" s="4"/>
      <c r="L120" s="4">
        <f t="shared" ref="L120:L124" si="80">+D120-H120</f>
        <v>-3943.13</v>
      </c>
      <c r="M120" s="4"/>
      <c r="N120" s="12">
        <f t="shared" ref="N120:N124" si="81">IF(H120=0,0,L120/H120)</f>
        <v>-0.52226887417218548</v>
      </c>
      <c r="O120" s="10"/>
      <c r="P120" s="4">
        <f>SUM(OSRRefP25x_0)</f>
        <v>146048.81</v>
      </c>
      <c r="Q120" s="4"/>
      <c r="R120" s="12">
        <f t="shared" ref="R120:R124" si="82">IF(P$12=0,0,P120/P$12)</f>
        <v>7.1688149717804808E-2</v>
      </c>
      <c r="S120" s="4"/>
      <c r="T120" s="4">
        <f>SUM(OSRRefT25x_0)</f>
        <v>92150</v>
      </c>
      <c r="U120" s="4"/>
      <c r="V120" s="12">
        <f t="shared" ref="V120:V124" si="83">IF(T$12=0,0,T120/T$12)</f>
        <v>4.3406048867250503E-2</v>
      </c>
      <c r="W120" s="4"/>
      <c r="X120" s="4">
        <f t="shared" ref="X120:X124" si="84">+P120-T120</f>
        <v>53898.81</v>
      </c>
      <c r="Y120" s="4"/>
      <c r="Z120" s="12">
        <f t="shared" ref="Z120:Z124" si="85">IF(T120=0,0,X120/T120)</f>
        <v>0.5849029842647856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--224.43</f>
        <v>224.43</v>
      </c>
      <c r="E121" s="2"/>
      <c r="F121" s="19">
        <f t="shared" si="78"/>
        <v>3.5599308158702206E-3</v>
      </c>
      <c r="G121" s="2"/>
      <c r="H121" s="2"/>
      <c r="I121" s="2"/>
      <c r="J121" s="19">
        <f t="shared" si="79"/>
        <v>0</v>
      </c>
      <c r="K121" s="2"/>
      <c r="L121" s="2">
        <f t="shared" si="80"/>
        <v>224.43</v>
      </c>
      <c r="M121" s="2"/>
      <c r="N121" s="19">
        <f t="shared" si="81"/>
        <v>0</v>
      </c>
      <c r="O121" s="11"/>
      <c r="P121" s="2">
        <f>--54141.85</f>
        <v>54141.85</v>
      </c>
      <c r="Q121" s="2"/>
      <c r="R121" s="19">
        <f t="shared" si="82"/>
        <v>2.6575560929246397E-2</v>
      </c>
      <c r="S121" s="2"/>
      <c r="T121" s="2"/>
      <c r="U121" s="2"/>
      <c r="V121" s="19">
        <f t="shared" si="83"/>
        <v>0</v>
      </c>
      <c r="W121" s="2"/>
      <c r="X121" s="2">
        <f t="shared" si="84"/>
        <v>54141.85</v>
      </c>
      <c r="Y121" s="2"/>
      <c r="Z121" s="19">
        <f t="shared" si="85"/>
        <v>0</v>
      </c>
    </row>
    <row r="122" spans="1:26" s="24" customFormat="1" hidden="1" outlineLevel="1" x14ac:dyDescent="0.25">
      <c r="A122" s="44"/>
      <c r="B122" s="11" t="str">
        <f>CONCATENATE("          ", "9151", " - ", "MISC. INCOME")</f>
        <v xml:space="preserve">          9151 - MISC. INCOME</v>
      </c>
      <c r="C122" s="11"/>
      <c r="D122" s="2">
        <f>0</f>
        <v>0</v>
      </c>
      <c r="E122" s="2"/>
      <c r="F122" s="19">
        <f t="shared" si="78"/>
        <v>0</v>
      </c>
      <c r="G122" s="2"/>
      <c r="H122" s="2"/>
      <c r="I122" s="2"/>
      <c r="J122" s="19">
        <f t="shared" si="79"/>
        <v>0</v>
      </c>
      <c r="K122" s="2"/>
      <c r="L122" s="2">
        <f t="shared" si="80"/>
        <v>0</v>
      </c>
      <c r="M122" s="2"/>
      <c r="N122" s="19">
        <f t="shared" si="81"/>
        <v>0</v>
      </c>
      <c r="O122" s="11"/>
      <c r="P122" s="2">
        <f>--87676.2</f>
        <v>87676.2</v>
      </c>
      <c r="Q122" s="2"/>
      <c r="R122" s="19">
        <f t="shared" si="82"/>
        <v>4.3035917596919812E-2</v>
      </c>
      <c r="S122" s="2"/>
      <c r="T122" s="2"/>
      <c r="U122" s="2"/>
      <c r="V122" s="19">
        <f t="shared" si="83"/>
        <v>0</v>
      </c>
      <c r="W122" s="2"/>
      <c r="X122" s="2">
        <f t="shared" si="84"/>
        <v>87676.2</v>
      </c>
      <c r="Y122" s="2"/>
      <c r="Z122" s="19">
        <f t="shared" si="85"/>
        <v>0</v>
      </c>
    </row>
    <row r="123" spans="1:26" s="24" customFormat="1" hidden="1" outlineLevel="1" x14ac:dyDescent="0.25">
      <c r="A123" s="44"/>
      <c r="B123" s="11" t="str">
        <f>CONCATENATE("          ", "9152", " - ", "MISC. INCOME")</f>
        <v xml:space="preserve">          9152 - MISC. INCOME</v>
      </c>
      <c r="C123" s="11"/>
      <c r="D123" s="2">
        <f>--3382.44</f>
        <v>3382.44</v>
      </c>
      <c r="E123" s="2"/>
      <c r="F123" s="19">
        <f t="shared" si="78"/>
        <v>5.3652597196596125E-2</v>
      </c>
      <c r="G123" s="2"/>
      <c r="H123" s="2"/>
      <c r="I123" s="2"/>
      <c r="J123" s="19">
        <f t="shared" si="79"/>
        <v>0</v>
      </c>
      <c r="K123" s="2"/>
      <c r="L123" s="2">
        <f t="shared" si="80"/>
        <v>3382.44</v>
      </c>
      <c r="M123" s="2"/>
      <c r="N123" s="19">
        <f t="shared" si="81"/>
        <v>0</v>
      </c>
      <c r="O123" s="11"/>
      <c r="P123" s="2">
        <f>--4230.76</f>
        <v>4230.76</v>
      </c>
      <c r="Q123" s="2"/>
      <c r="R123" s="19">
        <f t="shared" si="82"/>
        <v>2.076671191638603E-3</v>
      </c>
      <c r="S123" s="2"/>
      <c r="T123" s="2"/>
      <c r="U123" s="2"/>
      <c r="V123" s="19">
        <f t="shared" si="83"/>
        <v>0</v>
      </c>
      <c r="W123" s="2"/>
      <c r="X123" s="2">
        <f t="shared" si="84"/>
        <v>4230.76</v>
      </c>
      <c r="Y123" s="2"/>
      <c r="Z123" s="19">
        <f t="shared" si="85"/>
        <v>0</v>
      </c>
    </row>
    <row r="124" spans="1:26" s="24" customFormat="1" hidden="1" outlineLevel="1" x14ac:dyDescent="0.25">
      <c r="A124" s="44"/>
      <c r="B124" s="11" t="str">
        <f>CONCATENATE("          ", "9160", " - ", "MISC. INCOME")</f>
        <v xml:space="preserve">          9160 - MISC. INCOME</v>
      </c>
      <c r="C124" s="11"/>
      <c r="D124" s="2">
        <f>0</f>
        <v>0</v>
      </c>
      <c r="E124" s="2"/>
      <c r="F124" s="19">
        <f t="shared" si="78"/>
        <v>0</v>
      </c>
      <c r="G124" s="2"/>
      <c r="H124" s="2">
        <v>7550</v>
      </c>
      <c r="I124" s="2"/>
      <c r="J124" s="19">
        <f t="shared" si="79"/>
        <v>0.10934897530595988</v>
      </c>
      <c r="K124" s="2"/>
      <c r="L124" s="2">
        <f t="shared" si="80"/>
        <v>-7550</v>
      </c>
      <c r="M124" s="2"/>
      <c r="N124" s="19">
        <f t="shared" si="81"/>
        <v>-1</v>
      </c>
      <c r="O124" s="11"/>
      <c r="P124" s="2">
        <f>0</f>
        <v>0</v>
      </c>
      <c r="Q124" s="2"/>
      <c r="R124" s="19">
        <f t="shared" si="82"/>
        <v>0</v>
      </c>
      <c r="S124" s="2"/>
      <c r="T124" s="2">
        <v>92150</v>
      </c>
      <c r="U124" s="2"/>
      <c r="V124" s="19">
        <f t="shared" si="83"/>
        <v>4.3406048867250503E-2</v>
      </c>
      <c r="W124" s="2"/>
      <c r="X124" s="2">
        <f t="shared" si="84"/>
        <v>-92150</v>
      </c>
      <c r="Y124" s="2"/>
      <c r="Z124" s="19">
        <f t="shared" si="85"/>
        <v>-1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2">
        <f>+D60-D62+D120</f>
        <v>-26330.290000000034</v>
      </c>
      <c r="E126" s="14"/>
      <c r="F126" s="20">
        <f>IF(D$12=0,0,D126/D$12)</f>
        <v>-0.41765365932272702</v>
      </c>
      <c r="G126" s="14"/>
      <c r="H126" s="22">
        <f>+H60-H62+H120</f>
        <v>-28862.112860297872</v>
      </c>
      <c r="I126" s="14"/>
      <c r="J126" s="20">
        <f>IF(H$12=0,0,H126/H$12)</f>
        <v>-0.41801886972695884</v>
      </c>
      <c r="K126" s="16"/>
      <c r="L126" s="22">
        <f>+D126-H126</f>
        <v>2531.8228602978379</v>
      </c>
      <c r="M126" s="16"/>
      <c r="N126" s="20">
        <f>IF(H126=0,0,L126/H126)</f>
        <v>-8.7721327698796481E-2</v>
      </c>
      <c r="O126" s="28"/>
      <c r="P126" s="22">
        <f>+P60-P62+P120</f>
        <v>442337.30000000028</v>
      </c>
      <c r="Q126" s="14"/>
      <c r="R126" s="20">
        <f>IF(P$12=0,0,P126/P$12)</f>
        <v>0.21712154031360861</v>
      </c>
      <c r="S126" s="14"/>
      <c r="T126" s="22">
        <f>+T60-T62+T120</f>
        <v>352552.17218106403</v>
      </c>
      <c r="U126" s="14"/>
      <c r="V126" s="20">
        <f>IF(T$12=0,0,T126/T$12)</f>
        <v>0.1660650766570437</v>
      </c>
      <c r="W126" s="16"/>
      <c r="X126" s="22">
        <f>+P126-T126</f>
        <v>89785.127818936249</v>
      </c>
      <c r="Y126" s="16"/>
      <c r="Z126" s="20">
        <f>IF(T126=0,0,X126/T126)</f>
        <v>0.25467188944966795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2"/>
      <c r="B128" s="10" t="s">
        <v>14</v>
      </c>
      <c r="C128" s="10"/>
      <c r="D128" s="4">
        <v>10983.62</v>
      </c>
      <c r="E128" s="4"/>
      <c r="F128" s="12">
        <f>IF(D$12=0,0,D128/D$12)</f>
        <v>0.17422326474984839</v>
      </c>
      <c r="G128" s="4"/>
      <c r="H128" s="4">
        <v>13172</v>
      </c>
      <c r="I128" s="4"/>
      <c r="J128" s="12">
        <f>IF(H$12=0,0,H128/H$12)</f>
        <v>0.19077413281193425</v>
      </c>
      <c r="K128" s="4"/>
      <c r="L128" s="4">
        <f>+D128-H128</f>
        <v>-2188.3799999999992</v>
      </c>
      <c r="M128" s="4"/>
      <c r="N128" s="12">
        <f>IF(H128=0,0,L128/H128)</f>
        <v>-0.16613877922866682</v>
      </c>
      <c r="O128" s="10"/>
      <c r="P128" s="4">
        <v>220041.88999999998</v>
      </c>
      <c r="Q128" s="4"/>
      <c r="R128" s="12">
        <f>IF(P$12=0,0,P128/P$12)</f>
        <v>0.10800769930620276</v>
      </c>
      <c r="S128" s="4"/>
      <c r="T128" s="4">
        <v>273471</v>
      </c>
      <c r="U128" s="4"/>
      <c r="V128" s="12">
        <f>IF(T$12=0,0,T128/T$12)</f>
        <v>0.1288149277241005</v>
      </c>
      <c r="W128" s="4"/>
      <c r="X128" s="4">
        <f>+P128-T128</f>
        <v>-53429.110000000015</v>
      </c>
      <c r="Y128" s="4"/>
      <c r="Z128" s="12">
        <f>IF(T128=0,0,X128/T128)</f>
        <v>-0.19537395189983586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1">
        <f>+D126-D128</f>
        <v>-37313.910000000033</v>
      </c>
      <c r="E130" s="14"/>
      <c r="F130" s="32">
        <f>IF(D$12=0,0,D130/D$12)</f>
        <v>-0.59187692407257542</v>
      </c>
      <c r="G130" s="14"/>
      <c r="H130" s="31">
        <f>+H126-H128</f>
        <v>-42034.112860297872</v>
      </c>
      <c r="I130" s="14"/>
      <c r="J130" s="32">
        <f>IF(H$12=0,0,H130/H$12)</f>
        <v>-0.60879300253889301</v>
      </c>
      <c r="K130" s="16"/>
      <c r="L130" s="31">
        <f>D130-H130</f>
        <v>4720.2028602978389</v>
      </c>
      <c r="M130" s="16"/>
      <c r="N130" s="32">
        <f>IF(H130=0,0,L130/H130)</f>
        <v>-0.11229457550313075</v>
      </c>
      <c r="O130" s="28"/>
      <c r="P130" s="31">
        <f>+P126-P128</f>
        <v>222295.41000000029</v>
      </c>
      <c r="Q130" s="14"/>
      <c r="R130" s="32">
        <f>IF(P$12=0,0,P130/P$12)</f>
        <v>0.10911384100740586</v>
      </c>
      <c r="S130" s="14"/>
      <c r="T130" s="31">
        <f>+T126-T128</f>
        <v>79081.17218106403</v>
      </c>
      <c r="U130" s="14"/>
      <c r="V130" s="32">
        <f>IF(T$12=0,0,T130/T$12)</f>
        <v>3.7250148932943206E-2</v>
      </c>
      <c r="W130" s="16"/>
      <c r="X130" s="31">
        <f>P130-T130</f>
        <v>143214.23781893626</v>
      </c>
      <c r="Y130" s="16"/>
      <c r="Z130" s="32">
        <f>IF(T130=0,0,X130/T130)</f>
        <v>1.8109776811480911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5">
        <f>SUM(D130:D132)</f>
        <v>-37313.910000000033</v>
      </c>
      <c r="E133" s="14"/>
      <c r="F133" s="34">
        <f>IF(D$12=0,0,D133/D$12)</f>
        <v>-0.59187692407257542</v>
      </c>
      <c r="G133" s="14"/>
      <c r="H133" s="35">
        <f>SUM(H130:H132)</f>
        <v>-42034.112860297872</v>
      </c>
      <c r="I133" s="14"/>
      <c r="J133" s="34">
        <f>IF(H$12=0,0,H133/H$12)</f>
        <v>-0.60879300253889301</v>
      </c>
      <c r="K133" s="16"/>
      <c r="L133" s="35">
        <f>+D133-H133</f>
        <v>4720.2028602978389</v>
      </c>
      <c r="M133" s="16"/>
      <c r="N133" s="34">
        <f>IF(H133=0,0,L133/H133)</f>
        <v>-0.11229457550313075</v>
      </c>
      <c r="O133" s="28"/>
      <c r="P133" s="35">
        <f>SUM(P130:P132)</f>
        <v>222295.41000000029</v>
      </c>
      <c r="Q133" s="14"/>
      <c r="R133" s="34">
        <f>IF(P$12=0,0,P133/P$12)</f>
        <v>0.10911384100740586</v>
      </c>
      <c r="S133" s="14"/>
      <c r="T133" s="35">
        <f>SUM(T130:T132)</f>
        <v>79081.17218106403</v>
      </c>
      <c r="U133" s="14"/>
      <c r="V133" s="34">
        <f>IF(T$12=0,0,T133/T$12)</f>
        <v>3.7250148932943206E-2</v>
      </c>
      <c r="W133" s="16"/>
      <c r="X133" s="35">
        <f>+P133-T133</f>
        <v>143214.23781893626</v>
      </c>
      <c r="Y133" s="16"/>
      <c r="Z133" s="34">
        <f>IF(T133=0,0,X133/T133)</f>
        <v>1.8109776811480911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3">
        <v>43847.445903356478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5" t="s">
        <v>314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6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155.16999999999996</v>
      </c>
      <c r="E12" s="4"/>
      <c r="F12" s="12"/>
      <c r="G12" s="4"/>
      <c r="H12" s="4">
        <f>SUM(OSRRefH13x_0)</f>
        <v>-949</v>
      </c>
      <c r="I12" s="4"/>
      <c r="J12" s="12"/>
      <c r="K12" s="4"/>
      <c r="L12" s="4">
        <f t="shared" ref="L12:L15" si="0">+D12-H12</f>
        <v>1104.17</v>
      </c>
      <c r="M12" s="4"/>
      <c r="N12" s="12">
        <f t="shared" ref="N12:N15" si="1">IF(H12=0,0,L12/H12)</f>
        <v>-1.1635089567966281</v>
      </c>
      <c r="O12" s="10"/>
      <c r="P12" s="4">
        <f>SUM(OSRRefP13x_0)</f>
        <v>902974.25</v>
      </c>
      <c r="Q12" s="4"/>
      <c r="R12" s="12"/>
      <c r="S12" s="4"/>
      <c r="T12" s="4">
        <f>SUM(OSRRefT13x_0)</f>
        <v>1057470</v>
      </c>
      <c r="U12" s="4"/>
      <c r="V12" s="12"/>
      <c r="W12" s="4"/>
      <c r="X12" s="4">
        <f t="shared" ref="X12:X15" si="2">+P12-T12</f>
        <v>-154495.75</v>
      </c>
      <c r="Y12" s="4"/>
      <c r="Z12" s="12">
        <f t="shared" ref="Z12:Z15" si="3">IF(T12=0,0,X12/T12)</f>
        <v>-0.14609941653191108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-535.1</f>
        <v>-535.1</v>
      </c>
      <c r="E13" s="2"/>
      <c r="F13" s="19"/>
      <c r="G13" s="2"/>
      <c r="H13" s="2"/>
      <c r="I13" s="2"/>
      <c r="J13" s="19"/>
      <c r="K13" s="2"/>
      <c r="L13" s="2">
        <f t="shared" si="0"/>
        <v>-535.1</v>
      </c>
      <c r="M13" s="2"/>
      <c r="N13" s="19">
        <f t="shared" si="1"/>
        <v>0</v>
      </c>
      <c r="O13" s="11"/>
      <c r="P13" s="2">
        <f>--256483.61</f>
        <v>256483.61</v>
      </c>
      <c r="Q13" s="2"/>
      <c r="R13" s="19"/>
      <c r="S13" s="2"/>
      <c r="T13" s="2"/>
      <c r="U13" s="2"/>
      <c r="V13" s="19"/>
      <c r="W13" s="2"/>
      <c r="X13" s="2">
        <f t="shared" si="2"/>
        <v>256483.61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--602.28</f>
        <v>602.28</v>
      </c>
      <c r="E14" s="2"/>
      <c r="F14" s="19"/>
      <c r="G14" s="2"/>
      <c r="H14" s="2"/>
      <c r="I14" s="2"/>
      <c r="J14" s="19"/>
      <c r="K14" s="2"/>
      <c r="L14" s="2">
        <f t="shared" si="0"/>
        <v>602.28</v>
      </c>
      <c r="M14" s="2"/>
      <c r="N14" s="19">
        <f t="shared" si="1"/>
        <v>0</v>
      </c>
      <c r="O14" s="11"/>
      <c r="P14" s="2">
        <f>--310562.09</f>
        <v>310562.09000000003</v>
      </c>
      <c r="Q14" s="2"/>
      <c r="R14" s="19"/>
      <c r="S14" s="2"/>
      <c r="T14" s="2"/>
      <c r="U14" s="2"/>
      <c r="V14" s="19"/>
      <c r="W14" s="2"/>
      <c r="X14" s="2">
        <f t="shared" si="2"/>
        <v>310562.09000000003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--87.99</f>
        <v>87.99</v>
      </c>
      <c r="E15" s="2"/>
      <c r="F15" s="19"/>
      <c r="G15" s="2"/>
      <c r="H15" s="2">
        <v>-949</v>
      </c>
      <c r="I15" s="2"/>
      <c r="J15" s="19"/>
      <c r="K15" s="2"/>
      <c r="L15" s="2">
        <f t="shared" si="0"/>
        <v>1036.99</v>
      </c>
      <c r="M15" s="2"/>
      <c r="N15" s="19">
        <f t="shared" si="1"/>
        <v>-1.0927186512118019</v>
      </c>
      <c r="O15" s="11"/>
      <c r="P15" s="2">
        <f>--335928.55</f>
        <v>335928.55</v>
      </c>
      <c r="Q15" s="2"/>
      <c r="R15" s="19"/>
      <c r="S15" s="2"/>
      <c r="T15" s="2">
        <v>1057470</v>
      </c>
      <c r="U15" s="2"/>
      <c r="V15" s="19"/>
      <c r="W15" s="2"/>
      <c r="X15" s="2">
        <f t="shared" si="2"/>
        <v>-721541.45</v>
      </c>
      <c r="Y15" s="2"/>
      <c r="Z15" s="19">
        <f t="shared" si="3"/>
        <v>-0.68232805658789375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-14228.7</v>
      </c>
      <c r="E17" s="4"/>
      <c r="F17" s="12">
        <f t="shared" ref="F17:F20" si="4">IF(D$12=0,0,D17/D$12)</f>
        <v>-91.697493072114483</v>
      </c>
      <c r="G17" s="4"/>
      <c r="H17" s="4">
        <f>SUM(OSRRefH16x_0)</f>
        <v>-6020.07</v>
      </c>
      <c r="I17" s="4"/>
      <c r="J17" s="12">
        <f t="shared" ref="J17:J20" si="5">IF(H$12=0,0,H17/H$12)</f>
        <v>6.3435932560590089</v>
      </c>
      <c r="K17" s="4"/>
      <c r="L17" s="4">
        <f t="shared" ref="L17:L20" si="6">+D17-H17</f>
        <v>-8208.630000000001</v>
      </c>
      <c r="M17" s="4"/>
      <c r="N17" s="12">
        <f t="shared" ref="N17:N20" si="7">IF(H17=0,0,L17/H17)</f>
        <v>1.3635439455022951</v>
      </c>
      <c r="O17" s="10"/>
      <c r="P17" s="4">
        <f>SUM(OSRRefP16x_0)</f>
        <v>669111.65999999992</v>
      </c>
      <c r="Q17" s="4"/>
      <c r="R17" s="12">
        <f t="shared" ref="R17:R20" si="8">IF(P$12=0,0,P17/P$12)</f>
        <v>0.74100857250359009</v>
      </c>
      <c r="S17" s="4"/>
      <c r="T17" s="4">
        <f>SUM(OSRRefT16x_0)</f>
        <v>763419.70000000007</v>
      </c>
      <c r="U17" s="4"/>
      <c r="V17" s="12">
        <f t="shared" ref="V17:V20" si="9">IF(T$12=0,0,T17/T$12)</f>
        <v>0.72193036209065042</v>
      </c>
      <c r="W17" s="4"/>
      <c r="X17" s="4">
        <f t="shared" ref="X17:X20" si="10">+P17-T17</f>
        <v>-94308.040000000154</v>
      </c>
      <c r="Y17" s="4"/>
      <c r="Z17" s="12">
        <f t="shared" ref="Z17:Z20" si="11">IF(T17=0,0,X17/T17)</f>
        <v>-0.12353367354811534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-6020.07</v>
      </c>
      <c r="I18" s="2"/>
      <c r="J18" s="19">
        <f t="shared" si="5"/>
        <v>6.3435932560590089</v>
      </c>
      <c r="K18" s="2"/>
      <c r="L18" s="2">
        <f t="shared" si="6"/>
        <v>6020.07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763419.70000000007</v>
      </c>
      <c r="U18" s="2"/>
      <c r="V18" s="19">
        <f t="shared" si="9"/>
        <v>0.72193036209065042</v>
      </c>
      <c r="W18" s="2"/>
      <c r="X18" s="2">
        <f t="shared" si="10"/>
        <v>-763419.70000000007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-6988.4</v>
      </c>
      <c r="E19" s="2"/>
      <c r="F19" s="19">
        <f t="shared" si="4"/>
        <v>-45.037056131984286</v>
      </c>
      <c r="G19" s="2"/>
      <c r="H19" s="2"/>
      <c r="I19" s="2"/>
      <c r="J19" s="19">
        <f t="shared" si="5"/>
        <v>0</v>
      </c>
      <c r="K19" s="2"/>
      <c r="L19" s="2">
        <f t="shared" si="6"/>
        <v>-6988.4</v>
      </c>
      <c r="M19" s="2"/>
      <c r="N19" s="19">
        <f t="shared" si="7"/>
        <v>0</v>
      </c>
      <c r="O19" s="11"/>
      <c r="P19" s="2">
        <v>302080.46000000002</v>
      </c>
      <c r="Q19" s="2"/>
      <c r="R19" s="19">
        <f t="shared" si="8"/>
        <v>0.33453939578011227</v>
      </c>
      <c r="S19" s="2"/>
      <c r="T19" s="2"/>
      <c r="U19" s="2"/>
      <c r="V19" s="19">
        <f t="shared" si="9"/>
        <v>0</v>
      </c>
      <c r="W19" s="2"/>
      <c r="X19" s="2">
        <f t="shared" si="10"/>
        <v>302080.46000000002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-7240.3</v>
      </c>
      <c r="E20" s="2"/>
      <c r="F20" s="19">
        <f t="shared" si="4"/>
        <v>-46.660436940130197</v>
      </c>
      <c r="G20" s="2"/>
      <c r="H20" s="2"/>
      <c r="I20" s="2"/>
      <c r="J20" s="19">
        <f t="shared" si="5"/>
        <v>0</v>
      </c>
      <c r="K20" s="2"/>
      <c r="L20" s="2">
        <f t="shared" si="6"/>
        <v>-7240.3</v>
      </c>
      <c r="M20" s="2"/>
      <c r="N20" s="19">
        <f t="shared" si="7"/>
        <v>0</v>
      </c>
      <c r="O20" s="11"/>
      <c r="P20" s="2">
        <v>367031.19999999995</v>
      </c>
      <c r="Q20" s="2"/>
      <c r="R20" s="19">
        <f t="shared" si="8"/>
        <v>0.40646917672347793</v>
      </c>
      <c r="S20" s="2"/>
      <c r="T20" s="2"/>
      <c r="U20" s="2"/>
      <c r="V20" s="19">
        <f t="shared" si="9"/>
        <v>0</v>
      </c>
      <c r="W20" s="2"/>
      <c r="X20" s="2">
        <f t="shared" si="10"/>
        <v>367031.19999999995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14383.87</v>
      </c>
      <c r="E22" s="14"/>
      <c r="F22" s="20">
        <f>IF(D$12=0,0,D22/D$12)</f>
        <v>92.697493072114483</v>
      </c>
      <c r="G22" s="14"/>
      <c r="H22" s="22">
        <f>H12-H17</f>
        <v>5071.07</v>
      </c>
      <c r="I22" s="14"/>
      <c r="J22" s="20">
        <f>IF(H$12=0,0,H22/H$12)</f>
        <v>-5.3435932560590089</v>
      </c>
      <c r="K22" s="16"/>
      <c r="L22" s="22">
        <f>+D22-H22</f>
        <v>9312.8000000000011</v>
      </c>
      <c r="M22" s="16"/>
      <c r="N22" s="20">
        <f>IF(H22=0,0,L22/H22)</f>
        <v>1.8364566058050869</v>
      </c>
      <c r="O22" s="28"/>
      <c r="P22" s="22">
        <f>P12-P17</f>
        <v>233862.59000000008</v>
      </c>
      <c r="Q22" s="14"/>
      <c r="R22" s="20">
        <f>IF(P$12=0,0,P22/P$12)</f>
        <v>0.25899142749640985</v>
      </c>
      <c r="S22" s="14"/>
      <c r="T22" s="22">
        <f>T12-T17</f>
        <v>294050.29999999993</v>
      </c>
      <c r="U22" s="14"/>
      <c r="V22" s="20">
        <f>IF(T$12=0,0,T22/T$12)</f>
        <v>0.27806963790934963</v>
      </c>
      <c r="W22" s="16"/>
      <c r="X22" s="22">
        <f>+P22-T22</f>
        <v>-60187.709999999846</v>
      </c>
      <c r="Y22" s="16"/>
      <c r="Z22" s="20">
        <f>IF(T22=0,0,X22/T22)</f>
        <v>-0.20468508279025685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SUM(0)</f>
        <v>0</v>
      </c>
      <c r="E24" s="21"/>
      <c r="F24" s="30">
        <f>IF(D$12=0,0,D24/D$12)</f>
        <v>0</v>
      </c>
      <c r="G24" s="21"/>
      <c r="H24" s="21">
        <f>SUM(0)</f>
        <v>0</v>
      </c>
      <c r="I24" s="21"/>
      <c r="J24" s="30">
        <f>IF(H$12=0,0,H24/H$12)</f>
        <v>0</v>
      </c>
      <c r="K24" s="4"/>
      <c r="L24" s="21">
        <f>+D24-H24</f>
        <v>0</v>
      </c>
      <c r="M24" s="4"/>
      <c r="N24" s="30">
        <f>IF(H24=0,0,L24/H24)</f>
        <v>0</v>
      </c>
      <c r="O24" s="10"/>
      <c r="P24" s="21">
        <f>SUM(0)</f>
        <v>0</v>
      </c>
      <c r="Q24" s="21"/>
      <c r="R24" s="30">
        <f>IF(P$12=0,0,P24/P$12)</f>
        <v>0</v>
      </c>
      <c r="S24" s="21"/>
      <c r="T24" s="21">
        <f>SUM(0)</f>
        <v>0</v>
      </c>
      <c r="U24" s="21"/>
      <c r="V24" s="30">
        <f>IF(T$12=0,0,T24/T$12)</f>
        <v>0</v>
      </c>
      <c r="W24" s="4"/>
      <c r="X24" s="21">
        <f>+P24-T24</f>
        <v>0</v>
      </c>
      <c r="Y24" s="4"/>
      <c r="Z24" s="30">
        <f>IF(T24=0,0,X24/T24)</f>
        <v>0</v>
      </c>
    </row>
    <row r="25" spans="1:26" s="5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+D22-D24+D26</f>
        <v>14383.87</v>
      </c>
      <c r="E28" s="14"/>
      <c r="F28" s="20">
        <f>IF(D$12=0,0,D28/D$12)</f>
        <v>92.697493072114483</v>
      </c>
      <c r="G28" s="14"/>
      <c r="H28" s="22">
        <f>+H22-H24+H26</f>
        <v>5071.07</v>
      </c>
      <c r="I28" s="14"/>
      <c r="J28" s="20">
        <f>IF(H$12=0,0,H28/H$12)</f>
        <v>-5.3435932560590089</v>
      </c>
      <c r="K28" s="16"/>
      <c r="L28" s="22">
        <f>+D28-H28</f>
        <v>9312.8000000000011</v>
      </c>
      <c r="M28" s="16"/>
      <c r="N28" s="20">
        <f>IF(H28=0,0,L28/H28)</f>
        <v>1.8364566058050869</v>
      </c>
      <c r="O28" s="28"/>
      <c r="P28" s="22">
        <f>+P22-P24+P26</f>
        <v>233862.59000000008</v>
      </c>
      <c r="Q28" s="14"/>
      <c r="R28" s="20">
        <f>IF(P$12=0,0,P28/P$12)</f>
        <v>0.25899142749640985</v>
      </c>
      <c r="S28" s="14"/>
      <c r="T28" s="22">
        <f>+T22-T24+T26</f>
        <v>294050.29999999993</v>
      </c>
      <c r="U28" s="14"/>
      <c r="V28" s="20">
        <f>IF(T$12=0,0,T28/T$12)</f>
        <v>0.27806963790934963</v>
      </c>
      <c r="W28" s="16"/>
      <c r="X28" s="22">
        <f>+P28-T28</f>
        <v>-60187.709999999846</v>
      </c>
      <c r="Y28" s="16"/>
      <c r="Z28" s="20">
        <f>IF(T28=0,0,X28/T28)</f>
        <v>-0.20468508279025685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1925.74</v>
      </c>
      <c r="E30" s="4"/>
      <c r="F30" s="12">
        <f>IF(D$12=0,0,D30/D$12)</f>
        <v>12.410517496938844</v>
      </c>
      <c r="G30" s="4"/>
      <c r="H30" s="4">
        <v>2082</v>
      </c>
      <c r="I30" s="4"/>
      <c r="J30" s="12">
        <f>IF(H$12=0,0,H30/H$12)</f>
        <v>-2.1938883034773444</v>
      </c>
      <c r="K30" s="4"/>
      <c r="L30" s="4">
        <f>+D30-H30</f>
        <v>-156.26</v>
      </c>
      <c r="M30" s="4"/>
      <c r="N30" s="12">
        <f>IF(H30=0,0,L30/H30)</f>
        <v>-7.5052833813640724E-2</v>
      </c>
      <c r="O30" s="10"/>
      <c r="P30" s="4">
        <v>97528.17</v>
      </c>
      <c r="Q30" s="4"/>
      <c r="R30" s="12">
        <f>IF(P$12=0,0,P30/P$12)</f>
        <v>0.10800769789393219</v>
      </c>
      <c r="S30" s="4"/>
      <c r="T30" s="4">
        <v>136217</v>
      </c>
      <c r="U30" s="4"/>
      <c r="V30" s="12">
        <f>IF(T$12=0,0,T30/T$12)</f>
        <v>0.12881405619071937</v>
      </c>
      <c r="W30" s="4"/>
      <c r="X30" s="4">
        <f>+P30-T30</f>
        <v>-38688.83</v>
      </c>
      <c r="Y30" s="4"/>
      <c r="Z30" s="12">
        <f>IF(T30=0,0,X30/T30)</f>
        <v>-0.28402350661077547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1">
        <f>+D28-D30</f>
        <v>12458.130000000001</v>
      </c>
      <c r="E32" s="14"/>
      <c r="F32" s="32">
        <f>IF(D$12=0,0,D32/D$12)</f>
        <v>80.286975575175646</v>
      </c>
      <c r="G32" s="14"/>
      <c r="H32" s="31">
        <f>+H28-H30</f>
        <v>2989.0699999999997</v>
      </c>
      <c r="I32" s="14"/>
      <c r="J32" s="32">
        <f>IF(H$12=0,0,H32/H$12)</f>
        <v>-3.1497049525816645</v>
      </c>
      <c r="K32" s="16"/>
      <c r="L32" s="31">
        <f>D32-H32</f>
        <v>9469.0600000000013</v>
      </c>
      <c r="M32" s="16"/>
      <c r="N32" s="32">
        <f>IF(H32=0,0,L32/H32)</f>
        <v>3.167895030895898</v>
      </c>
      <c r="O32" s="28"/>
      <c r="P32" s="31">
        <f>+P28-P30</f>
        <v>136334.4200000001</v>
      </c>
      <c r="Q32" s="14"/>
      <c r="R32" s="32">
        <f>IF(P$12=0,0,P32/P$12)</f>
        <v>0.15098372960247769</v>
      </c>
      <c r="S32" s="14"/>
      <c r="T32" s="31">
        <f>+T28-T30</f>
        <v>157833.29999999993</v>
      </c>
      <c r="U32" s="14"/>
      <c r="V32" s="32">
        <f>IF(T$12=0,0,T32/T$12)</f>
        <v>0.14925558171863024</v>
      </c>
      <c r="W32" s="16"/>
      <c r="X32" s="31">
        <f>P32-T32</f>
        <v>-21498.87999999983</v>
      </c>
      <c r="Y32" s="16"/>
      <c r="Z32" s="32">
        <f>IF(T32=0,0,X32/T32)</f>
        <v>-0.13621257364573788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5">
        <f>SUM(D32:D34)</f>
        <v>12458.130000000001</v>
      </c>
      <c r="E35" s="14"/>
      <c r="F35" s="34">
        <f>IF(D$12=0,0,D35/D$12)</f>
        <v>80.286975575175646</v>
      </c>
      <c r="G35" s="14"/>
      <c r="H35" s="35">
        <f>SUM(H32:H34)</f>
        <v>2989.0699999999997</v>
      </c>
      <c r="I35" s="14"/>
      <c r="J35" s="34">
        <f>IF(H$12=0,0,H35/H$12)</f>
        <v>-3.1497049525816645</v>
      </c>
      <c r="K35" s="16"/>
      <c r="L35" s="35">
        <f>+D35-H35</f>
        <v>9469.0600000000013</v>
      </c>
      <c r="M35" s="16"/>
      <c r="N35" s="34">
        <f>IF(H35=0,0,L35/H35)</f>
        <v>3.167895030895898</v>
      </c>
      <c r="O35" s="28"/>
      <c r="P35" s="35">
        <f>SUM(P32:P34)</f>
        <v>136334.4200000001</v>
      </c>
      <c r="Q35" s="14"/>
      <c r="R35" s="34">
        <f>IF(P$12=0,0,P35/P$12)</f>
        <v>0.15098372960247769</v>
      </c>
      <c r="S35" s="14"/>
      <c r="T35" s="35">
        <f>SUM(T32:T34)</f>
        <v>157833.29999999993</v>
      </c>
      <c r="U35" s="14"/>
      <c r="V35" s="34">
        <f>IF(T$12=0,0,T35/T$12)</f>
        <v>0.14925558171863024</v>
      </c>
      <c r="W35" s="16"/>
      <c r="X35" s="35">
        <f>+P35-T35</f>
        <v>-21498.87999999983</v>
      </c>
      <c r="Y35" s="16"/>
      <c r="Z35" s="34">
        <f>IF(T35=0,0,X35/T35)</f>
        <v>-0.13621257364573788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3">
        <v>43847.44607716435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304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299522.15999999986</v>
      </c>
      <c r="E12" s="4"/>
      <c r="F12" s="12"/>
      <c r="G12" s="4"/>
      <c r="H12" s="4">
        <f>SUM(OSRRefH13x_0)</f>
        <v>390917.02398</v>
      </c>
      <c r="I12" s="4"/>
      <c r="J12" s="12"/>
      <c r="K12" s="4"/>
      <c r="L12" s="4">
        <f t="shared" ref="L12:L40" si="0">+D12-H12</f>
        <v>-91394.86398000014</v>
      </c>
      <c r="M12" s="4"/>
      <c r="N12" s="12">
        <f t="shared" ref="N12:N40" si="1">IF(H12=0,0,L12/H12)</f>
        <v>-0.23379607019794579</v>
      </c>
      <c r="O12" s="10"/>
      <c r="P12" s="4">
        <f>SUM(OSRRefP13x_0)</f>
        <v>1751308.4799999997</v>
      </c>
      <c r="Q12" s="4"/>
      <c r="R12" s="12"/>
      <c r="S12" s="4"/>
      <c r="T12" s="4">
        <f>SUM(OSRRefT13x_0)</f>
        <v>1737772.4692799998</v>
      </c>
      <c r="U12" s="4"/>
      <c r="V12" s="12"/>
      <c r="W12" s="4"/>
      <c r="X12" s="4">
        <f t="shared" ref="X12:X40" si="2">+P12-T12</f>
        <v>13536.010719999904</v>
      </c>
      <c r="Y12" s="4"/>
      <c r="Z12" s="12">
        <f t="shared" ref="Z12:Z40" si="3">IF(T12=0,0,X12/T12)</f>
        <v>7.7892882752413455E-3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390917.02398</v>
      </c>
      <c r="I13" s="2"/>
      <c r="J13" s="19"/>
      <c r="K13" s="2"/>
      <c r="L13" s="2">
        <f t="shared" si="0"/>
        <v>-390917.02398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1737772.4692799998</v>
      </c>
      <c r="U13" s="2"/>
      <c r="V13" s="19"/>
      <c r="W13" s="2"/>
      <c r="X13" s="2">
        <f t="shared" si="2"/>
        <v>-1737772.4692799998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--26.46</f>
        <v>26.46</v>
      </c>
      <c r="E14" s="2"/>
      <c r="F14" s="19"/>
      <c r="G14" s="2"/>
      <c r="H14" s="2"/>
      <c r="I14" s="2"/>
      <c r="J14" s="19"/>
      <c r="K14" s="2"/>
      <c r="L14" s="2">
        <f t="shared" si="0"/>
        <v>26.46</v>
      </c>
      <c r="M14" s="2"/>
      <c r="N14" s="19">
        <f t="shared" si="1"/>
        <v>0</v>
      </c>
      <c r="O14" s="11"/>
      <c r="P14" s="2">
        <f>--149.65</f>
        <v>149.65</v>
      </c>
      <c r="Q14" s="2"/>
      <c r="R14" s="19"/>
      <c r="S14" s="2"/>
      <c r="T14" s="2"/>
      <c r="U14" s="2"/>
      <c r="V14" s="19"/>
      <c r="W14" s="2"/>
      <c r="X14" s="2">
        <f t="shared" si="2"/>
        <v>149.65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--193654.24</f>
        <v>193654.24</v>
      </c>
      <c r="E16" s="2"/>
      <c r="F16" s="19"/>
      <c r="G16" s="2"/>
      <c r="H16" s="2"/>
      <c r="I16" s="2"/>
      <c r="J16" s="19"/>
      <c r="K16" s="2"/>
      <c r="L16" s="2">
        <f t="shared" si="0"/>
        <v>193654.24</v>
      </c>
      <c r="M16" s="2"/>
      <c r="N16" s="19">
        <f t="shared" si="1"/>
        <v>0</v>
      </c>
      <c r="O16" s="11"/>
      <c r="P16" s="2">
        <f>--1291791.18</f>
        <v>1291791.18</v>
      </c>
      <c r="Q16" s="2"/>
      <c r="R16" s="19"/>
      <c r="S16" s="2"/>
      <c r="T16" s="2"/>
      <c r="U16" s="2"/>
      <c r="V16" s="19"/>
      <c r="W16" s="2"/>
      <c r="X16" s="2">
        <f t="shared" si="2"/>
        <v>1291791.18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--37882.63</f>
        <v>37882.629999999997</v>
      </c>
      <c r="E17" s="2"/>
      <c r="F17" s="19"/>
      <c r="G17" s="2"/>
      <c r="H17" s="2"/>
      <c r="I17" s="2"/>
      <c r="J17" s="19"/>
      <c r="K17" s="2"/>
      <c r="L17" s="2">
        <f t="shared" si="0"/>
        <v>37882.629999999997</v>
      </c>
      <c r="M17" s="2"/>
      <c r="N17" s="19">
        <f t="shared" si="1"/>
        <v>0</v>
      </c>
      <c r="O17" s="11"/>
      <c r="P17" s="2">
        <f>--199061.93</f>
        <v>199061.93</v>
      </c>
      <c r="Q17" s="2"/>
      <c r="R17" s="19"/>
      <c r="S17" s="2"/>
      <c r="T17" s="2"/>
      <c r="U17" s="2"/>
      <c r="V17" s="19"/>
      <c r="W17" s="2"/>
      <c r="X17" s="2">
        <f t="shared" si="2"/>
        <v>199061.93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--36762.61</f>
        <v>36762.61</v>
      </c>
      <c r="E18" s="2"/>
      <c r="F18" s="19"/>
      <c r="G18" s="2"/>
      <c r="H18" s="2"/>
      <c r="I18" s="2"/>
      <c r="J18" s="19"/>
      <c r="K18" s="2"/>
      <c r="L18" s="2">
        <f t="shared" si="0"/>
        <v>36762.61</v>
      </c>
      <c r="M18" s="2"/>
      <c r="N18" s="19">
        <f t="shared" si="1"/>
        <v>0</v>
      </c>
      <c r="O18" s="11"/>
      <c r="P18" s="2">
        <f>--151845.16</f>
        <v>151845.16</v>
      </c>
      <c r="Q18" s="2"/>
      <c r="R18" s="19"/>
      <c r="S18" s="2"/>
      <c r="T18" s="2"/>
      <c r="U18" s="2"/>
      <c r="V18" s="19"/>
      <c r="W18" s="2"/>
      <c r="X18" s="2">
        <f t="shared" si="2"/>
        <v>151845.16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--9495.36</f>
        <v>9495.36</v>
      </c>
      <c r="E19" s="2"/>
      <c r="F19" s="19"/>
      <c r="G19" s="2"/>
      <c r="H19" s="2"/>
      <c r="I19" s="2"/>
      <c r="J19" s="19"/>
      <c r="K19" s="2"/>
      <c r="L19" s="2">
        <f t="shared" si="0"/>
        <v>9495.36</v>
      </c>
      <c r="M19" s="2"/>
      <c r="N19" s="19">
        <f t="shared" si="1"/>
        <v>0</v>
      </c>
      <c r="O19" s="11"/>
      <c r="P19" s="2">
        <f>--14216.4</f>
        <v>14216.4</v>
      </c>
      <c r="Q19" s="2"/>
      <c r="R19" s="19"/>
      <c r="S19" s="2"/>
      <c r="T19" s="2"/>
      <c r="U19" s="2"/>
      <c r="V19" s="19"/>
      <c r="W19" s="2"/>
      <c r="X19" s="2">
        <f t="shared" si="2"/>
        <v>14216.4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--5438.42</f>
        <v>5438.42</v>
      </c>
      <c r="E20" s="2"/>
      <c r="F20" s="19"/>
      <c r="G20" s="2"/>
      <c r="H20" s="2"/>
      <c r="I20" s="2"/>
      <c r="J20" s="19"/>
      <c r="K20" s="2"/>
      <c r="L20" s="2">
        <f t="shared" si="0"/>
        <v>5438.42</v>
      </c>
      <c r="M20" s="2"/>
      <c r="N20" s="19">
        <f t="shared" si="1"/>
        <v>0</v>
      </c>
      <c r="O20" s="11"/>
      <c r="P20" s="2">
        <f>--46736.2</f>
        <v>46736.2</v>
      </c>
      <c r="Q20" s="2"/>
      <c r="R20" s="19"/>
      <c r="S20" s="2"/>
      <c r="T20" s="2"/>
      <c r="U20" s="2"/>
      <c r="V20" s="19"/>
      <c r="W20" s="2"/>
      <c r="X20" s="2">
        <f t="shared" si="2"/>
        <v>46736.2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--6487.38</f>
        <v>6487.38</v>
      </c>
      <c r="E21" s="2"/>
      <c r="F21" s="19"/>
      <c r="G21" s="2"/>
      <c r="H21" s="2"/>
      <c r="I21" s="2"/>
      <c r="J21" s="19"/>
      <c r="K21" s="2"/>
      <c r="L21" s="2">
        <f t="shared" si="0"/>
        <v>6487.38</v>
      </c>
      <c r="M21" s="2"/>
      <c r="N21" s="19">
        <f t="shared" si="1"/>
        <v>0</v>
      </c>
      <c r="O21" s="11"/>
      <c r="P21" s="2">
        <f>--61005.82</f>
        <v>61005.82</v>
      </c>
      <c r="Q21" s="2"/>
      <c r="R21" s="19"/>
      <c r="S21" s="2"/>
      <c r="T21" s="2"/>
      <c r="U21" s="2"/>
      <c r="V21" s="19"/>
      <c r="W21" s="2"/>
      <c r="X21" s="2">
        <f t="shared" si="2"/>
        <v>61005.82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--0.99</f>
        <v>0.99</v>
      </c>
      <c r="E23" s="2"/>
      <c r="F23" s="19"/>
      <c r="G23" s="2"/>
      <c r="H23" s="2"/>
      <c r="I23" s="2"/>
      <c r="J23" s="19"/>
      <c r="K23" s="2"/>
      <c r="L23" s="2">
        <f t="shared" si="0"/>
        <v>0.99</v>
      </c>
      <c r="M23" s="2"/>
      <c r="N23" s="19">
        <f t="shared" si="1"/>
        <v>0</v>
      </c>
      <c r="O23" s="11"/>
      <c r="P23" s="2">
        <f>--28.71</f>
        <v>28.71</v>
      </c>
      <c r="Q23" s="2"/>
      <c r="R23" s="19"/>
      <c r="S23" s="2"/>
      <c r="T23" s="2"/>
      <c r="U23" s="2"/>
      <c r="V23" s="19"/>
      <c r="W23" s="2"/>
      <c r="X23" s="2">
        <f t="shared" si="2"/>
        <v>28.71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--6</f>
        <v>6</v>
      </c>
      <c r="E24" s="2"/>
      <c r="F24" s="19"/>
      <c r="G24" s="2"/>
      <c r="H24" s="2"/>
      <c r="I24" s="2"/>
      <c r="J24" s="19"/>
      <c r="K24" s="2"/>
      <c r="L24" s="2">
        <f t="shared" si="0"/>
        <v>6</v>
      </c>
      <c r="M24" s="2"/>
      <c r="N24" s="19">
        <f t="shared" si="1"/>
        <v>0</v>
      </c>
      <c r="O24" s="11"/>
      <c r="P24" s="2">
        <f>--93</f>
        <v>93</v>
      </c>
      <c r="Q24" s="2"/>
      <c r="R24" s="19"/>
      <c r="S24" s="2"/>
      <c r="T24" s="2"/>
      <c r="U24" s="2"/>
      <c r="V24" s="19"/>
      <c r="W24" s="2"/>
      <c r="X24" s="2">
        <f t="shared" si="2"/>
        <v>93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--18815.05</f>
        <v>18815.05</v>
      </c>
      <c r="E25" s="2"/>
      <c r="F25" s="19"/>
      <c r="G25" s="2"/>
      <c r="H25" s="2"/>
      <c r="I25" s="2"/>
      <c r="J25" s="19"/>
      <c r="K25" s="2"/>
      <c r="L25" s="2">
        <f t="shared" si="0"/>
        <v>18815.05</v>
      </c>
      <c r="M25" s="2"/>
      <c r="N25" s="19">
        <f t="shared" si="1"/>
        <v>0</v>
      </c>
      <c r="O25" s="11"/>
      <c r="P25" s="2">
        <f>--38823.84</f>
        <v>38823.839999999997</v>
      </c>
      <c r="Q25" s="2"/>
      <c r="R25" s="19"/>
      <c r="S25" s="2"/>
      <c r="T25" s="2"/>
      <c r="U25" s="2"/>
      <c r="V25" s="19"/>
      <c r="W25" s="2"/>
      <c r="X25" s="2">
        <f t="shared" si="2"/>
        <v>38823.839999999997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"4141", " - ", "NON-TAXABLE SALES-LOGO GIFTS")</f>
        <v xml:space="preserve">          4141 - NON-TAXABLE SALES-LOGO GIFTS</v>
      </c>
      <c r="C26" s="11"/>
      <c r="D26" s="2">
        <f>--699.6</f>
        <v>699.6</v>
      </c>
      <c r="E26" s="2"/>
      <c r="F26" s="19"/>
      <c r="G26" s="2"/>
      <c r="H26" s="2"/>
      <c r="I26" s="2"/>
      <c r="J26" s="19"/>
      <c r="K26" s="2"/>
      <c r="L26" s="2">
        <f t="shared" si="0"/>
        <v>699.6</v>
      </c>
      <c r="M26" s="2"/>
      <c r="N26" s="19">
        <f t="shared" si="1"/>
        <v>0</v>
      </c>
      <c r="O26" s="11"/>
      <c r="P26" s="2">
        <f>--2377.13</f>
        <v>2377.13</v>
      </c>
      <c r="Q26" s="2"/>
      <c r="R26" s="19"/>
      <c r="S26" s="2"/>
      <c r="T26" s="2"/>
      <c r="U26" s="2"/>
      <c r="V26" s="19"/>
      <c r="W26" s="2"/>
      <c r="X26" s="2">
        <f t="shared" si="2"/>
        <v>2377.13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--1314.66</f>
        <v>1314.66</v>
      </c>
      <c r="E27" s="2"/>
      <c r="F27" s="19"/>
      <c r="G27" s="2"/>
      <c r="H27" s="2"/>
      <c r="I27" s="2"/>
      <c r="J27" s="19"/>
      <c r="K27" s="2"/>
      <c r="L27" s="2">
        <f t="shared" si="0"/>
        <v>1314.66</v>
      </c>
      <c r="M27" s="2"/>
      <c r="N27" s="19">
        <f t="shared" si="1"/>
        <v>0</v>
      </c>
      <c r="O27" s="11"/>
      <c r="P27" s="2">
        <f>--3730.49</f>
        <v>3730.49</v>
      </c>
      <c r="Q27" s="2"/>
      <c r="R27" s="19"/>
      <c r="S27" s="2"/>
      <c r="T27" s="2"/>
      <c r="U27" s="2"/>
      <c r="V27" s="19"/>
      <c r="W27" s="2"/>
      <c r="X27" s="2">
        <f t="shared" si="2"/>
        <v>3730.49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"4144", " - ", "NON-TAXABLE SALES-ACCESSORIES")</f>
        <v xml:space="preserve">          4144 - NON-TAXABLE SALES-ACCESSORIES</v>
      </c>
      <c r="C28" s="11"/>
      <c r="D28" s="2">
        <f>--351.29</f>
        <v>351.29</v>
      </c>
      <c r="E28" s="2"/>
      <c r="F28" s="19"/>
      <c r="G28" s="2"/>
      <c r="H28" s="2"/>
      <c r="I28" s="2"/>
      <c r="J28" s="19"/>
      <c r="K28" s="2"/>
      <c r="L28" s="2">
        <f t="shared" si="0"/>
        <v>351.29</v>
      </c>
      <c r="M28" s="2"/>
      <c r="N28" s="19">
        <f t="shared" si="1"/>
        <v>0</v>
      </c>
      <c r="O28" s="11"/>
      <c r="P28" s="2">
        <f>--592.85</f>
        <v>592.85</v>
      </c>
      <c r="Q28" s="2"/>
      <c r="R28" s="19"/>
      <c r="S28" s="2"/>
      <c r="T28" s="2"/>
      <c r="U28" s="2"/>
      <c r="V28" s="19"/>
      <c r="W28" s="2"/>
      <c r="X28" s="2">
        <f t="shared" si="2"/>
        <v>592.85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 t="shared" ref="D29:D30" si="4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--140</f>
        <v>140</v>
      </c>
      <c r="Q29" s="2"/>
      <c r="R29" s="19"/>
      <c r="S29" s="2"/>
      <c r="T29" s="2"/>
      <c r="U29" s="2"/>
      <c r="V29" s="19"/>
      <c r="W29" s="2"/>
      <c r="X29" s="2">
        <f t="shared" si="2"/>
        <v>140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-134.8</f>
        <v>-134.80000000000001</v>
      </c>
      <c r="Q30" s="2"/>
      <c r="R30" s="19"/>
      <c r="S30" s="2"/>
      <c r="T30" s="2"/>
      <c r="U30" s="2"/>
      <c r="V30" s="19"/>
      <c r="W30" s="2"/>
      <c r="X30" s="2">
        <f t="shared" si="2"/>
        <v>-134.80000000000001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-8212.91</f>
        <v>-8212.91</v>
      </c>
      <c r="E31" s="2"/>
      <c r="F31" s="19"/>
      <c r="G31" s="2"/>
      <c r="H31" s="2"/>
      <c r="I31" s="2"/>
      <c r="J31" s="19"/>
      <c r="K31" s="2"/>
      <c r="L31" s="2">
        <f t="shared" si="0"/>
        <v>-8212.91</v>
      </c>
      <c r="M31" s="2"/>
      <c r="N31" s="19">
        <f t="shared" si="1"/>
        <v>0</v>
      </c>
      <c r="O31" s="11"/>
      <c r="P31" s="2">
        <f>-49321.94</f>
        <v>-49321.94</v>
      </c>
      <c r="Q31" s="2"/>
      <c r="R31" s="19"/>
      <c r="S31" s="2"/>
      <c r="T31" s="2"/>
      <c r="U31" s="2"/>
      <c r="V31" s="19"/>
      <c r="W31" s="2"/>
      <c r="X31" s="2">
        <f t="shared" si="2"/>
        <v>-49321.94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-939.28</f>
        <v>-939.28</v>
      </c>
      <c r="E32" s="2"/>
      <c r="F32" s="19"/>
      <c r="G32" s="2"/>
      <c r="H32" s="2"/>
      <c r="I32" s="2"/>
      <c r="J32" s="19"/>
      <c r="K32" s="2"/>
      <c r="L32" s="2">
        <f t="shared" si="0"/>
        <v>-939.28</v>
      </c>
      <c r="M32" s="2"/>
      <c r="N32" s="19">
        <f t="shared" si="1"/>
        <v>0</v>
      </c>
      <c r="O32" s="11"/>
      <c r="P32" s="2">
        <f>-3514.12</f>
        <v>-3514.12</v>
      </c>
      <c r="Q32" s="2"/>
      <c r="R32" s="19"/>
      <c r="S32" s="2"/>
      <c r="T32" s="2"/>
      <c r="U32" s="2"/>
      <c r="V32" s="19"/>
      <c r="W32" s="2"/>
      <c r="X32" s="2">
        <f t="shared" si="2"/>
        <v>-3514.12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-1097.55</f>
        <v>-1097.55</v>
      </c>
      <c r="E33" s="2"/>
      <c r="F33" s="19"/>
      <c r="G33" s="2"/>
      <c r="H33" s="2"/>
      <c r="I33" s="2"/>
      <c r="J33" s="19"/>
      <c r="K33" s="2"/>
      <c r="L33" s="2">
        <f t="shared" si="0"/>
        <v>-1097.55</v>
      </c>
      <c r="M33" s="2"/>
      <c r="N33" s="19">
        <f t="shared" si="1"/>
        <v>0</v>
      </c>
      <c r="O33" s="11"/>
      <c r="P33" s="2">
        <f>-2773.22</f>
        <v>-2773.22</v>
      </c>
      <c r="Q33" s="2"/>
      <c r="R33" s="19"/>
      <c r="S33" s="2"/>
      <c r="T33" s="2"/>
      <c r="U33" s="2"/>
      <c r="V33" s="19"/>
      <c r="W33" s="2"/>
      <c r="X33" s="2">
        <f t="shared" si="2"/>
        <v>-2773.22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"4243", " - ", "SALES RETURN TAXABLE-CARDS")</f>
        <v xml:space="preserve">          4243 - SALES RETURN TAXABLE-CARDS</v>
      </c>
      <c r="C34" s="11"/>
      <c r="D34" s="2">
        <f>-558.63</f>
        <v>-558.63</v>
      </c>
      <c r="E34" s="2"/>
      <c r="F34" s="19"/>
      <c r="G34" s="2"/>
      <c r="H34" s="2"/>
      <c r="I34" s="2"/>
      <c r="J34" s="19"/>
      <c r="K34" s="2"/>
      <c r="L34" s="2">
        <f t="shared" si="0"/>
        <v>-558.63</v>
      </c>
      <c r="M34" s="2"/>
      <c r="N34" s="19">
        <f t="shared" si="1"/>
        <v>0</v>
      </c>
      <c r="O34" s="11"/>
      <c r="P34" s="2">
        <f>-879.47</f>
        <v>-879.47</v>
      </c>
      <c r="Q34" s="2"/>
      <c r="R34" s="19"/>
      <c r="S34" s="2"/>
      <c r="T34" s="2"/>
      <c r="U34" s="2"/>
      <c r="V34" s="19"/>
      <c r="W34" s="2"/>
      <c r="X34" s="2">
        <f t="shared" si="2"/>
        <v>-879.47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"4244", " - ", "SALES RETURN TAXABLE-ACCESSORI")</f>
        <v xml:space="preserve">          4244 - SALES RETURN TAXABLE-ACCESSORI</v>
      </c>
      <c r="C35" s="11"/>
      <c r="D35" s="2">
        <f>-202.71</f>
        <v>-202.71</v>
      </c>
      <c r="E35" s="2"/>
      <c r="F35" s="19"/>
      <c r="G35" s="2"/>
      <c r="H35" s="2"/>
      <c r="I35" s="2"/>
      <c r="J35" s="19"/>
      <c r="K35" s="2"/>
      <c r="L35" s="2">
        <f t="shared" si="0"/>
        <v>-202.71</v>
      </c>
      <c r="M35" s="2"/>
      <c r="N35" s="19">
        <f t="shared" si="1"/>
        <v>0</v>
      </c>
      <c r="O35" s="11"/>
      <c r="P35" s="2">
        <f>-1731.77</f>
        <v>-1731.77</v>
      </c>
      <c r="Q35" s="2"/>
      <c r="R35" s="19"/>
      <c r="S35" s="2"/>
      <c r="T35" s="2"/>
      <c r="U35" s="2"/>
      <c r="V35" s="19"/>
      <c r="W35" s="2"/>
      <c r="X35" s="2">
        <f t="shared" si="2"/>
        <v>-1731.77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"4245", " - ", "SALES RETURN TAXABLE-SPECIAL O")</f>
        <v xml:space="preserve">          4245 - SALES RETURN TAXABLE-SPECIAL O</v>
      </c>
      <c r="C36" s="11"/>
      <c r="D36" s="2">
        <f t="shared" ref="D36:D37" si="5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-91.96</f>
        <v>-91.96</v>
      </c>
      <c r="Q36" s="2"/>
      <c r="R36" s="19"/>
      <c r="S36" s="2"/>
      <c r="T36" s="2"/>
      <c r="U36" s="2"/>
      <c r="V36" s="19"/>
      <c r="W36" s="2"/>
      <c r="X36" s="2">
        <f t="shared" si="2"/>
        <v>-91.96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"4295", " - ", "SALES RETURN TAXABLE-CUSTOMER")</f>
        <v xml:space="preserve">          4295 - SALES RETURN TAXABLE-CUSTOMER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--0.99</f>
        <v>0.99</v>
      </c>
      <c r="Q37" s="2"/>
      <c r="R37" s="19"/>
      <c r="S37" s="2"/>
      <c r="T37" s="2"/>
      <c r="U37" s="2"/>
      <c r="V37" s="19"/>
      <c r="W37" s="2"/>
      <c r="X37" s="2">
        <f t="shared" si="2"/>
        <v>0.99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"4340", " - ", "SALES RETURN NON TAXABLE-LOGO")</f>
        <v xml:space="preserve">          4340 - SALES RETURN NON TAXABLE-LOGO</v>
      </c>
      <c r="C38" s="11"/>
      <c r="D38" s="2">
        <f>-391.5</f>
        <v>-391.5</v>
      </c>
      <c r="E38" s="2"/>
      <c r="F38" s="19"/>
      <c r="G38" s="2"/>
      <c r="H38" s="2"/>
      <c r="I38" s="2"/>
      <c r="J38" s="19"/>
      <c r="K38" s="2"/>
      <c r="L38" s="2">
        <f t="shared" si="0"/>
        <v>-391.5</v>
      </c>
      <c r="M38" s="2"/>
      <c r="N38" s="19">
        <f t="shared" si="1"/>
        <v>0</v>
      </c>
      <c r="O38" s="11"/>
      <c r="P38" s="2">
        <f>-714.9</f>
        <v>-714.9</v>
      </c>
      <c r="Q38" s="2"/>
      <c r="R38" s="19"/>
      <c r="S38" s="2"/>
      <c r="T38" s="2"/>
      <c r="U38" s="2"/>
      <c r="V38" s="19"/>
      <c r="W38" s="2"/>
      <c r="X38" s="2">
        <f t="shared" si="2"/>
        <v>-714.9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"4341", " - ", "SALES RETURN NON TAXABLE-LOGO")</f>
        <v xml:space="preserve">          4341 - SALES RETURN NON TAXABLE-LOGO</v>
      </c>
      <c r="C39" s="11"/>
      <c r="D39" s="2">
        <f>-9.95</f>
        <v>-9.9499999999999993</v>
      </c>
      <c r="E39" s="2"/>
      <c r="F39" s="19"/>
      <c r="G39" s="2"/>
      <c r="H39" s="2"/>
      <c r="I39" s="2"/>
      <c r="J39" s="19"/>
      <c r="K39" s="2"/>
      <c r="L39" s="2">
        <f t="shared" si="0"/>
        <v>-9.9499999999999993</v>
      </c>
      <c r="M39" s="2"/>
      <c r="N39" s="19">
        <f t="shared" si="1"/>
        <v>0</v>
      </c>
      <c r="O39" s="11"/>
      <c r="P39" s="2">
        <f>-20.85</f>
        <v>-20.85</v>
      </c>
      <c r="Q39" s="2"/>
      <c r="R39" s="19"/>
      <c r="S39" s="2"/>
      <c r="T39" s="2"/>
      <c r="U39" s="2"/>
      <c r="V39" s="19"/>
      <c r="W39" s="2"/>
      <c r="X39" s="2">
        <f t="shared" si="2"/>
        <v>-20.85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"4342", " - ", "SALES RETURN NON TAXABLE-EVERY")</f>
        <v xml:space="preserve">          4342 - SALES RETURN NON TAXABLE-EVERY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-109.8</f>
        <v>-109.8</v>
      </c>
      <c r="Q40" s="2"/>
      <c r="R40" s="19"/>
      <c r="S40" s="2"/>
      <c r="T40" s="2"/>
      <c r="U40" s="2"/>
      <c r="V40" s="19"/>
      <c r="W40" s="2"/>
      <c r="X40" s="2">
        <f t="shared" si="2"/>
        <v>-109.8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139371.29999999996</v>
      </c>
      <c r="E42" s="4"/>
      <c r="F42" s="12">
        <f t="shared" ref="F42:F64" si="6">IF(D$12=0,0,D42/D$12)</f>
        <v>0.46531214919123187</v>
      </c>
      <c r="G42" s="4"/>
      <c r="H42" s="4">
        <f>SUM(OSRRefH16x_0)</f>
        <v>173473.32767</v>
      </c>
      <c r="I42" s="4"/>
      <c r="J42" s="12">
        <f t="shared" ref="J42:J64" si="7">IF(H$12=0,0,H42/H$12)</f>
        <v>0.44375997213893453</v>
      </c>
      <c r="K42" s="4"/>
      <c r="L42" s="4">
        <f t="shared" ref="L42:L64" si="8">+D42-H42</f>
        <v>-34102.02767000004</v>
      </c>
      <c r="M42" s="4"/>
      <c r="N42" s="12">
        <f t="shared" ref="N42:N64" si="9">IF(H42=0,0,L42/H42)</f>
        <v>-0.19658369461196168</v>
      </c>
      <c r="O42" s="10"/>
      <c r="P42" s="4">
        <f>SUM(OSRRefP16x_0)</f>
        <v>805515.28</v>
      </c>
      <c r="Q42" s="4"/>
      <c r="R42" s="12">
        <f t="shared" ref="R42:R64" si="10">IF(P$12=0,0,P42/P$12)</f>
        <v>0.4599505393818456</v>
      </c>
      <c r="S42" s="4"/>
      <c r="T42" s="4">
        <f>SUM(OSRRefT16x_0)</f>
        <v>783659.60785999999</v>
      </c>
      <c r="U42" s="4"/>
      <c r="V42" s="12">
        <f t="shared" ref="V42:V64" si="11">IF(T$12=0,0,T42/T$12)</f>
        <v>0.45095639487526734</v>
      </c>
      <c r="W42" s="4"/>
      <c r="X42" s="4">
        <f t="shared" ref="X42:X64" si="12">+P42-T42</f>
        <v>21855.672140000039</v>
      </c>
      <c r="Y42" s="4"/>
      <c r="Z42" s="12">
        <f t="shared" ref="Z42:Z64" si="13">IF(T42=0,0,X42/T42)</f>
        <v>2.7889241605399333E-2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6"/>
        <v>0</v>
      </c>
      <c r="G43" s="2"/>
      <c r="H43" s="2">
        <v>173473.32767</v>
      </c>
      <c r="I43" s="2"/>
      <c r="J43" s="19">
        <f t="shared" si="7"/>
        <v>0.44375997213893453</v>
      </c>
      <c r="K43" s="2"/>
      <c r="L43" s="2">
        <f t="shared" si="8"/>
        <v>-173473.32767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783659.60785999999</v>
      </c>
      <c r="U43" s="2"/>
      <c r="V43" s="19">
        <f t="shared" si="11"/>
        <v>0.45095639487526734</v>
      </c>
      <c r="W43" s="2"/>
      <c r="X43" s="2">
        <f t="shared" si="12"/>
        <v>-783659.60785999999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"5026", " - ", "PURCHASES @ COST-WRITING INSTR")</f>
        <v xml:space="preserve">          5026 - PURCHASES @ COST-WRITING INSTR</v>
      </c>
      <c r="C44" s="11"/>
      <c r="D44" s="2">
        <v>16.03</v>
      </c>
      <c r="E44" s="2"/>
      <c r="F44" s="19">
        <f t="shared" si="6"/>
        <v>5.351857772393204E-5</v>
      </c>
      <c r="G44" s="2"/>
      <c r="H44" s="2"/>
      <c r="I44" s="2"/>
      <c r="J44" s="19">
        <f t="shared" si="7"/>
        <v>0</v>
      </c>
      <c r="K44" s="2"/>
      <c r="L44" s="2">
        <f t="shared" si="8"/>
        <v>16.03</v>
      </c>
      <c r="M44" s="2"/>
      <c r="N44" s="19">
        <f t="shared" si="9"/>
        <v>0</v>
      </c>
      <c r="O44" s="11"/>
      <c r="P44" s="2">
        <v>-21.24</v>
      </c>
      <c r="Q44" s="2"/>
      <c r="R44" s="19">
        <f t="shared" si="10"/>
        <v>-1.2128074661067137E-5</v>
      </c>
      <c r="S44" s="2"/>
      <c r="T44" s="2"/>
      <c r="U44" s="2"/>
      <c r="V44" s="19">
        <f t="shared" si="11"/>
        <v>0</v>
      </c>
      <c r="W44" s="2"/>
      <c r="X44" s="2">
        <f t="shared" si="12"/>
        <v>-21.24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"5027", " - ", "PURCHASES @ COST-SCHOOL SUPPLI")</f>
        <v xml:space="preserve">          5027 - PURCHASES @ COST-SCHOOL SUPPLI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51.29</v>
      </c>
      <c r="Q45" s="2"/>
      <c r="R45" s="19">
        <f t="shared" si="10"/>
        <v>2.9286673698970502E-5</v>
      </c>
      <c r="S45" s="2"/>
      <c r="T45" s="2"/>
      <c r="U45" s="2"/>
      <c r="V45" s="19">
        <f t="shared" si="11"/>
        <v>0</v>
      </c>
      <c r="W45" s="2"/>
      <c r="X45" s="2">
        <f t="shared" si="12"/>
        <v>51.29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"5037", " - ", "PURCHASES @ COST-WATER")</f>
        <v xml:space="preserve">          5037 - PURCHASES @ COST-WATER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29.76</v>
      </c>
      <c r="Q46" s="2"/>
      <c r="R46" s="19">
        <f t="shared" si="10"/>
        <v>1.6993008564659041E-5</v>
      </c>
      <c r="S46" s="2"/>
      <c r="T46" s="2"/>
      <c r="U46" s="2"/>
      <c r="V46" s="19">
        <f t="shared" si="11"/>
        <v>0</v>
      </c>
      <c r="W46" s="2"/>
      <c r="X46" s="2">
        <f t="shared" si="12"/>
        <v>29.76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"5040", " - ", "PURCHASES @ COST-LOGO CLOTHING")</f>
        <v xml:space="preserve">          5040 - PURCHASES @ COST-LOGO CLOTHING</v>
      </c>
      <c r="C47" s="11"/>
      <c r="D47" s="2">
        <v>97946.53</v>
      </c>
      <c r="E47" s="2"/>
      <c r="F47" s="19">
        <f t="shared" si="6"/>
        <v>0.32700929373639681</v>
      </c>
      <c r="G47" s="2"/>
      <c r="H47" s="2"/>
      <c r="I47" s="2"/>
      <c r="J47" s="19">
        <f t="shared" si="7"/>
        <v>0</v>
      </c>
      <c r="K47" s="2"/>
      <c r="L47" s="2">
        <f t="shared" si="8"/>
        <v>97946.53</v>
      </c>
      <c r="M47" s="2"/>
      <c r="N47" s="19">
        <f t="shared" si="9"/>
        <v>0</v>
      </c>
      <c r="O47" s="11"/>
      <c r="P47" s="2">
        <v>716238.84000000008</v>
      </c>
      <c r="Q47" s="2"/>
      <c r="R47" s="19">
        <f t="shared" si="10"/>
        <v>0.40897354645367801</v>
      </c>
      <c r="S47" s="2"/>
      <c r="T47" s="2"/>
      <c r="U47" s="2"/>
      <c r="V47" s="19">
        <f t="shared" si="11"/>
        <v>0</v>
      </c>
      <c r="W47" s="2"/>
      <c r="X47" s="2">
        <f t="shared" si="12"/>
        <v>716238.84000000008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"5041", " - ", "PURCHASES @ COST-LOGO GIFTS")</f>
        <v xml:space="preserve">          5041 - PURCHASES @ COST-LOGO GIFTS</v>
      </c>
      <c r="C48" s="11"/>
      <c r="D48" s="2">
        <v>20607.12</v>
      </c>
      <c r="E48" s="2"/>
      <c r="F48" s="19">
        <f t="shared" si="6"/>
        <v>6.8799984615495594E-2</v>
      </c>
      <c r="G48" s="2"/>
      <c r="H48" s="2"/>
      <c r="I48" s="2"/>
      <c r="J48" s="19">
        <f t="shared" si="7"/>
        <v>0</v>
      </c>
      <c r="K48" s="2"/>
      <c r="L48" s="2">
        <f t="shared" si="8"/>
        <v>20607.12</v>
      </c>
      <c r="M48" s="2"/>
      <c r="N48" s="19">
        <f t="shared" si="9"/>
        <v>0</v>
      </c>
      <c r="O48" s="11"/>
      <c r="P48" s="2">
        <v>109403.67</v>
      </c>
      <c r="Q48" s="2"/>
      <c r="R48" s="19">
        <f t="shared" si="10"/>
        <v>6.246967410333102E-2</v>
      </c>
      <c r="S48" s="2"/>
      <c r="T48" s="2"/>
      <c r="U48" s="2"/>
      <c r="V48" s="19">
        <f t="shared" si="11"/>
        <v>0</v>
      </c>
      <c r="W48" s="2"/>
      <c r="X48" s="2">
        <f t="shared" si="12"/>
        <v>109403.67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"5042", " - ", "PURCHASES @ COST-EVERYDAY GIFT")</f>
        <v xml:space="preserve">          5042 - PURCHASES @ COST-EVERYDAY GIFT</v>
      </c>
      <c r="C49" s="11"/>
      <c r="D49" s="2">
        <v>7822.79</v>
      </c>
      <c r="E49" s="2"/>
      <c r="F49" s="19">
        <f t="shared" si="6"/>
        <v>2.6117566726949364E-2</v>
      </c>
      <c r="G49" s="2"/>
      <c r="H49" s="2"/>
      <c r="I49" s="2"/>
      <c r="J49" s="19">
        <f t="shared" si="7"/>
        <v>0</v>
      </c>
      <c r="K49" s="2"/>
      <c r="L49" s="2">
        <f t="shared" si="8"/>
        <v>7822.79</v>
      </c>
      <c r="M49" s="2"/>
      <c r="N49" s="19">
        <f t="shared" si="9"/>
        <v>0</v>
      </c>
      <c r="O49" s="11"/>
      <c r="P49" s="2">
        <v>88388.11</v>
      </c>
      <c r="Q49" s="2"/>
      <c r="R49" s="19">
        <f t="shared" si="10"/>
        <v>5.0469755048522358E-2</v>
      </c>
      <c r="S49" s="2"/>
      <c r="T49" s="2"/>
      <c r="U49" s="2"/>
      <c r="V49" s="19">
        <f t="shared" si="11"/>
        <v>0</v>
      </c>
      <c r="W49" s="2"/>
      <c r="X49" s="2">
        <f t="shared" si="12"/>
        <v>88388.11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"5043", " - ", "PURCHASES @ COST-CARDS")</f>
        <v xml:space="preserve">          5043 - PURCHASES @ COST-CARDS</v>
      </c>
      <c r="C50" s="11"/>
      <c r="D50" s="2">
        <v>3256.15</v>
      </c>
      <c r="E50" s="2"/>
      <c r="F50" s="19">
        <f t="shared" si="6"/>
        <v>1.0871148899300144E-2</v>
      </c>
      <c r="G50" s="2"/>
      <c r="H50" s="2"/>
      <c r="I50" s="2"/>
      <c r="J50" s="19">
        <f t="shared" si="7"/>
        <v>0</v>
      </c>
      <c r="K50" s="2"/>
      <c r="L50" s="2">
        <f t="shared" si="8"/>
        <v>3256.15</v>
      </c>
      <c r="M50" s="2"/>
      <c r="N50" s="19">
        <f t="shared" si="9"/>
        <v>0</v>
      </c>
      <c r="O50" s="11"/>
      <c r="P50" s="2">
        <v>6784.89</v>
      </c>
      <c r="Q50" s="2"/>
      <c r="R50" s="19">
        <f t="shared" si="10"/>
        <v>3.874183262105829E-3</v>
      </c>
      <c r="S50" s="2"/>
      <c r="T50" s="2"/>
      <c r="U50" s="2"/>
      <c r="V50" s="19">
        <f t="shared" si="11"/>
        <v>0</v>
      </c>
      <c r="W50" s="2"/>
      <c r="X50" s="2">
        <f t="shared" si="12"/>
        <v>6784.89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"5044", " - ", "PURCHASES @ COST-ACCESSORIES")</f>
        <v xml:space="preserve">          5044 - PURCHASES @ COST-ACCESSORIES</v>
      </c>
      <c r="C51" s="11"/>
      <c r="D51" s="2">
        <v>432</v>
      </c>
      <c r="E51" s="2"/>
      <c r="F51" s="19">
        <f t="shared" si="6"/>
        <v>1.442297291125305E-3</v>
      </c>
      <c r="G51" s="2"/>
      <c r="H51" s="2"/>
      <c r="I51" s="2"/>
      <c r="J51" s="19">
        <f t="shared" si="7"/>
        <v>0</v>
      </c>
      <c r="K51" s="2"/>
      <c r="L51" s="2">
        <f t="shared" si="8"/>
        <v>432</v>
      </c>
      <c r="M51" s="2"/>
      <c r="N51" s="19">
        <f t="shared" si="9"/>
        <v>0</v>
      </c>
      <c r="O51" s="11"/>
      <c r="P51" s="2">
        <v>17687.580000000002</v>
      </c>
      <c r="Q51" s="2"/>
      <c r="R51" s="19">
        <f t="shared" si="10"/>
        <v>1.0099637043954703E-2</v>
      </c>
      <c r="S51" s="2"/>
      <c r="T51" s="2"/>
      <c r="U51" s="2"/>
      <c r="V51" s="19">
        <f t="shared" si="11"/>
        <v>0</v>
      </c>
      <c r="W51" s="2"/>
      <c r="X51" s="2">
        <f t="shared" si="12"/>
        <v>17687.580000000002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"5045", " - ", "PURCHASES @ COST-SPECIAL ORDER")</f>
        <v xml:space="preserve">          5045 - PURCHASES @ COST-SPECIAL ORDER</v>
      </c>
      <c r="C52" s="11"/>
      <c r="D52" s="2">
        <v>-1045.9100000000001</v>
      </c>
      <c r="E52" s="2"/>
      <c r="F52" s="19">
        <f t="shared" si="6"/>
        <v>-3.4919286105575646E-3</v>
      </c>
      <c r="G52" s="2"/>
      <c r="H52" s="2"/>
      <c r="I52" s="2"/>
      <c r="J52" s="19">
        <f t="shared" si="7"/>
        <v>0</v>
      </c>
      <c r="K52" s="2"/>
      <c r="L52" s="2">
        <f t="shared" si="8"/>
        <v>-1045.9100000000001</v>
      </c>
      <c r="M52" s="2"/>
      <c r="N52" s="19">
        <f t="shared" si="9"/>
        <v>0</v>
      </c>
      <c r="O52" s="11"/>
      <c r="P52" s="2">
        <v>41180.579999999994</v>
      </c>
      <c r="Q52" s="2"/>
      <c r="R52" s="19">
        <f t="shared" si="10"/>
        <v>2.3514178381640681E-2</v>
      </c>
      <c r="S52" s="2"/>
      <c r="T52" s="2"/>
      <c r="U52" s="2"/>
      <c r="V52" s="19">
        <f t="shared" si="11"/>
        <v>0</v>
      </c>
      <c r="W52" s="2"/>
      <c r="X52" s="2">
        <f t="shared" si="12"/>
        <v>41180.579999999994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"5083", " - ", "PURCHASES @ COST-COMPUTER EQUI")</f>
        <v xml:space="preserve">          5083 - PURCHASES @ COST-COMPUTER EQUI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39.950000000000003</v>
      </c>
      <c r="Q53" s="2"/>
      <c r="R53" s="19">
        <f t="shared" si="10"/>
        <v>2.2811515193485508E-5</v>
      </c>
      <c r="S53" s="2"/>
      <c r="T53" s="2"/>
      <c r="U53" s="2"/>
      <c r="V53" s="19">
        <f t="shared" si="11"/>
        <v>0</v>
      </c>
      <c r="W53" s="2"/>
      <c r="X53" s="2">
        <f t="shared" si="12"/>
        <v>39.950000000000003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"5092", " - ", "PURCHASES @ COST-GRAD MERCH")</f>
        <v xml:space="preserve">          5092 - PURCHASES @ COST-GRAD MERCH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-60.35</v>
      </c>
      <c r="Q54" s="2"/>
      <c r="R54" s="19">
        <f t="shared" si="10"/>
        <v>-3.445994848377598E-5</v>
      </c>
      <c r="S54" s="2"/>
      <c r="T54" s="2"/>
      <c r="U54" s="2"/>
      <c r="V54" s="19">
        <f t="shared" si="11"/>
        <v>0</v>
      </c>
      <c r="W54" s="2"/>
      <c r="X54" s="2">
        <f t="shared" si="12"/>
        <v>-60.35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"5095", " - ", "PURCHASES @ COST-CUSTOMER SERV")</f>
        <v xml:space="preserve">          5095 - PURCHASES @ COST-CUSTOMER SERV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-11.85</v>
      </c>
      <c r="Q55" s="2"/>
      <c r="R55" s="19">
        <f t="shared" si="10"/>
        <v>-6.7663693377422585E-6</v>
      </c>
      <c r="S55" s="2"/>
      <c r="T55" s="2"/>
      <c r="U55" s="2"/>
      <c r="V55" s="19">
        <f t="shared" si="11"/>
        <v>0</v>
      </c>
      <c r="W55" s="2"/>
      <c r="X55" s="2">
        <f t="shared" si="12"/>
        <v>-11.85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"5200", " - ", "PURCHASES OFFSET")</f>
        <v xml:space="preserve">          5200 - PURCHASES OFFSET</v>
      </c>
      <c r="C56" s="11"/>
      <c r="D56" s="2">
        <v>-96286</v>
      </c>
      <c r="E56" s="2"/>
      <c r="F56" s="19">
        <f t="shared" si="6"/>
        <v>-0.32146536336409981</v>
      </c>
      <c r="G56" s="2"/>
      <c r="H56" s="2"/>
      <c r="I56" s="2"/>
      <c r="J56" s="19">
        <f t="shared" si="7"/>
        <v>0</v>
      </c>
      <c r="K56" s="2"/>
      <c r="L56" s="2">
        <f t="shared" si="8"/>
        <v>-96286</v>
      </c>
      <c r="M56" s="2"/>
      <c r="N56" s="19">
        <f t="shared" si="9"/>
        <v>0</v>
      </c>
      <c r="O56" s="11"/>
      <c r="P56" s="2">
        <v>-972534.00000000012</v>
      </c>
      <c r="Q56" s="2"/>
      <c r="R56" s="19">
        <f t="shared" si="10"/>
        <v>-0.55531850105585068</v>
      </c>
      <c r="S56" s="2"/>
      <c r="T56" s="2"/>
      <c r="U56" s="2"/>
      <c r="V56" s="19">
        <f t="shared" si="11"/>
        <v>0</v>
      </c>
      <c r="W56" s="2"/>
      <c r="X56" s="2">
        <f t="shared" si="12"/>
        <v>-972534.00000000012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"5300", " - ", "COG$ OFFSET")</f>
        <v xml:space="preserve">          5300 - COG$ OFFSET</v>
      </c>
      <c r="C57" s="11"/>
      <c r="D57" s="2">
        <v>101253</v>
      </c>
      <c r="E57" s="2"/>
      <c r="F57" s="19">
        <f t="shared" si="6"/>
        <v>0.33804844356090397</v>
      </c>
      <c r="G57" s="2"/>
      <c r="H57" s="2"/>
      <c r="I57" s="2"/>
      <c r="J57" s="19">
        <f t="shared" si="7"/>
        <v>0</v>
      </c>
      <c r="K57" s="2"/>
      <c r="L57" s="2">
        <f t="shared" si="8"/>
        <v>101253</v>
      </c>
      <c r="M57" s="2"/>
      <c r="N57" s="19">
        <f t="shared" si="9"/>
        <v>0</v>
      </c>
      <c r="O57" s="11"/>
      <c r="P57" s="2">
        <v>767369</v>
      </c>
      <c r="Q57" s="2"/>
      <c r="R57" s="19">
        <f t="shared" si="10"/>
        <v>0.43816895125180921</v>
      </c>
      <c r="S57" s="2"/>
      <c r="T57" s="2"/>
      <c r="U57" s="2"/>
      <c r="V57" s="19">
        <f t="shared" si="11"/>
        <v>0</v>
      </c>
      <c r="W57" s="2"/>
      <c r="X57" s="2">
        <f t="shared" si="12"/>
        <v>767369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"5500", " - ", "FREIGHT-IN")</f>
        <v xml:space="preserve">          5500 - FREIGHT-IN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29.23</v>
      </c>
      <c r="Q58" s="2"/>
      <c r="R58" s="19">
        <f t="shared" si="10"/>
        <v>1.6690377699764237E-5</v>
      </c>
      <c r="S58" s="2"/>
      <c r="T58" s="2"/>
      <c r="U58" s="2"/>
      <c r="V58" s="19">
        <f t="shared" si="11"/>
        <v>0</v>
      </c>
      <c r="W58" s="2"/>
      <c r="X58" s="2">
        <f t="shared" si="12"/>
        <v>29.23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"5540", " - ", "FREIGHT-IN-LOGO CLOTHING")</f>
        <v xml:space="preserve">          5540 - FREIGHT-IN-LOGO CLOTHING</v>
      </c>
      <c r="C59" s="11"/>
      <c r="D59" s="2">
        <v>4036.06</v>
      </c>
      <c r="E59" s="2"/>
      <c r="F59" s="19">
        <f t="shared" si="6"/>
        <v>1.3474996307451848E-2</v>
      </c>
      <c r="G59" s="2"/>
      <c r="H59" s="2"/>
      <c r="I59" s="2"/>
      <c r="J59" s="19">
        <f t="shared" si="7"/>
        <v>0</v>
      </c>
      <c r="K59" s="2"/>
      <c r="L59" s="2">
        <f t="shared" si="8"/>
        <v>4036.06</v>
      </c>
      <c r="M59" s="2"/>
      <c r="N59" s="19">
        <f t="shared" si="9"/>
        <v>0</v>
      </c>
      <c r="O59" s="11"/>
      <c r="P59" s="2">
        <v>24277.390000000003</v>
      </c>
      <c r="Q59" s="2"/>
      <c r="R59" s="19">
        <f t="shared" si="10"/>
        <v>1.3862429307713971E-2</v>
      </c>
      <c r="S59" s="2"/>
      <c r="T59" s="2"/>
      <c r="U59" s="2"/>
      <c r="V59" s="19">
        <f t="shared" si="11"/>
        <v>0</v>
      </c>
      <c r="W59" s="2"/>
      <c r="X59" s="2">
        <f t="shared" si="12"/>
        <v>24277.390000000003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"5541", " - ", "FREIGHT-IN-LOGO GIFTS")</f>
        <v xml:space="preserve">          5541 - FREIGHT-IN-LOGO GIFTS</v>
      </c>
      <c r="C60" s="11"/>
      <c r="D60" s="2">
        <v>709.94</v>
      </c>
      <c r="E60" s="2"/>
      <c r="F60" s="19">
        <f t="shared" si="6"/>
        <v>2.3702419881053223E-3</v>
      </c>
      <c r="G60" s="2"/>
      <c r="H60" s="2"/>
      <c r="I60" s="2"/>
      <c r="J60" s="19">
        <f t="shared" si="7"/>
        <v>0</v>
      </c>
      <c r="K60" s="2"/>
      <c r="L60" s="2">
        <f t="shared" si="8"/>
        <v>709.94</v>
      </c>
      <c r="M60" s="2"/>
      <c r="N60" s="19">
        <f t="shared" si="9"/>
        <v>0</v>
      </c>
      <c r="O60" s="11"/>
      <c r="P60" s="2">
        <v>3562.77</v>
      </c>
      <c r="Q60" s="2"/>
      <c r="R60" s="19">
        <f t="shared" si="10"/>
        <v>2.0343474840023618E-3</v>
      </c>
      <c r="S60" s="2"/>
      <c r="T60" s="2"/>
      <c r="U60" s="2"/>
      <c r="V60" s="19">
        <f t="shared" si="11"/>
        <v>0</v>
      </c>
      <c r="W60" s="2"/>
      <c r="X60" s="2">
        <f t="shared" si="12"/>
        <v>3562.77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"5542", " - ", "FREIGHT-IN-EVERYDAY GIFTS")</f>
        <v xml:space="preserve">          5542 - FREIGHT-IN-EVERYDAY GIFTS</v>
      </c>
      <c r="C61" s="11"/>
      <c r="D61" s="2">
        <v>194.82</v>
      </c>
      <c r="E61" s="2"/>
      <c r="F61" s="19">
        <f t="shared" si="6"/>
        <v>6.5043601448387016E-4</v>
      </c>
      <c r="G61" s="2"/>
      <c r="H61" s="2"/>
      <c r="I61" s="2"/>
      <c r="J61" s="19">
        <f t="shared" si="7"/>
        <v>0</v>
      </c>
      <c r="K61" s="2"/>
      <c r="L61" s="2">
        <f t="shared" si="8"/>
        <v>194.82</v>
      </c>
      <c r="M61" s="2"/>
      <c r="N61" s="19">
        <f t="shared" si="9"/>
        <v>0</v>
      </c>
      <c r="O61" s="11"/>
      <c r="P61" s="2">
        <v>1708.33</v>
      </c>
      <c r="Q61" s="2"/>
      <c r="R61" s="19">
        <f t="shared" si="10"/>
        <v>9.7545921778440783E-4</v>
      </c>
      <c r="S61" s="2"/>
      <c r="T61" s="2"/>
      <c r="U61" s="2"/>
      <c r="V61" s="19">
        <f t="shared" si="11"/>
        <v>0</v>
      </c>
      <c r="W61" s="2"/>
      <c r="X61" s="2">
        <f t="shared" si="12"/>
        <v>1708.33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"5543", " - ", "FREIGHT-IN-CARDS")</f>
        <v xml:space="preserve">          5543 - FREIGHT-IN-CARDS</v>
      </c>
      <c r="C62" s="11"/>
      <c r="D62" s="2">
        <v>77.760000000000005</v>
      </c>
      <c r="E62" s="2"/>
      <c r="F62" s="19">
        <f t="shared" si="6"/>
        <v>2.5961351240255491E-4</v>
      </c>
      <c r="G62" s="2"/>
      <c r="H62" s="2"/>
      <c r="I62" s="2"/>
      <c r="J62" s="19">
        <f t="shared" si="7"/>
        <v>0</v>
      </c>
      <c r="K62" s="2"/>
      <c r="L62" s="2">
        <f t="shared" si="8"/>
        <v>77.760000000000005</v>
      </c>
      <c r="M62" s="2"/>
      <c r="N62" s="19">
        <f t="shared" si="9"/>
        <v>0</v>
      </c>
      <c r="O62" s="11"/>
      <c r="P62" s="2">
        <v>121.35</v>
      </c>
      <c r="Q62" s="2"/>
      <c r="R62" s="19">
        <f t="shared" si="10"/>
        <v>6.929104802827199E-5</v>
      </c>
      <c r="S62" s="2"/>
      <c r="T62" s="2"/>
      <c r="U62" s="2"/>
      <c r="V62" s="19">
        <f t="shared" si="11"/>
        <v>0</v>
      </c>
      <c r="W62" s="2"/>
      <c r="X62" s="2">
        <f t="shared" si="12"/>
        <v>121.35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"5544", " - ", "FREIGHT-IN-ACCESSORIES")</f>
        <v xml:space="preserve">          5544 - FREIGHT-IN-ACCESSORIES</v>
      </c>
      <c r="C63" s="11"/>
      <c r="D63" s="2">
        <v>28.4</v>
      </c>
      <c r="E63" s="2"/>
      <c r="F63" s="19">
        <f t="shared" si="6"/>
        <v>9.4817692286941352E-5</v>
      </c>
      <c r="G63" s="2"/>
      <c r="H63" s="2"/>
      <c r="I63" s="2"/>
      <c r="J63" s="19">
        <f t="shared" si="7"/>
        <v>0</v>
      </c>
      <c r="K63" s="2"/>
      <c r="L63" s="2">
        <f t="shared" si="8"/>
        <v>28.4</v>
      </c>
      <c r="M63" s="2"/>
      <c r="N63" s="19">
        <f t="shared" si="9"/>
        <v>0</v>
      </c>
      <c r="O63" s="11"/>
      <c r="P63" s="2">
        <v>442.31</v>
      </c>
      <c r="Q63" s="2"/>
      <c r="R63" s="19">
        <f t="shared" si="10"/>
        <v>2.525597317955087E-4</v>
      </c>
      <c r="S63" s="2"/>
      <c r="T63" s="2"/>
      <c r="U63" s="2"/>
      <c r="V63" s="19">
        <f t="shared" si="11"/>
        <v>0</v>
      </c>
      <c r="W63" s="2"/>
      <c r="X63" s="2">
        <f t="shared" si="12"/>
        <v>442.31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"5545", " - ", "FREIGHT-IN-SPECIAL ORDERS")</f>
        <v xml:space="preserve">          5545 - FREIGHT-IN-SPECIAL ORDERS</v>
      </c>
      <c r="C64" s="11"/>
      <c r="D64" s="2">
        <v>322.61</v>
      </c>
      <c r="E64" s="2"/>
      <c r="F64" s="19">
        <f t="shared" si="6"/>
        <v>1.0770822432637378E-3</v>
      </c>
      <c r="G64" s="2"/>
      <c r="H64" s="2"/>
      <c r="I64" s="2"/>
      <c r="J64" s="19">
        <f t="shared" si="7"/>
        <v>0</v>
      </c>
      <c r="K64" s="2"/>
      <c r="L64" s="2">
        <f t="shared" si="8"/>
        <v>322.61</v>
      </c>
      <c r="M64" s="2"/>
      <c r="N64" s="19">
        <f t="shared" si="9"/>
        <v>0</v>
      </c>
      <c r="O64" s="11"/>
      <c r="P64" s="2">
        <v>827.67</v>
      </c>
      <c r="Q64" s="2"/>
      <c r="R64" s="19">
        <f t="shared" si="10"/>
        <v>4.7260092065562318E-4</v>
      </c>
      <c r="S64" s="2"/>
      <c r="T64" s="2"/>
      <c r="U64" s="2"/>
      <c r="V64" s="19">
        <f t="shared" si="11"/>
        <v>0</v>
      </c>
      <c r="W64" s="2"/>
      <c r="X64" s="2">
        <f t="shared" si="12"/>
        <v>827.67</v>
      </c>
      <c r="Y64" s="2"/>
      <c r="Z64" s="19">
        <f t="shared" si="13"/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9" t="s">
        <v>6</v>
      </c>
      <c r="C66" s="29"/>
      <c r="D66" s="22">
        <f>D12-D42</f>
        <v>160150.8599999999</v>
      </c>
      <c r="E66" s="14"/>
      <c r="F66" s="20">
        <f>IF(D$12=0,0,D66/D$12)</f>
        <v>0.53468785080876813</v>
      </c>
      <c r="G66" s="14"/>
      <c r="H66" s="22">
        <f>H12-H42</f>
        <v>217443.69631</v>
      </c>
      <c r="I66" s="14"/>
      <c r="J66" s="20">
        <f>IF(H$12=0,0,H66/H$12)</f>
        <v>0.55624002786106552</v>
      </c>
      <c r="K66" s="16"/>
      <c r="L66" s="22">
        <f>+D66-H66</f>
        <v>-57292.836310000101</v>
      </c>
      <c r="M66" s="16"/>
      <c r="N66" s="20">
        <f>IF(H66=0,0,L66/H66)</f>
        <v>-0.26348354669394602</v>
      </c>
      <c r="O66" s="28"/>
      <c r="P66" s="22">
        <f>P12-P42</f>
        <v>945793.19999999972</v>
      </c>
      <c r="Q66" s="14"/>
      <c r="R66" s="20">
        <f>IF(P$12=0,0,P66/P$12)</f>
        <v>0.5400494606181544</v>
      </c>
      <c r="S66" s="14"/>
      <c r="T66" s="22">
        <f>T12-T42</f>
        <v>954112.86141999986</v>
      </c>
      <c r="U66" s="14"/>
      <c r="V66" s="20">
        <f>IF(T$12=0,0,T66/T$12)</f>
        <v>0.54904360512473271</v>
      </c>
      <c r="W66" s="16"/>
      <c r="X66" s="22">
        <f>+P66-T66</f>
        <v>-8319.661420000135</v>
      </c>
      <c r="Y66" s="16"/>
      <c r="Z66" s="20">
        <f>IF(T66=0,0,X66/T66)</f>
        <v>-8.7197875182376625E-3</v>
      </c>
    </row>
    <row r="67" spans="1:26" x14ac:dyDescent="0.25">
      <c r="A67" s="9"/>
      <c r="B67" s="10"/>
      <c r="C67" s="9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8" t="s">
        <v>9</v>
      </c>
      <c r="C68" s="10"/>
      <c r="D68" s="21">
        <f>SUM(OSRRefD22x_0)</f>
        <v>91315.209999999992</v>
      </c>
      <c r="E68" s="21"/>
      <c r="F68" s="30">
        <f t="shared" ref="F68:F78" si="14">IF(D$12=0,0,D68/D$12)</f>
        <v>0.30486962967948694</v>
      </c>
      <c r="G68" s="21"/>
      <c r="H68" s="21">
        <f>SUM(OSRRefH22x_0)</f>
        <v>108849.039599575</v>
      </c>
      <c r="I68" s="21"/>
      <c r="J68" s="30">
        <f t="shared" ref="J68:J78" si="15">IF(H$12=0,0,H68/H$12)</f>
        <v>0.27844538079043574</v>
      </c>
      <c r="K68" s="4"/>
      <c r="L68" s="21">
        <f t="shared" ref="L68:L78" si="16">+D68-H68</f>
        <v>-17533.829599575009</v>
      </c>
      <c r="M68" s="4"/>
      <c r="N68" s="30">
        <f t="shared" ref="N68:N78" si="17">IF(H68=0,0,L68/H68)</f>
        <v>-0.16108391644131206</v>
      </c>
      <c r="O68" s="10"/>
      <c r="P68" s="21">
        <f>SUM(OSRRefP22x_0)</f>
        <v>548633.89999999991</v>
      </c>
      <c r="Q68" s="21"/>
      <c r="R68" s="30">
        <f t="shared" ref="R68:R78" si="18">IF(P$12=0,0,P68/P$12)</f>
        <v>0.31327085220303391</v>
      </c>
      <c r="S68" s="21"/>
      <c r="T68" s="21">
        <f>SUM(OSRRefT22x_0)</f>
        <v>522018.99842473748</v>
      </c>
      <c r="U68" s="21"/>
      <c r="V68" s="30">
        <f t="shared" ref="V68:V78" si="19">IF(T$12=0,0,T68/T$12)</f>
        <v>0.30039548194765814</v>
      </c>
      <c r="W68" s="4"/>
      <c r="X68" s="21">
        <f t="shared" ref="X68:X78" si="20">+P68-T68</f>
        <v>26614.901575262425</v>
      </c>
      <c r="Y68" s="4"/>
      <c r="Z68" s="30">
        <f t="shared" ref="Z68:Z78" si="21">IF(T68=0,0,X68/T68)</f>
        <v>5.0984545879702595E-2</v>
      </c>
    </row>
    <row r="69" spans="1:26" s="25" customFormat="1" outlineLevel="1" collapsed="1" x14ac:dyDescent="0.25">
      <c r="A69" s="27"/>
      <c r="B69" s="13" t="str">
        <f>CONCATENATE("     ","*Benefits                                         ")</f>
        <v xml:space="preserve">     *Benefits                                         </v>
      </c>
      <c r="C69" s="13"/>
      <c r="D69" s="1">
        <f>SUM(OSRRefD22_0x_0)</f>
        <v>6195.7400000000007</v>
      </c>
      <c r="E69" s="1"/>
      <c r="F69" s="5">
        <f t="shared" si="14"/>
        <v>2.068541439471458E-2</v>
      </c>
      <c r="G69" s="1"/>
      <c r="H69" s="1">
        <f>SUM(OSRRefH22_0x_0)</f>
        <v>5858.235974575</v>
      </c>
      <c r="I69" s="1"/>
      <c r="J69" s="5">
        <f t="shared" si="15"/>
        <v>1.4985880929234531E-2</v>
      </c>
      <c r="K69" s="1"/>
      <c r="L69" s="1">
        <f t="shared" si="16"/>
        <v>337.50402542500069</v>
      </c>
      <c r="M69" s="1"/>
      <c r="N69" s="5">
        <f t="shared" si="17"/>
        <v>5.7611886392044107E-2</v>
      </c>
      <c r="O69" s="13"/>
      <c r="P69" s="1">
        <f>SUM(OSRRefP22_0x_0)</f>
        <v>52953.88</v>
      </c>
      <c r="Q69" s="1"/>
      <c r="R69" s="5">
        <f t="shared" si="18"/>
        <v>3.0236751894217977E-2</v>
      </c>
      <c r="S69" s="1"/>
      <c r="T69" s="1">
        <f>SUM(OSRRefT22_0x_0)</f>
        <v>39659.6498622375</v>
      </c>
      <c r="U69" s="1"/>
      <c r="V69" s="5">
        <f t="shared" si="19"/>
        <v>2.2822118869606348E-2</v>
      </c>
      <c r="W69" s="1"/>
      <c r="X69" s="1">
        <f t="shared" si="20"/>
        <v>13294.230137762497</v>
      </c>
      <c r="Y69" s="1"/>
      <c r="Z69" s="5">
        <f t="shared" si="21"/>
        <v>0.33520795528809716</v>
      </c>
    </row>
    <row r="70" spans="1:26" s="24" customFormat="1" hidden="1" outlineLevel="2" x14ac:dyDescent="0.25">
      <c r="A70" s="26"/>
      <c r="B70" s="11" t="str">
        <f>CONCATENATE("          ", "6111", " - ", "F.I.C.A.")</f>
        <v xml:space="preserve">          6111 - F.I.C.A.</v>
      </c>
      <c r="C70" s="11"/>
      <c r="D70" s="6">
        <v>1031.1400000000001</v>
      </c>
      <c r="E70" s="2"/>
      <c r="F70" s="7">
        <f t="shared" si="14"/>
        <v>3.4426167332660814E-3</v>
      </c>
      <c r="G70" s="2"/>
      <c r="H70" s="6">
        <v>981.66772057499998</v>
      </c>
      <c r="I70" s="2"/>
      <c r="J70" s="7">
        <f t="shared" si="15"/>
        <v>2.5111920442360265E-3</v>
      </c>
      <c r="K70" s="2"/>
      <c r="L70" s="6">
        <f t="shared" si="16"/>
        <v>49.472279425000124</v>
      </c>
      <c r="M70" s="2"/>
      <c r="N70" s="7">
        <f t="shared" si="17"/>
        <v>5.0396155835726507E-2</v>
      </c>
      <c r="O70" s="11"/>
      <c r="P70" s="6">
        <v>11401.19</v>
      </c>
      <c r="Q70" s="2"/>
      <c r="R70" s="7">
        <f t="shared" si="18"/>
        <v>6.5100980953395502E-3</v>
      </c>
      <c r="S70" s="2"/>
      <c r="T70" s="6">
        <v>9099.7023612375015</v>
      </c>
      <c r="U70" s="2"/>
      <c r="V70" s="7">
        <f t="shared" si="19"/>
        <v>5.2364176105331693E-3</v>
      </c>
      <c r="W70" s="2"/>
      <c r="X70" s="6">
        <f t="shared" si="20"/>
        <v>2301.487638762499</v>
      </c>
      <c r="Y70" s="2"/>
      <c r="Z70" s="7">
        <f t="shared" si="21"/>
        <v>0.25291900189683914</v>
      </c>
    </row>
    <row r="71" spans="1:26" s="24" customFormat="1" hidden="1" outlineLevel="2" x14ac:dyDescent="0.25">
      <c r="A71" s="26"/>
      <c r="B71" s="11" t="str">
        <f>CONCATENATE("          ", "6112", " - ", "COMPENSATION INSURANCE")</f>
        <v xml:space="preserve">          6112 - COMPENSATION INSURANCE</v>
      </c>
      <c r="C71" s="11"/>
      <c r="D71" s="6">
        <v>839.05</v>
      </c>
      <c r="E71" s="2"/>
      <c r="F71" s="7">
        <f t="shared" si="14"/>
        <v>2.8012952363858498E-3</v>
      </c>
      <c r="G71" s="2"/>
      <c r="H71" s="6">
        <v>521.3215725</v>
      </c>
      <c r="I71" s="2"/>
      <c r="J71" s="7">
        <f t="shared" si="15"/>
        <v>1.3335862613306699E-3</v>
      </c>
      <c r="K71" s="2"/>
      <c r="L71" s="6">
        <f t="shared" si="16"/>
        <v>317.72842749999995</v>
      </c>
      <c r="M71" s="2"/>
      <c r="N71" s="7">
        <f t="shared" si="17"/>
        <v>0.60946725449386607</v>
      </c>
      <c r="O71" s="11"/>
      <c r="P71" s="6">
        <v>3649.96</v>
      </c>
      <c r="Q71" s="2"/>
      <c r="R71" s="7">
        <f t="shared" si="18"/>
        <v>2.084133116285716E-3</v>
      </c>
      <c r="S71" s="2"/>
      <c r="T71" s="6">
        <v>3565.4398462499998</v>
      </c>
      <c r="U71" s="2"/>
      <c r="V71" s="7">
        <f t="shared" si="19"/>
        <v>2.0517299642382101E-3</v>
      </c>
      <c r="W71" s="2"/>
      <c r="X71" s="6">
        <f t="shared" si="20"/>
        <v>84.52015375000019</v>
      </c>
      <c r="Y71" s="2"/>
      <c r="Z71" s="7">
        <f t="shared" si="21"/>
        <v>2.370539327395901E-2</v>
      </c>
    </row>
    <row r="72" spans="1:26" s="24" customFormat="1" hidden="1" outlineLevel="2" x14ac:dyDescent="0.25">
      <c r="A72" s="26"/>
      <c r="B72" s="11" t="str">
        <f>CONCATENATE("          ", "6113", " - ", "GROUP INSURANCE")</f>
        <v xml:space="preserve">          6113 - GROUP INSURANCE</v>
      </c>
      <c r="C72" s="11"/>
      <c r="D72" s="6">
        <v>2286.33</v>
      </c>
      <c r="E72" s="2"/>
      <c r="F72" s="7">
        <f t="shared" si="14"/>
        <v>7.633258253746571E-3</v>
      </c>
      <c r="G72" s="2"/>
      <c r="H72" s="6">
        <v>2863.75</v>
      </c>
      <c r="I72" s="2"/>
      <c r="J72" s="7">
        <f t="shared" si="15"/>
        <v>7.3257234255075946E-3</v>
      </c>
      <c r="K72" s="2"/>
      <c r="L72" s="6">
        <f t="shared" si="16"/>
        <v>-577.42000000000007</v>
      </c>
      <c r="M72" s="2"/>
      <c r="N72" s="7">
        <f t="shared" si="17"/>
        <v>-0.20163072893932782</v>
      </c>
      <c r="O72" s="11"/>
      <c r="P72" s="6">
        <v>19123.96</v>
      </c>
      <c r="Q72" s="2"/>
      <c r="R72" s="7">
        <f t="shared" si="18"/>
        <v>1.0919812367950164E-2</v>
      </c>
      <c r="S72" s="2"/>
      <c r="T72" s="6">
        <v>17182.5</v>
      </c>
      <c r="U72" s="2"/>
      <c r="V72" s="7">
        <f t="shared" si="19"/>
        <v>9.8876580816814955E-3</v>
      </c>
      <c r="W72" s="2"/>
      <c r="X72" s="6">
        <f t="shared" si="20"/>
        <v>1941.4599999999991</v>
      </c>
      <c r="Y72" s="2"/>
      <c r="Z72" s="7">
        <f t="shared" si="21"/>
        <v>0.11299054270333182</v>
      </c>
    </row>
    <row r="73" spans="1:26" s="24" customFormat="1" hidden="1" outlineLevel="2" x14ac:dyDescent="0.25">
      <c r="A73" s="26"/>
      <c r="B73" s="11" t="str">
        <f>CONCATENATE("          ", "6114", " - ", "STATE UNEMPLOYMENT INSURANCE")</f>
        <v xml:space="preserve">          6114 - STATE UNEMPLOYMENT INSURANCE</v>
      </c>
      <c r="C73" s="11"/>
      <c r="D73" s="6">
        <v>114.82</v>
      </c>
      <c r="E73" s="2"/>
      <c r="F73" s="7">
        <f t="shared" si="14"/>
        <v>3.8334392353473964E-4</v>
      </c>
      <c r="G73" s="2"/>
      <c r="H73" s="6">
        <v>71.338741499999998</v>
      </c>
      <c r="I73" s="2"/>
      <c r="J73" s="7">
        <f t="shared" si="15"/>
        <v>1.8249075155051271E-4</v>
      </c>
      <c r="K73" s="2"/>
      <c r="L73" s="6">
        <f t="shared" si="16"/>
        <v>43.481258499999996</v>
      </c>
      <c r="M73" s="2"/>
      <c r="N73" s="7">
        <f t="shared" si="17"/>
        <v>0.60950414299080391</v>
      </c>
      <c r="O73" s="11"/>
      <c r="P73" s="6">
        <v>584.77</v>
      </c>
      <c r="Q73" s="2"/>
      <c r="R73" s="7">
        <f t="shared" si="18"/>
        <v>3.3390462427270384E-4</v>
      </c>
      <c r="S73" s="2"/>
      <c r="T73" s="6">
        <v>487.90229475000001</v>
      </c>
      <c r="U73" s="2"/>
      <c r="V73" s="7">
        <f t="shared" si="19"/>
        <v>2.8076304773786033E-4</v>
      </c>
      <c r="W73" s="2"/>
      <c r="X73" s="6">
        <f t="shared" si="20"/>
        <v>96.867705249999972</v>
      </c>
      <c r="Y73" s="2"/>
      <c r="Z73" s="7">
        <f t="shared" si="21"/>
        <v>0.19853914665360359</v>
      </c>
    </row>
    <row r="74" spans="1:26" s="24" customFormat="1" hidden="1" outlineLevel="2" x14ac:dyDescent="0.25">
      <c r="A74" s="26"/>
      <c r="B74" s="11" t="str">
        <f>CONCATENATE("          ", "6115", " - ", "P.E.R.S.")</f>
        <v xml:space="preserve">          6115 - P.E.R.S.</v>
      </c>
      <c r="C74" s="11"/>
      <c r="D74" s="6">
        <v>777.67</v>
      </c>
      <c r="E74" s="2"/>
      <c r="F74" s="7">
        <f t="shared" si="14"/>
        <v>2.5963688296051293E-3</v>
      </c>
      <c r="G74" s="2"/>
      <c r="H74" s="6">
        <v>782.03906500000005</v>
      </c>
      <c r="I74" s="2"/>
      <c r="J74" s="7">
        <f t="shared" si="15"/>
        <v>2.0005244515521802E-3</v>
      </c>
      <c r="K74" s="2"/>
      <c r="L74" s="6">
        <f t="shared" si="16"/>
        <v>-4.3690650000000915</v>
      </c>
      <c r="M74" s="2"/>
      <c r="N74" s="7">
        <f t="shared" si="17"/>
        <v>-5.5867605539629802E-3</v>
      </c>
      <c r="O74" s="11"/>
      <c r="P74" s="6">
        <v>6374.89</v>
      </c>
      <c r="Q74" s="2"/>
      <c r="R74" s="7">
        <f t="shared" si="18"/>
        <v>3.6400725930362658E-3</v>
      </c>
      <c r="S74" s="2"/>
      <c r="T74" s="6">
        <v>5083.2539225</v>
      </c>
      <c r="U74" s="2"/>
      <c r="V74" s="7">
        <f t="shared" si="19"/>
        <v>2.9251550547386173E-3</v>
      </c>
      <c r="W74" s="2"/>
      <c r="X74" s="6">
        <f t="shared" si="20"/>
        <v>1291.6360775000003</v>
      </c>
      <c r="Y74" s="2"/>
      <c r="Z74" s="7">
        <f t="shared" si="21"/>
        <v>0.25409631255736276</v>
      </c>
    </row>
    <row r="75" spans="1:26" s="24" customFormat="1" hidden="1" outlineLevel="2" x14ac:dyDescent="0.25">
      <c r="A75" s="26"/>
      <c r="B75" s="11" t="str">
        <f>CONCATENATE("          ", "6116", " - ", "EDUCATIONAL BENEFITS")</f>
        <v xml:space="preserve">          6116 - EDUCATIONAL BENEFITS</v>
      </c>
      <c r="C75" s="11"/>
      <c r="D75" s="6"/>
      <c r="E75" s="2"/>
      <c r="F75" s="7">
        <f t="shared" si="14"/>
        <v>0</v>
      </c>
      <c r="G75" s="2"/>
      <c r="H75" s="6">
        <v>0</v>
      </c>
      <c r="I75" s="2"/>
      <c r="J75" s="7">
        <f t="shared" si="15"/>
        <v>0</v>
      </c>
      <c r="K75" s="2"/>
      <c r="L75" s="6">
        <f t="shared" si="16"/>
        <v>0</v>
      </c>
      <c r="M75" s="2"/>
      <c r="N75" s="7">
        <f t="shared" si="17"/>
        <v>0</v>
      </c>
      <c r="O75" s="11"/>
      <c r="P75" s="6"/>
      <c r="Q75" s="2"/>
      <c r="R75" s="7">
        <f t="shared" si="18"/>
        <v>0</v>
      </c>
      <c r="S75" s="2"/>
      <c r="T75" s="6">
        <v>0</v>
      </c>
      <c r="U75" s="2"/>
      <c r="V75" s="7">
        <f t="shared" si="19"/>
        <v>0</v>
      </c>
      <c r="W75" s="2"/>
      <c r="X75" s="6">
        <f t="shared" si="20"/>
        <v>0</v>
      </c>
      <c r="Y75" s="2"/>
      <c r="Z75" s="7">
        <f t="shared" si="21"/>
        <v>0</v>
      </c>
    </row>
    <row r="76" spans="1:26" s="24" customFormat="1" hidden="1" outlineLevel="2" x14ac:dyDescent="0.25">
      <c r="A76" s="26"/>
      <c r="B76" s="11" t="str">
        <f>CONCATENATE("          ", "6118", " - ", "VACATION")</f>
        <v xml:space="preserve">          6118 - VACATION</v>
      </c>
      <c r="C76" s="11"/>
      <c r="D76" s="6">
        <v>637.12</v>
      </c>
      <c r="E76" s="2"/>
      <c r="F76" s="7">
        <f t="shared" si="14"/>
        <v>2.1271214123188757E-3</v>
      </c>
      <c r="G76" s="2"/>
      <c r="H76" s="6">
        <v>272.80432499999989</v>
      </c>
      <c r="I76" s="2"/>
      <c r="J76" s="7">
        <f t="shared" si="15"/>
        <v>6.978573668205277E-4</v>
      </c>
      <c r="K76" s="2"/>
      <c r="L76" s="6">
        <f t="shared" si="16"/>
        <v>364.31567500000011</v>
      </c>
      <c r="M76" s="2"/>
      <c r="N76" s="7">
        <f t="shared" si="17"/>
        <v>1.3354468445469121</v>
      </c>
      <c r="O76" s="11"/>
      <c r="P76" s="6">
        <v>5821.89</v>
      </c>
      <c r="Q76" s="2"/>
      <c r="R76" s="7">
        <f t="shared" si="18"/>
        <v>3.3243086906082939E-3</v>
      </c>
      <c r="S76" s="2"/>
      <c r="T76" s="6">
        <v>1773.2281125</v>
      </c>
      <c r="U76" s="2"/>
      <c r="V76" s="7">
        <f t="shared" si="19"/>
        <v>1.0204029260716106E-3</v>
      </c>
      <c r="W76" s="2"/>
      <c r="X76" s="6">
        <f t="shared" si="20"/>
        <v>4048.6618875000004</v>
      </c>
      <c r="Y76" s="2"/>
      <c r="Z76" s="7">
        <f t="shared" si="21"/>
        <v>2.2832154864677627</v>
      </c>
    </row>
    <row r="77" spans="1:26" s="24" customFormat="1" hidden="1" outlineLevel="2" x14ac:dyDescent="0.25">
      <c r="A77" s="26"/>
      <c r="B77" s="11" t="str">
        <f>CONCATENATE("          ", "6119", " - ", "SICK LEAVE")</f>
        <v xml:space="preserve">          6119 - SICK LEAVE</v>
      </c>
      <c r="C77" s="11"/>
      <c r="D77" s="6">
        <v>383.51</v>
      </c>
      <c r="E77" s="2"/>
      <c r="F77" s="7">
        <f t="shared" si="14"/>
        <v>1.2804060974987632E-3</v>
      </c>
      <c r="G77" s="2"/>
      <c r="H77" s="6">
        <v>365.31455</v>
      </c>
      <c r="I77" s="2"/>
      <c r="J77" s="7">
        <f t="shared" si="15"/>
        <v>9.3450662823701979E-4</v>
      </c>
      <c r="K77" s="2"/>
      <c r="L77" s="6">
        <f t="shared" si="16"/>
        <v>18.195449999999994</v>
      </c>
      <c r="M77" s="2"/>
      <c r="N77" s="7">
        <f t="shared" si="17"/>
        <v>4.9807624689462801E-2</v>
      </c>
      <c r="O77" s="11"/>
      <c r="P77" s="6">
        <v>4582.5600000000004</v>
      </c>
      <c r="Q77" s="2"/>
      <c r="R77" s="7">
        <f t="shared" si="18"/>
        <v>2.6166492381741913E-3</v>
      </c>
      <c r="S77" s="2"/>
      <c r="T77" s="6">
        <v>2467.623325</v>
      </c>
      <c r="U77" s="2"/>
      <c r="V77" s="7">
        <f t="shared" si="19"/>
        <v>1.4199921846053843E-3</v>
      </c>
      <c r="W77" s="2"/>
      <c r="X77" s="6">
        <f t="shared" si="20"/>
        <v>2114.9366750000004</v>
      </c>
      <c r="Y77" s="2"/>
      <c r="Z77" s="7">
        <f t="shared" si="21"/>
        <v>0.8570743571651076</v>
      </c>
    </row>
    <row r="78" spans="1:26" s="24" customFormat="1" hidden="1" outlineLevel="2" x14ac:dyDescent="0.25">
      <c r="A78" s="26"/>
      <c r="B78" s="11" t="str">
        <f>CONCATENATE("          ", "6156", " - ", "EMPLOYEE MEALS")</f>
        <v xml:space="preserve">          6156 - EMPLOYEE MEALS</v>
      </c>
      <c r="C78" s="11"/>
      <c r="D78" s="6">
        <v>126.1</v>
      </c>
      <c r="E78" s="2"/>
      <c r="F78" s="7">
        <f t="shared" si="14"/>
        <v>4.2100390835856706E-4</v>
      </c>
      <c r="G78" s="2"/>
      <c r="H78" s="6"/>
      <c r="I78" s="2"/>
      <c r="J78" s="7">
        <f t="shared" si="15"/>
        <v>0</v>
      </c>
      <c r="K78" s="2"/>
      <c r="L78" s="6">
        <f t="shared" si="16"/>
        <v>126.1</v>
      </c>
      <c r="M78" s="2"/>
      <c r="N78" s="7">
        <f t="shared" si="17"/>
        <v>0</v>
      </c>
      <c r="O78" s="11"/>
      <c r="P78" s="6">
        <v>1414.66</v>
      </c>
      <c r="Q78" s="2"/>
      <c r="R78" s="7">
        <f t="shared" si="18"/>
        <v>8.07773168551094E-4</v>
      </c>
      <c r="S78" s="2"/>
      <c r="T78" s="6"/>
      <c r="U78" s="2"/>
      <c r="V78" s="7">
        <f t="shared" si="19"/>
        <v>0</v>
      </c>
      <c r="W78" s="2"/>
      <c r="X78" s="6">
        <f t="shared" si="20"/>
        <v>1414.66</v>
      </c>
      <c r="Y78" s="2"/>
      <c r="Z78" s="7">
        <f t="shared" si="21"/>
        <v>0</v>
      </c>
    </row>
    <row r="79" spans="1:26" s="25" customFormat="1" outlineLevel="1" collapsed="1" x14ac:dyDescent="0.25">
      <c r="A79" s="27"/>
      <c r="B79" s="13" t="str">
        <f>CONCATENATE("     ","*Payroll                                          ")</f>
        <v xml:space="preserve">     *Payroll                                          </v>
      </c>
      <c r="C79" s="13"/>
      <c r="D79" s="1">
        <f>SUM(OSRRefD22_1x_0)</f>
        <v>29237.599999999999</v>
      </c>
      <c r="E79" s="1"/>
      <c r="F79" s="5">
        <f t="shared" ref="F79:F89" si="22">IF(D$12=0,0,D79/D$12)</f>
        <v>9.7614146479178737E-2</v>
      </c>
      <c r="G79" s="1"/>
      <c r="H79" s="1">
        <f>SUM(OSRRefH22_1x_0)</f>
        <v>26983.303625</v>
      </c>
      <c r="I79" s="1"/>
      <c r="J79" s="5">
        <f t="shared" ref="J79:J89" si="23">IF(H$12=0,0,H79/H$12)</f>
        <v>6.9025654984983503E-2</v>
      </c>
      <c r="K79" s="1"/>
      <c r="L79" s="1">
        <f t="shared" ref="L79:L89" si="24">+D79-H79</f>
        <v>2254.2963749999981</v>
      </c>
      <c r="M79" s="1"/>
      <c r="N79" s="5">
        <f t="shared" ref="N79:N89" si="25">IF(H79=0,0,L79/H79)</f>
        <v>8.3544120702529354E-2</v>
      </c>
      <c r="O79" s="13"/>
      <c r="P79" s="1">
        <f>SUM(OSRRefP22_1x_0)</f>
        <v>212975.61</v>
      </c>
      <c r="Q79" s="1"/>
      <c r="R79" s="5">
        <f t="shared" ref="R79:R89" si="26">IF(P$12=0,0,P79/P$12)</f>
        <v>0.12160942085999607</v>
      </c>
      <c r="S79" s="1"/>
      <c r="T79" s="1">
        <f>SUM(OSRRefT22_1x_0)</f>
        <v>184699.3485625</v>
      </c>
      <c r="U79" s="1"/>
      <c r="V79" s="5">
        <f t="shared" ref="V79:V89" si="27">IF(T$12=0,0,T79/T$12)</f>
        <v>0.10628511604803205</v>
      </c>
      <c r="W79" s="1"/>
      <c r="X79" s="1">
        <f t="shared" ref="X79:X89" si="28">+P79-T79</f>
        <v>28276.261437499983</v>
      </c>
      <c r="Y79" s="1"/>
      <c r="Z79" s="5">
        <f t="shared" ref="Z79:Z89" si="29">IF(T79=0,0,X79/T79)</f>
        <v>0.15309345516143844</v>
      </c>
    </row>
    <row r="80" spans="1:26" s="24" customFormat="1" hidden="1" outlineLevel="2" x14ac:dyDescent="0.25">
      <c r="A80" s="26"/>
      <c r="B80" s="11" t="str">
        <f>CONCATENATE("          ", "6001", " - ", "ADMINISTRATIVE SALARIES")</f>
        <v xml:space="preserve">          6001 - ADMINISTRATIVE SALARIES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4" customFormat="1" hidden="1" outlineLevel="2" x14ac:dyDescent="0.25">
      <c r="A81" s="26"/>
      <c r="B81" s="11" t="str">
        <f>CONCATENATE("          ", "6002", " - ", "STAFF SALARIES")</f>
        <v xml:space="preserve">          6002 - STAFF SALARIES</v>
      </c>
      <c r="C81" s="11"/>
      <c r="D81" s="6">
        <v>7174.08</v>
      </c>
      <c r="E81" s="2"/>
      <c r="F81" s="7">
        <f t="shared" si="22"/>
        <v>2.3951750347954232E-2</v>
      </c>
      <c r="G81" s="2"/>
      <c r="H81" s="6">
        <v>8638.8036250000005</v>
      </c>
      <c r="I81" s="2"/>
      <c r="J81" s="7">
        <f t="shared" si="23"/>
        <v>2.209881661598339E-2</v>
      </c>
      <c r="K81" s="2"/>
      <c r="L81" s="6">
        <f t="shared" si="24"/>
        <v>-1464.7236250000005</v>
      </c>
      <c r="M81" s="2"/>
      <c r="N81" s="7">
        <f t="shared" si="25"/>
        <v>-0.16955167504458704</v>
      </c>
      <c r="O81" s="11"/>
      <c r="P81" s="6">
        <v>61804.140000000007</v>
      </c>
      <c r="Q81" s="2"/>
      <c r="R81" s="7">
        <f t="shared" si="26"/>
        <v>3.5290264796753575E-2</v>
      </c>
      <c r="S81" s="2"/>
      <c r="T81" s="6">
        <v>56152.223562500003</v>
      </c>
      <c r="U81" s="2"/>
      <c r="V81" s="7">
        <f t="shared" si="27"/>
        <v>3.2312759325601008E-2</v>
      </c>
      <c r="W81" s="2"/>
      <c r="X81" s="6">
        <f t="shared" si="28"/>
        <v>5651.9164375000037</v>
      </c>
      <c r="Y81" s="2"/>
      <c r="Z81" s="7">
        <f t="shared" si="29"/>
        <v>0.10065347512390424</v>
      </c>
    </row>
    <row r="82" spans="1:26" s="24" customFormat="1" hidden="1" outlineLevel="2" x14ac:dyDescent="0.25">
      <c r="A82" s="26"/>
      <c r="B82" s="11" t="str">
        <f>CONCATENATE("          ", "6003", " - ", "STAFF HOURLY-9 MONTH")</f>
        <v xml:space="preserve">          6003 - STAFF HOURLY-9 MONTH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/>
      <c r="Q82" s="2"/>
      <c r="R82" s="7">
        <f t="shared" si="26"/>
        <v>0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0</v>
      </c>
      <c r="Y82" s="2"/>
      <c r="Z82" s="7">
        <f t="shared" si="29"/>
        <v>0</v>
      </c>
    </row>
    <row r="83" spans="1:26" s="24" customFormat="1" hidden="1" outlineLevel="2" x14ac:dyDescent="0.25">
      <c r="A83" s="26"/>
      <c r="B83" s="11" t="str">
        <f>CONCATENATE("          ", "6004", " - ", "STAFF HOURLY")</f>
        <v xml:space="preserve">          6004 - STAFF HOURLY</v>
      </c>
      <c r="C83" s="11"/>
      <c r="D83" s="6"/>
      <c r="E83" s="2"/>
      <c r="F83" s="7">
        <f t="shared" si="22"/>
        <v>0</v>
      </c>
      <c r="G83" s="2"/>
      <c r="H83" s="6">
        <v>3733.75</v>
      </c>
      <c r="I83" s="2"/>
      <c r="J83" s="7">
        <f t="shared" si="23"/>
        <v>9.5512596560415469E-3</v>
      </c>
      <c r="K83" s="2"/>
      <c r="L83" s="6">
        <f t="shared" si="24"/>
        <v>-3733.75</v>
      </c>
      <c r="M83" s="2"/>
      <c r="N83" s="7">
        <f t="shared" si="25"/>
        <v>-1</v>
      </c>
      <c r="O83" s="11"/>
      <c r="P83" s="6">
        <v>-912.61</v>
      </c>
      <c r="Q83" s="2"/>
      <c r="R83" s="7">
        <f t="shared" si="26"/>
        <v>-5.2110179926725421E-4</v>
      </c>
      <c r="S83" s="2"/>
      <c r="T83" s="6">
        <v>24269.375</v>
      </c>
      <c r="U83" s="2"/>
      <c r="V83" s="7">
        <f t="shared" si="27"/>
        <v>1.3965795539421438E-2</v>
      </c>
      <c r="W83" s="2"/>
      <c r="X83" s="6">
        <f t="shared" si="28"/>
        <v>-25181.985000000001</v>
      </c>
      <c r="Y83" s="2"/>
      <c r="Z83" s="7">
        <f t="shared" si="29"/>
        <v>-1.037603358141691</v>
      </c>
    </row>
    <row r="84" spans="1:26" s="24" customFormat="1" hidden="1" outlineLevel="2" x14ac:dyDescent="0.25">
      <c r="A84" s="26"/>
      <c r="B84" s="11" t="str">
        <f>CONCATENATE("          ", "6005", " - ", "TEMPORARY WAGES-HOURLY")</f>
        <v xml:space="preserve">          6005 - TEMPORARY WAGES-HOURLY</v>
      </c>
      <c r="C84" s="11"/>
      <c r="D84" s="6">
        <v>5084.6000000000004</v>
      </c>
      <c r="E84" s="2"/>
      <c r="F84" s="7">
        <f t="shared" si="22"/>
        <v>1.6975705570499367E-2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5084.6000000000004</v>
      </c>
      <c r="M84" s="2"/>
      <c r="N84" s="7">
        <f t="shared" si="25"/>
        <v>0</v>
      </c>
      <c r="O84" s="11"/>
      <c r="P84" s="6">
        <v>26190.2</v>
      </c>
      <c r="Q84" s="2"/>
      <c r="R84" s="7">
        <f t="shared" si="26"/>
        <v>1.4954646939184583E-2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26190.2</v>
      </c>
      <c r="Y84" s="2"/>
      <c r="Z84" s="7">
        <f t="shared" si="29"/>
        <v>0</v>
      </c>
    </row>
    <row r="85" spans="1:26" s="24" customFormat="1" hidden="1" outlineLevel="2" x14ac:dyDescent="0.25">
      <c r="A85" s="26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>
        <v>66.5</v>
      </c>
      <c r="Q85" s="2"/>
      <c r="R85" s="7">
        <f t="shared" si="26"/>
        <v>3.7971608519819426E-5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66.5</v>
      </c>
      <c r="Y85" s="2"/>
      <c r="Z85" s="7">
        <f t="shared" si="29"/>
        <v>0</v>
      </c>
    </row>
    <row r="86" spans="1:26" s="24" customFormat="1" hidden="1" outlineLevel="2" x14ac:dyDescent="0.25">
      <c r="A86" s="26"/>
      <c r="B86" s="11" t="str">
        <f>CONCATENATE("          ", "6007", " - ", "STUDENT HOURLY")</f>
        <v xml:space="preserve">          6007 - STUDENT HOURLY</v>
      </c>
      <c r="C86" s="11"/>
      <c r="D86" s="6">
        <v>16978.919999999998</v>
      </c>
      <c r="E86" s="2"/>
      <c r="F86" s="7">
        <f t="shared" si="22"/>
        <v>5.6686690560725145E-2</v>
      </c>
      <c r="G86" s="2"/>
      <c r="H86" s="6">
        <v>0</v>
      </c>
      <c r="I86" s="2"/>
      <c r="J86" s="7">
        <f t="shared" si="23"/>
        <v>0</v>
      </c>
      <c r="K86" s="2"/>
      <c r="L86" s="6">
        <f t="shared" si="24"/>
        <v>16978.919999999998</v>
      </c>
      <c r="M86" s="2"/>
      <c r="N86" s="7">
        <f t="shared" si="25"/>
        <v>0</v>
      </c>
      <c r="O86" s="11"/>
      <c r="P86" s="6">
        <v>125632.37999999999</v>
      </c>
      <c r="Q86" s="2"/>
      <c r="R86" s="7">
        <f t="shared" si="26"/>
        <v>7.1736293996589345E-2</v>
      </c>
      <c r="S86" s="2"/>
      <c r="T86" s="6">
        <v>35526.75</v>
      </c>
      <c r="U86" s="2"/>
      <c r="V86" s="7">
        <f t="shared" si="27"/>
        <v>2.0443844420391568E-2</v>
      </c>
      <c r="W86" s="2"/>
      <c r="X86" s="6">
        <f t="shared" si="28"/>
        <v>90105.62999999999</v>
      </c>
      <c r="Y86" s="2"/>
      <c r="Z86" s="7">
        <f t="shared" si="29"/>
        <v>2.5362756232979371</v>
      </c>
    </row>
    <row r="87" spans="1:26" s="24" customFormat="1" hidden="1" outlineLevel="2" x14ac:dyDescent="0.25">
      <c r="A87" s="26"/>
      <c r="B87" s="11" t="str">
        <f>CONCATENATE("          ", "6008", " - ", "STUDENT HOURLY-FICA EXEMPT")</f>
        <v xml:space="preserve">          6008 - STUDENT HOURLY-FICA EXEMPT</v>
      </c>
      <c r="C87" s="11"/>
      <c r="D87" s="6"/>
      <c r="E87" s="2"/>
      <c r="F87" s="7">
        <f t="shared" si="22"/>
        <v>0</v>
      </c>
      <c r="G87" s="2"/>
      <c r="H87" s="6">
        <v>14610.75</v>
      </c>
      <c r="I87" s="2"/>
      <c r="J87" s="7">
        <f t="shared" si="23"/>
        <v>3.737557871295856E-2</v>
      </c>
      <c r="K87" s="2"/>
      <c r="L87" s="6">
        <f t="shared" si="24"/>
        <v>-14610.75</v>
      </c>
      <c r="M87" s="2"/>
      <c r="N87" s="7">
        <f t="shared" si="25"/>
        <v>-1</v>
      </c>
      <c r="O87" s="11"/>
      <c r="P87" s="6">
        <v>195</v>
      </c>
      <c r="Q87" s="2"/>
      <c r="R87" s="7">
        <f t="shared" si="26"/>
        <v>1.1134531821601185E-4</v>
      </c>
      <c r="S87" s="2"/>
      <c r="T87" s="6">
        <v>68751</v>
      </c>
      <c r="U87" s="2"/>
      <c r="V87" s="7">
        <f t="shared" si="27"/>
        <v>3.9562716762618043E-2</v>
      </c>
      <c r="W87" s="2"/>
      <c r="X87" s="6">
        <f t="shared" si="28"/>
        <v>-68556</v>
      </c>
      <c r="Y87" s="2"/>
      <c r="Z87" s="7">
        <f t="shared" si="29"/>
        <v>-0.99716367761923463</v>
      </c>
    </row>
    <row r="88" spans="1:26" s="24" customFormat="1" hidden="1" outlineLevel="2" x14ac:dyDescent="0.25">
      <c r="A88" s="26"/>
      <c r="B88" s="11" t="str">
        <f>CONCATENATE("          ", "6009", " - ", "TEMPORARY-SEASONAL")</f>
        <v xml:space="preserve">          6009 - TEMPORARY-SEASONAL</v>
      </c>
      <c r="C88" s="11"/>
      <c r="D88" s="6"/>
      <c r="E88" s="2"/>
      <c r="F88" s="7">
        <f t="shared" si="22"/>
        <v>0</v>
      </c>
      <c r="G88" s="2"/>
      <c r="H88" s="6">
        <v>0</v>
      </c>
      <c r="I88" s="2"/>
      <c r="J88" s="7">
        <f t="shared" si="23"/>
        <v>0</v>
      </c>
      <c r="K88" s="2"/>
      <c r="L88" s="6">
        <f t="shared" si="24"/>
        <v>0</v>
      </c>
      <c r="M88" s="2"/>
      <c r="N88" s="7">
        <f t="shared" si="25"/>
        <v>0</v>
      </c>
      <c r="O88" s="11"/>
      <c r="P88" s="6"/>
      <c r="Q88" s="2"/>
      <c r="R88" s="7">
        <f t="shared" si="26"/>
        <v>0</v>
      </c>
      <c r="S88" s="2"/>
      <c r="T88" s="6">
        <v>0</v>
      </c>
      <c r="U88" s="2"/>
      <c r="V88" s="7">
        <f t="shared" si="27"/>
        <v>0</v>
      </c>
      <c r="W88" s="2"/>
      <c r="X88" s="6">
        <f t="shared" si="28"/>
        <v>0</v>
      </c>
      <c r="Y88" s="2"/>
      <c r="Z88" s="7">
        <f t="shared" si="29"/>
        <v>0</v>
      </c>
    </row>
    <row r="89" spans="1:26" s="24" customFormat="1" hidden="1" outlineLevel="2" x14ac:dyDescent="0.25">
      <c r="A89" s="26"/>
      <c r="B89" s="11" t="str">
        <f>CONCATENATE("          ", "6010", " - ", "GRATUITY")</f>
        <v xml:space="preserve">          6010 - GRATUITY</v>
      </c>
      <c r="C89" s="11"/>
      <c r="D89" s="6"/>
      <c r="E89" s="2"/>
      <c r="F89" s="7">
        <f t="shared" si="22"/>
        <v>0</v>
      </c>
      <c r="G89" s="2"/>
      <c r="H89" s="6">
        <v>0</v>
      </c>
      <c r="I89" s="2"/>
      <c r="J89" s="7">
        <f t="shared" si="23"/>
        <v>0</v>
      </c>
      <c r="K89" s="2"/>
      <c r="L89" s="6">
        <f t="shared" si="24"/>
        <v>0</v>
      </c>
      <c r="M89" s="2"/>
      <c r="N89" s="7">
        <f t="shared" si="25"/>
        <v>0</v>
      </c>
      <c r="O89" s="11"/>
      <c r="P89" s="6"/>
      <c r="Q89" s="2"/>
      <c r="R89" s="7">
        <f t="shared" si="26"/>
        <v>0</v>
      </c>
      <c r="S89" s="2"/>
      <c r="T89" s="6">
        <v>0</v>
      </c>
      <c r="U89" s="2"/>
      <c r="V89" s="7">
        <f t="shared" si="27"/>
        <v>0</v>
      </c>
      <c r="W89" s="2"/>
      <c r="X89" s="6">
        <f t="shared" si="28"/>
        <v>0</v>
      </c>
      <c r="Y89" s="2"/>
      <c r="Z89" s="7">
        <f t="shared" si="29"/>
        <v>0</v>
      </c>
    </row>
    <row r="90" spans="1:26" s="25" customFormat="1" outlineLevel="1" collapsed="1" x14ac:dyDescent="0.25">
      <c r="A90" s="27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2766.48</v>
      </c>
      <c r="E90" s="1"/>
      <c r="F90" s="5">
        <f t="shared" ref="F90:F94" si="30">IF(D$12=0,0,D90/D$12)</f>
        <v>9.2363115971118848E-3</v>
      </c>
      <c r="G90" s="1"/>
      <c r="H90" s="1">
        <f>SUM(OSRRefH22_2x_0)</f>
        <v>1750</v>
      </c>
      <c r="I90" s="1"/>
      <c r="J90" s="5">
        <f t="shared" ref="J90:J94" si="31">IF(H$12=0,0,H90/H$12)</f>
        <v>4.476653337280939E-3</v>
      </c>
      <c r="K90" s="1"/>
      <c r="L90" s="1">
        <f t="shared" ref="L90:L94" si="32">+D90-H90</f>
        <v>1016.48</v>
      </c>
      <c r="M90" s="1"/>
      <c r="N90" s="5">
        <f t="shared" ref="N90:N94" si="33">IF(H90=0,0,L90/H90)</f>
        <v>0.5808457142857143</v>
      </c>
      <c r="O90" s="13"/>
      <c r="P90" s="1">
        <f>SUM(OSRRefP22_2x_0)</f>
        <v>13840.02</v>
      </c>
      <c r="Q90" s="1"/>
      <c r="R90" s="5">
        <f t="shared" ref="R90:R94" si="34">IF(P$12=0,0,P90/P$12)</f>
        <v>7.9026740052100947E-3</v>
      </c>
      <c r="S90" s="1"/>
      <c r="T90" s="1">
        <f>SUM(OSRRefT22_2x_0)</f>
        <v>6500</v>
      </c>
      <c r="U90" s="1"/>
      <c r="V90" s="5">
        <f t="shared" ref="V90:V94" si="35">IF(T$12=0,0,T90/T$12)</f>
        <v>3.7404206332564949E-3</v>
      </c>
      <c r="W90" s="1"/>
      <c r="X90" s="1">
        <f t="shared" ref="X90:X94" si="36">+P90-T90</f>
        <v>7340.02</v>
      </c>
      <c r="Y90" s="1"/>
      <c r="Z90" s="5">
        <f t="shared" ref="Z90:Z94" si="37">IF(T90=0,0,X90/T90)</f>
        <v>1.1292338461538463</v>
      </c>
    </row>
    <row r="91" spans="1:26" s="24" customFormat="1" hidden="1" outlineLevel="2" x14ac:dyDescent="0.25">
      <c r="A91" s="26"/>
      <c r="B91" s="11" t="str">
        <f>CONCATENATE("          ", "6362", " - ", "ADVERTISING EXPENSE")</f>
        <v xml:space="preserve">          6362 - ADVERTISING EXPENSE</v>
      </c>
      <c r="C91" s="11"/>
      <c r="D91" s="6">
        <v>2766.48</v>
      </c>
      <c r="E91" s="2"/>
      <c r="F91" s="7">
        <f t="shared" si="30"/>
        <v>9.2363115971118848E-3</v>
      </c>
      <c r="G91" s="2"/>
      <c r="H91" s="6">
        <v>1750</v>
      </c>
      <c r="I91" s="2"/>
      <c r="J91" s="7">
        <f t="shared" si="31"/>
        <v>4.476653337280939E-3</v>
      </c>
      <c r="K91" s="2"/>
      <c r="L91" s="6">
        <f t="shared" si="32"/>
        <v>1016.48</v>
      </c>
      <c r="M91" s="2"/>
      <c r="N91" s="7">
        <f t="shared" si="33"/>
        <v>0.5808457142857143</v>
      </c>
      <c r="O91" s="11"/>
      <c r="P91" s="6">
        <v>13840.02</v>
      </c>
      <c r="Q91" s="2"/>
      <c r="R91" s="7">
        <f t="shared" si="34"/>
        <v>7.9026740052100947E-3</v>
      </c>
      <c r="S91" s="2"/>
      <c r="T91" s="6">
        <v>6500</v>
      </c>
      <c r="U91" s="2"/>
      <c r="V91" s="7">
        <f t="shared" si="35"/>
        <v>3.7404206332564949E-3</v>
      </c>
      <c r="W91" s="2"/>
      <c r="X91" s="6">
        <f t="shared" si="36"/>
        <v>7340.02</v>
      </c>
      <c r="Y91" s="2"/>
      <c r="Z91" s="7">
        <f t="shared" si="37"/>
        <v>1.1292338461538463</v>
      </c>
    </row>
    <row r="92" spans="1:26" s="25" customFormat="1" outlineLevel="1" collapsed="1" x14ac:dyDescent="0.25">
      <c r="A92" s="27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18.809999999999999</v>
      </c>
      <c r="E92" s="1"/>
      <c r="F92" s="5">
        <f t="shared" si="30"/>
        <v>6.2800027884414323E-5</v>
      </c>
      <c r="G92" s="1"/>
      <c r="H92" s="1">
        <f>SUM(OSRRefH22_3x_0)</f>
        <v>10</v>
      </c>
      <c r="I92" s="1"/>
      <c r="J92" s="5">
        <f t="shared" si="31"/>
        <v>2.5580876213033938E-5</v>
      </c>
      <c r="K92" s="1"/>
      <c r="L92" s="1">
        <f t="shared" si="32"/>
        <v>8.8099999999999987</v>
      </c>
      <c r="M92" s="1"/>
      <c r="N92" s="5">
        <f t="shared" si="33"/>
        <v>0.88099999999999989</v>
      </c>
      <c r="O92" s="13"/>
      <c r="P92" s="1">
        <f>SUM(OSRRefP22_3x_0)</f>
        <v>45.94</v>
      </c>
      <c r="Q92" s="1"/>
      <c r="R92" s="5">
        <f t="shared" si="34"/>
        <v>2.6231814968428639E-5</v>
      </c>
      <c r="S92" s="1"/>
      <c r="T92" s="1">
        <f>SUM(OSRRefT22_3x_0)</f>
        <v>60</v>
      </c>
      <c r="U92" s="1"/>
      <c r="V92" s="5">
        <f t="shared" si="35"/>
        <v>3.4526959691598415E-5</v>
      </c>
      <c r="W92" s="1"/>
      <c r="X92" s="1">
        <f t="shared" si="36"/>
        <v>-14.060000000000002</v>
      </c>
      <c r="Y92" s="1"/>
      <c r="Z92" s="5">
        <f t="shared" si="37"/>
        <v>-0.23433333333333337</v>
      </c>
    </row>
    <row r="93" spans="1:26" s="24" customFormat="1" hidden="1" outlineLevel="2" x14ac:dyDescent="0.25">
      <c r="A93" s="26"/>
      <c r="B93" s="11" t="str">
        <f>CONCATENATE("          ", "6272", " - ", "CASH (OVER/SHORT)")</f>
        <v xml:space="preserve">          6272 - CASH (OVER/SHORT)</v>
      </c>
      <c r="C93" s="11"/>
      <c r="D93" s="6">
        <v>18.809999999999999</v>
      </c>
      <c r="E93" s="2"/>
      <c r="F93" s="7">
        <f t="shared" si="30"/>
        <v>6.2800027884414323E-5</v>
      </c>
      <c r="G93" s="2"/>
      <c r="H93" s="6"/>
      <c r="I93" s="2"/>
      <c r="J93" s="7">
        <f t="shared" si="31"/>
        <v>0</v>
      </c>
      <c r="K93" s="2"/>
      <c r="L93" s="6">
        <f t="shared" si="32"/>
        <v>18.809999999999999</v>
      </c>
      <c r="M93" s="2"/>
      <c r="N93" s="7">
        <f t="shared" si="33"/>
        <v>0</v>
      </c>
      <c r="O93" s="11"/>
      <c r="P93" s="6">
        <v>45.94</v>
      </c>
      <c r="Q93" s="2"/>
      <c r="R93" s="7">
        <f t="shared" si="34"/>
        <v>2.6231814968428639E-5</v>
      </c>
      <c r="S93" s="2"/>
      <c r="T93" s="6"/>
      <c r="U93" s="2"/>
      <c r="V93" s="7">
        <f t="shared" si="35"/>
        <v>0</v>
      </c>
      <c r="W93" s="2"/>
      <c r="X93" s="6">
        <f t="shared" si="36"/>
        <v>45.94</v>
      </c>
      <c r="Y93" s="2"/>
      <c r="Z93" s="7">
        <f t="shared" si="37"/>
        <v>0</v>
      </c>
    </row>
    <row r="94" spans="1:26" s="24" customFormat="1" hidden="1" outlineLevel="2" x14ac:dyDescent="0.25">
      <c r="A94" s="26"/>
      <c r="B94" s="11" t="str">
        <f>CONCATENATE("          ", "6342", " - ", "BAD DEBT")</f>
        <v xml:space="preserve">          6342 - BAD DEBT</v>
      </c>
      <c r="C94" s="11"/>
      <c r="D94" s="6"/>
      <c r="E94" s="2"/>
      <c r="F94" s="7">
        <f t="shared" si="30"/>
        <v>0</v>
      </c>
      <c r="G94" s="2"/>
      <c r="H94" s="6">
        <v>10</v>
      </c>
      <c r="I94" s="2"/>
      <c r="J94" s="7">
        <f t="shared" si="31"/>
        <v>2.5580876213033938E-5</v>
      </c>
      <c r="K94" s="2"/>
      <c r="L94" s="6">
        <f t="shared" si="32"/>
        <v>-10</v>
      </c>
      <c r="M94" s="2"/>
      <c r="N94" s="7">
        <f t="shared" si="33"/>
        <v>-1</v>
      </c>
      <c r="O94" s="11"/>
      <c r="P94" s="6"/>
      <c r="Q94" s="2"/>
      <c r="R94" s="7">
        <f t="shared" si="34"/>
        <v>0</v>
      </c>
      <c r="S94" s="2"/>
      <c r="T94" s="6">
        <v>60</v>
      </c>
      <c r="U94" s="2"/>
      <c r="V94" s="7">
        <f t="shared" si="35"/>
        <v>3.4526959691598415E-5</v>
      </c>
      <c r="W94" s="2"/>
      <c r="X94" s="6">
        <f t="shared" si="36"/>
        <v>-60</v>
      </c>
      <c r="Y94" s="2"/>
      <c r="Z94" s="7">
        <f t="shared" si="37"/>
        <v>-1</v>
      </c>
    </row>
    <row r="95" spans="1:26" s="25" customFormat="1" outlineLevel="1" collapsed="1" x14ac:dyDescent="0.25">
      <c r="A95" s="27"/>
      <c r="B95" s="13" t="str">
        <f>CONCATENATE("     ","Bank/card Fees                                    ")</f>
        <v xml:space="preserve">     Bank/card Fees                                    </v>
      </c>
      <c r="C95" s="13"/>
      <c r="D95" s="1">
        <f>SUM(OSRRefD22_4x_0)</f>
        <v>1503.49</v>
      </c>
      <c r="E95" s="1"/>
      <c r="F95" s="5">
        <f t="shared" ref="F95:F99" si="38">IF(D$12=0,0,D95/D$12)</f>
        <v>5.019628597763854E-3</v>
      </c>
      <c r="G95" s="1"/>
      <c r="H95" s="1">
        <f>SUM(OSRRefH22_4x_0)</f>
        <v>1650</v>
      </c>
      <c r="I95" s="1"/>
      <c r="J95" s="5">
        <f t="shared" ref="J95:J99" si="39">IF(H$12=0,0,H95/H$12)</f>
        <v>4.2208445751506004E-3</v>
      </c>
      <c r="K95" s="1"/>
      <c r="L95" s="1">
        <f t="shared" ref="L95:L99" si="40">+D95-H95</f>
        <v>-146.51</v>
      </c>
      <c r="M95" s="1"/>
      <c r="N95" s="5">
        <f t="shared" ref="N95:N99" si="41">IF(H95=0,0,L95/H95)</f>
        <v>-8.8793939393939383E-2</v>
      </c>
      <c r="O95" s="13"/>
      <c r="P95" s="1">
        <f>SUM(OSRRefP22_4x_0)</f>
        <v>4684.47</v>
      </c>
      <c r="Q95" s="1"/>
      <c r="R95" s="5">
        <f t="shared" ref="R95:R99" si="42">IF(P$12=0,0,P95/P$12)</f>
        <v>2.6748400144787749E-3</v>
      </c>
      <c r="S95" s="1"/>
      <c r="T95" s="1">
        <f>SUM(OSRRefT22_4x_0)</f>
        <v>4495</v>
      </c>
      <c r="U95" s="1"/>
      <c r="V95" s="5">
        <f t="shared" ref="V95:V99" si="43">IF(T$12=0,0,T95/T$12)</f>
        <v>2.5866447302289146E-3</v>
      </c>
      <c r="W95" s="1"/>
      <c r="X95" s="1">
        <f t="shared" ref="X95:X99" si="44">+P95-T95</f>
        <v>189.47000000000025</v>
      </c>
      <c r="Y95" s="1"/>
      <c r="Z95" s="5">
        <f t="shared" ref="Z95:Z99" si="45">IF(T95=0,0,X95/T95)</f>
        <v>4.215127919911018E-2</v>
      </c>
    </row>
    <row r="96" spans="1:26" s="24" customFormat="1" hidden="1" outlineLevel="2" x14ac:dyDescent="0.25">
      <c r="A96" s="26"/>
      <c r="B96" s="11" t="str">
        <f>CONCATENATE("          ", "6381", " - ", "BANK/CREDIT CARD FEES")</f>
        <v xml:space="preserve">          6381 - BANK/CREDIT CARD FEES</v>
      </c>
      <c r="C96" s="11"/>
      <c r="D96" s="6">
        <v>1503.49</v>
      </c>
      <c r="E96" s="2"/>
      <c r="F96" s="7">
        <f t="shared" si="38"/>
        <v>5.019628597763854E-3</v>
      </c>
      <c r="G96" s="2"/>
      <c r="H96" s="6">
        <v>1650</v>
      </c>
      <c r="I96" s="2"/>
      <c r="J96" s="7">
        <f t="shared" si="39"/>
        <v>4.2208445751506004E-3</v>
      </c>
      <c r="K96" s="2"/>
      <c r="L96" s="6">
        <f t="shared" si="40"/>
        <v>-146.51</v>
      </c>
      <c r="M96" s="2"/>
      <c r="N96" s="7">
        <f t="shared" si="41"/>
        <v>-8.8793939393939383E-2</v>
      </c>
      <c r="O96" s="11"/>
      <c r="P96" s="6">
        <v>4684.47</v>
      </c>
      <c r="Q96" s="2"/>
      <c r="R96" s="7">
        <f t="shared" si="42"/>
        <v>2.6748400144787749E-3</v>
      </c>
      <c r="S96" s="2"/>
      <c r="T96" s="6">
        <v>4495</v>
      </c>
      <c r="U96" s="2"/>
      <c r="V96" s="7">
        <f t="shared" si="43"/>
        <v>2.5866447302289146E-3</v>
      </c>
      <c r="W96" s="2"/>
      <c r="X96" s="6">
        <f t="shared" si="44"/>
        <v>189.47000000000025</v>
      </c>
      <c r="Y96" s="2"/>
      <c r="Z96" s="7">
        <f t="shared" si="45"/>
        <v>4.215127919911018E-2</v>
      </c>
    </row>
    <row r="97" spans="1:26" s="25" customFormat="1" outlineLevel="1" collapsed="1" x14ac:dyDescent="0.25">
      <c r="A97" s="27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SUM(OSRRefD22_5x_0)</f>
        <v>39053.350000000006</v>
      </c>
      <c r="E97" s="1"/>
      <c r="F97" s="5">
        <f t="shared" si="38"/>
        <v>0.13038551137585289</v>
      </c>
      <c r="G97" s="1"/>
      <c r="H97" s="1">
        <f>SUM(OSRRefH22_5x_0)</f>
        <v>52000</v>
      </c>
      <c r="I97" s="1"/>
      <c r="J97" s="5">
        <f t="shared" si="39"/>
        <v>0.13302055630777648</v>
      </c>
      <c r="K97" s="1"/>
      <c r="L97" s="1">
        <f t="shared" si="40"/>
        <v>-12946.649999999994</v>
      </c>
      <c r="M97" s="1"/>
      <c r="N97" s="5">
        <f t="shared" si="41"/>
        <v>-0.24897403846153834</v>
      </c>
      <c r="O97" s="13"/>
      <c r="P97" s="1">
        <f>SUM(OSRRefP22_5x_0)</f>
        <v>179108.32</v>
      </c>
      <c r="Q97" s="1"/>
      <c r="R97" s="5">
        <f t="shared" si="42"/>
        <v>0.10227114300274504</v>
      </c>
      <c r="S97" s="1"/>
      <c r="T97" s="1">
        <f>SUM(OSRRefT22_5x_0)</f>
        <v>160000</v>
      </c>
      <c r="U97" s="1"/>
      <c r="V97" s="5">
        <f t="shared" si="43"/>
        <v>9.2071892510929107E-2</v>
      </c>
      <c r="W97" s="1"/>
      <c r="X97" s="1">
        <f t="shared" si="44"/>
        <v>19108.320000000007</v>
      </c>
      <c r="Y97" s="1"/>
      <c r="Z97" s="5">
        <f t="shared" si="45"/>
        <v>0.11942700000000005</v>
      </c>
    </row>
    <row r="98" spans="1:26" s="24" customFormat="1" hidden="1" outlineLevel="2" x14ac:dyDescent="0.25">
      <c r="A98" s="26"/>
      <c r="B98" s="11" t="str">
        <f>CONCATENATE("          ", "6382", " - ", "DISCOUNTS/MARK DOWNS")</f>
        <v xml:space="preserve">          6382 - DISCOUNTS/MARK DOWNS</v>
      </c>
      <c r="C98" s="11"/>
      <c r="D98" s="6">
        <v>39065.270000000004</v>
      </c>
      <c r="E98" s="2"/>
      <c r="F98" s="7">
        <f t="shared" si="38"/>
        <v>0.1304253080974043</v>
      </c>
      <c r="G98" s="2"/>
      <c r="H98" s="6">
        <v>52000</v>
      </c>
      <c r="I98" s="2"/>
      <c r="J98" s="7">
        <f t="shared" si="39"/>
        <v>0.13302055630777648</v>
      </c>
      <c r="K98" s="2"/>
      <c r="L98" s="6">
        <f t="shared" si="40"/>
        <v>-12934.729999999996</v>
      </c>
      <c r="M98" s="2"/>
      <c r="N98" s="7">
        <f t="shared" si="41"/>
        <v>-0.24874480769230761</v>
      </c>
      <c r="O98" s="11"/>
      <c r="P98" s="6">
        <v>179127.71000000002</v>
      </c>
      <c r="Q98" s="2"/>
      <c r="R98" s="7">
        <f t="shared" si="42"/>
        <v>0.10228221472438713</v>
      </c>
      <c r="S98" s="2"/>
      <c r="T98" s="6">
        <v>160000</v>
      </c>
      <c r="U98" s="2"/>
      <c r="V98" s="7">
        <f t="shared" si="43"/>
        <v>9.2071892510929107E-2</v>
      </c>
      <c r="W98" s="2"/>
      <c r="X98" s="6">
        <f t="shared" si="44"/>
        <v>19127.710000000021</v>
      </c>
      <c r="Y98" s="2"/>
      <c r="Z98" s="7">
        <f t="shared" si="45"/>
        <v>0.11954818750000012</v>
      </c>
    </row>
    <row r="99" spans="1:26" s="24" customFormat="1" hidden="1" outlineLevel="2" x14ac:dyDescent="0.25">
      <c r="A99" s="26"/>
      <c r="B99" s="11" t="str">
        <f>CONCATENATE("          ", "9175", " - ", "EARNED DISCOUNTS")</f>
        <v xml:space="preserve">          9175 - EARNED DISCOUNTS</v>
      </c>
      <c r="C99" s="11"/>
      <c r="D99" s="6">
        <v>-11.92</v>
      </c>
      <c r="E99" s="2"/>
      <c r="F99" s="7">
        <f t="shared" si="38"/>
        <v>-3.9796721551420457E-5</v>
      </c>
      <c r="G99" s="2"/>
      <c r="H99" s="6"/>
      <c r="I99" s="2"/>
      <c r="J99" s="7">
        <f t="shared" si="39"/>
        <v>0</v>
      </c>
      <c r="K99" s="2"/>
      <c r="L99" s="6">
        <f t="shared" si="40"/>
        <v>-11.92</v>
      </c>
      <c r="M99" s="2"/>
      <c r="N99" s="7">
        <f t="shared" si="41"/>
        <v>0</v>
      </c>
      <c r="O99" s="11"/>
      <c r="P99" s="6">
        <v>-19.39</v>
      </c>
      <c r="Q99" s="2"/>
      <c r="R99" s="7">
        <f t="shared" si="42"/>
        <v>-1.1071721642094717E-5</v>
      </c>
      <c r="S99" s="2"/>
      <c r="T99" s="6"/>
      <c r="U99" s="2"/>
      <c r="V99" s="7">
        <f t="shared" si="43"/>
        <v>0</v>
      </c>
      <c r="W99" s="2"/>
      <c r="X99" s="6">
        <f t="shared" si="44"/>
        <v>-19.39</v>
      </c>
      <c r="Y99" s="2"/>
      <c r="Z99" s="7">
        <f t="shared" si="45"/>
        <v>0</v>
      </c>
    </row>
    <row r="100" spans="1:26" s="25" customFormat="1" outlineLevel="1" collapsed="1" x14ac:dyDescent="0.25">
      <c r="A100" s="27"/>
      <c r="B100" s="13" t="str">
        <f>CONCATENATE("     ","Donations                                         ")</f>
        <v xml:space="preserve">     Donations                                         </v>
      </c>
      <c r="C100" s="13"/>
      <c r="D100" s="1">
        <f>SUM(OSRRefD22_6x_0)</f>
        <v>0</v>
      </c>
      <c r="E100" s="1"/>
      <c r="F100" s="5">
        <f t="shared" ref="F100:F106" si="46">IF(D$12=0,0,D100/D$12)</f>
        <v>0</v>
      </c>
      <c r="G100" s="1"/>
      <c r="H100" s="1">
        <f>SUM(OSRRefH22_6x_0)</f>
        <v>25</v>
      </c>
      <c r="I100" s="1"/>
      <c r="J100" s="5">
        <f t="shared" ref="J100:J106" si="47">IF(H$12=0,0,H100/H$12)</f>
        <v>6.3952190532584854E-5</v>
      </c>
      <c r="K100" s="1"/>
      <c r="L100" s="1">
        <f t="shared" ref="L100:L106" si="48">+D100-H100</f>
        <v>-25</v>
      </c>
      <c r="M100" s="1"/>
      <c r="N100" s="5">
        <f t="shared" ref="N100:N106" si="49">IF(H100=0,0,L100/H100)</f>
        <v>-1</v>
      </c>
      <c r="O100" s="13"/>
      <c r="P100" s="1">
        <f>SUM(OSRRefP22_6x_0)</f>
        <v>0</v>
      </c>
      <c r="Q100" s="1"/>
      <c r="R100" s="5">
        <f t="shared" ref="R100:R106" si="50">IF(P$12=0,0,P100/P$12)</f>
        <v>0</v>
      </c>
      <c r="S100" s="1"/>
      <c r="T100" s="1">
        <f>SUM(OSRRefT22_6x_0)</f>
        <v>225</v>
      </c>
      <c r="U100" s="1"/>
      <c r="V100" s="5">
        <f t="shared" ref="V100:V106" si="51">IF(T$12=0,0,T100/T$12)</f>
        <v>1.2947609884349405E-4</v>
      </c>
      <c r="W100" s="1"/>
      <c r="X100" s="1">
        <f t="shared" ref="X100:X106" si="52">+P100-T100</f>
        <v>-225</v>
      </c>
      <c r="Y100" s="1"/>
      <c r="Z100" s="5">
        <f t="shared" ref="Z100:Z106" si="53">IF(T100=0,0,X100/T100)</f>
        <v>-1</v>
      </c>
    </row>
    <row r="101" spans="1:26" s="24" customFormat="1" hidden="1" outlineLevel="2" x14ac:dyDescent="0.25">
      <c r="A101" s="26"/>
      <c r="B101" s="11" t="str">
        <f>CONCATENATE("          ", "6395", " - ", "DONATION-OFF CAMPUS")</f>
        <v xml:space="preserve">          6395 - DONATION-OFF CAMPUS</v>
      </c>
      <c r="C101" s="11"/>
      <c r="D101" s="6"/>
      <c r="E101" s="2"/>
      <c r="F101" s="7">
        <f t="shared" si="46"/>
        <v>0</v>
      </c>
      <c r="G101" s="2"/>
      <c r="H101" s="6">
        <v>25</v>
      </c>
      <c r="I101" s="2"/>
      <c r="J101" s="7">
        <f t="shared" si="47"/>
        <v>6.3952190532584854E-5</v>
      </c>
      <c r="K101" s="2"/>
      <c r="L101" s="6">
        <f t="shared" si="48"/>
        <v>-25</v>
      </c>
      <c r="M101" s="2"/>
      <c r="N101" s="7">
        <f t="shared" si="49"/>
        <v>-1</v>
      </c>
      <c r="O101" s="11"/>
      <c r="P101" s="6"/>
      <c r="Q101" s="2"/>
      <c r="R101" s="7">
        <f t="shared" si="50"/>
        <v>0</v>
      </c>
      <c r="S101" s="2"/>
      <c r="T101" s="6">
        <v>225</v>
      </c>
      <c r="U101" s="2"/>
      <c r="V101" s="7">
        <f t="shared" si="51"/>
        <v>1.2947609884349405E-4</v>
      </c>
      <c r="W101" s="2"/>
      <c r="X101" s="6">
        <f t="shared" si="52"/>
        <v>-225</v>
      </c>
      <c r="Y101" s="2"/>
      <c r="Z101" s="7">
        <f t="shared" si="53"/>
        <v>-1</v>
      </c>
    </row>
    <row r="102" spans="1:26" s="25" customFormat="1" outlineLevel="1" collapsed="1" x14ac:dyDescent="0.25">
      <c r="A102" s="27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SUM(OSRRefD22_7x_0)</f>
        <v>0</v>
      </c>
      <c r="E102" s="1"/>
      <c r="F102" s="5">
        <f t="shared" si="46"/>
        <v>0</v>
      </c>
      <c r="G102" s="1"/>
      <c r="H102" s="1">
        <f>SUM(OSRRefH22_7x_0)</f>
        <v>275</v>
      </c>
      <c r="I102" s="1"/>
      <c r="J102" s="5">
        <f t="shared" si="47"/>
        <v>7.0347409585843333E-4</v>
      </c>
      <c r="K102" s="1"/>
      <c r="L102" s="1">
        <f t="shared" si="48"/>
        <v>-275</v>
      </c>
      <c r="M102" s="1"/>
      <c r="N102" s="5">
        <f t="shared" si="49"/>
        <v>-1</v>
      </c>
      <c r="O102" s="13"/>
      <c r="P102" s="1">
        <f>SUM(OSRRefP22_7x_0)</f>
        <v>330.41</v>
      </c>
      <c r="Q102" s="1"/>
      <c r="R102" s="5">
        <f t="shared" si="50"/>
        <v>1.8866464918847425E-4</v>
      </c>
      <c r="S102" s="1"/>
      <c r="T102" s="1">
        <f>SUM(OSRRefT22_7x_0)</f>
        <v>1275</v>
      </c>
      <c r="U102" s="1"/>
      <c r="V102" s="5">
        <f t="shared" si="51"/>
        <v>7.3369789344646628E-4</v>
      </c>
      <c r="W102" s="1"/>
      <c r="X102" s="1">
        <f t="shared" si="52"/>
        <v>-944.58999999999992</v>
      </c>
      <c r="Y102" s="1"/>
      <c r="Z102" s="5">
        <f t="shared" si="53"/>
        <v>-0.7408549019607843</v>
      </c>
    </row>
    <row r="103" spans="1:26" s="24" customFormat="1" hidden="1" outlineLevel="2" x14ac:dyDescent="0.25">
      <c r="A103" s="26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46"/>
        <v>0</v>
      </c>
      <c r="G103" s="2"/>
      <c r="H103" s="6">
        <v>275</v>
      </c>
      <c r="I103" s="2"/>
      <c r="J103" s="7">
        <f t="shared" si="47"/>
        <v>7.0347409585843333E-4</v>
      </c>
      <c r="K103" s="2"/>
      <c r="L103" s="6">
        <f t="shared" si="48"/>
        <v>-275</v>
      </c>
      <c r="M103" s="2"/>
      <c r="N103" s="7">
        <f t="shared" si="49"/>
        <v>-1</v>
      </c>
      <c r="O103" s="11"/>
      <c r="P103" s="6">
        <v>330.41</v>
      </c>
      <c r="Q103" s="2"/>
      <c r="R103" s="7">
        <f t="shared" si="50"/>
        <v>1.8866464918847425E-4</v>
      </c>
      <c r="S103" s="2"/>
      <c r="T103" s="6">
        <v>1275</v>
      </c>
      <c r="U103" s="2"/>
      <c r="V103" s="7">
        <f t="shared" si="51"/>
        <v>7.3369789344646628E-4</v>
      </c>
      <c r="W103" s="2"/>
      <c r="X103" s="6">
        <f t="shared" si="52"/>
        <v>-944.58999999999992</v>
      </c>
      <c r="Y103" s="2"/>
      <c r="Z103" s="7">
        <f t="shared" si="53"/>
        <v>-0.7408549019607843</v>
      </c>
    </row>
    <row r="104" spans="1:26" s="25" customFormat="1" outlineLevel="1" collapsed="1" x14ac:dyDescent="0.25">
      <c r="A104" s="27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SUM(OSRRefD22_8x_0)</f>
        <v>0</v>
      </c>
      <c r="E104" s="1"/>
      <c r="F104" s="5">
        <f t="shared" si="46"/>
        <v>0</v>
      </c>
      <c r="G104" s="1"/>
      <c r="H104" s="1">
        <f>SUM(OSRRefH22_8x_0)</f>
        <v>50</v>
      </c>
      <c r="I104" s="1"/>
      <c r="J104" s="5">
        <f t="shared" si="47"/>
        <v>1.2790438106516971E-4</v>
      </c>
      <c r="K104" s="1"/>
      <c r="L104" s="1">
        <f t="shared" si="48"/>
        <v>-50</v>
      </c>
      <c r="M104" s="1"/>
      <c r="N104" s="5">
        <f t="shared" si="49"/>
        <v>-1</v>
      </c>
      <c r="O104" s="13"/>
      <c r="P104" s="1">
        <f>SUM(OSRRefP22_8x_0)</f>
        <v>70.5</v>
      </c>
      <c r="Q104" s="1"/>
      <c r="R104" s="5">
        <f t="shared" si="50"/>
        <v>4.0255615047327365E-5</v>
      </c>
      <c r="S104" s="1"/>
      <c r="T104" s="1">
        <f>SUM(OSRRefT22_8x_0)</f>
        <v>300</v>
      </c>
      <c r="U104" s="1"/>
      <c r="V104" s="5">
        <f t="shared" si="51"/>
        <v>1.7263479845799207E-4</v>
      </c>
      <c r="W104" s="1"/>
      <c r="X104" s="1">
        <f t="shared" si="52"/>
        <v>-229.5</v>
      </c>
      <c r="Y104" s="1"/>
      <c r="Z104" s="5">
        <f t="shared" si="53"/>
        <v>-0.76500000000000001</v>
      </c>
    </row>
    <row r="105" spans="1:26" s="24" customFormat="1" hidden="1" outlineLevel="2" x14ac:dyDescent="0.25">
      <c r="A105" s="26"/>
      <c r="B105" s="11" t="str">
        <f>CONCATENATE("          ", "6305", " - ", "FREIGHT OUT")</f>
        <v xml:space="preserve">          6305 - FREIGHT OUT</v>
      </c>
      <c r="C105" s="11"/>
      <c r="D105" s="6"/>
      <c r="E105" s="2"/>
      <c r="F105" s="7">
        <f t="shared" si="46"/>
        <v>0</v>
      </c>
      <c r="G105" s="2"/>
      <c r="H105" s="6">
        <v>50</v>
      </c>
      <c r="I105" s="2"/>
      <c r="J105" s="7">
        <f t="shared" si="47"/>
        <v>1.2790438106516971E-4</v>
      </c>
      <c r="K105" s="2"/>
      <c r="L105" s="6">
        <f t="shared" si="48"/>
        <v>-50</v>
      </c>
      <c r="M105" s="2"/>
      <c r="N105" s="7">
        <f t="shared" si="49"/>
        <v>-1</v>
      </c>
      <c r="O105" s="11"/>
      <c r="P105" s="6">
        <v>70</v>
      </c>
      <c r="Q105" s="2"/>
      <c r="R105" s="7">
        <f t="shared" si="50"/>
        <v>3.9970114231388873E-5</v>
      </c>
      <c r="S105" s="2"/>
      <c r="T105" s="6">
        <v>300</v>
      </c>
      <c r="U105" s="2"/>
      <c r="V105" s="7">
        <f t="shared" si="51"/>
        <v>1.7263479845799207E-4</v>
      </c>
      <c r="W105" s="2"/>
      <c r="X105" s="6">
        <f t="shared" si="52"/>
        <v>-230</v>
      </c>
      <c r="Y105" s="2"/>
      <c r="Z105" s="7">
        <f t="shared" si="53"/>
        <v>-0.76666666666666672</v>
      </c>
    </row>
    <row r="106" spans="1:26" s="24" customFormat="1" hidden="1" outlineLevel="2" x14ac:dyDescent="0.25">
      <c r="A106" s="26"/>
      <c r="B106" s="11" t="str">
        <f>CONCATENATE("          ", "6307", " - ", "POSTAGE")</f>
        <v xml:space="preserve">          6307 - POSTAGE</v>
      </c>
      <c r="C106" s="11"/>
      <c r="D106" s="6"/>
      <c r="E106" s="2"/>
      <c r="F106" s="7">
        <f t="shared" si="46"/>
        <v>0</v>
      </c>
      <c r="G106" s="2"/>
      <c r="H106" s="6"/>
      <c r="I106" s="2"/>
      <c r="J106" s="7">
        <f t="shared" si="47"/>
        <v>0</v>
      </c>
      <c r="K106" s="2"/>
      <c r="L106" s="6">
        <f t="shared" si="48"/>
        <v>0</v>
      </c>
      <c r="M106" s="2"/>
      <c r="N106" s="7">
        <f t="shared" si="49"/>
        <v>0</v>
      </c>
      <c r="O106" s="11"/>
      <c r="P106" s="6">
        <v>0.5</v>
      </c>
      <c r="Q106" s="2"/>
      <c r="R106" s="7">
        <f t="shared" si="50"/>
        <v>2.8550081593849191E-7</v>
      </c>
      <c r="S106" s="2"/>
      <c r="T106" s="6"/>
      <c r="U106" s="2"/>
      <c r="V106" s="7">
        <f t="shared" si="51"/>
        <v>0</v>
      </c>
      <c r="W106" s="2"/>
      <c r="X106" s="6">
        <f t="shared" si="52"/>
        <v>0.5</v>
      </c>
      <c r="Y106" s="2"/>
      <c r="Z106" s="7">
        <f t="shared" si="53"/>
        <v>0</v>
      </c>
    </row>
    <row r="107" spans="1:26" s="25" customFormat="1" outlineLevel="1" collapsed="1" x14ac:dyDescent="0.25">
      <c r="A107" s="27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SUM(OSRRefD22_9x_0)</f>
        <v>160</v>
      </c>
      <c r="E107" s="1"/>
      <c r="F107" s="5">
        <f t="shared" ref="F107:F119" si="54">IF(D$12=0,0,D107/D$12)</f>
        <v>5.3418418189826115E-4</v>
      </c>
      <c r="G107" s="1"/>
      <c r="H107" s="1">
        <f>SUM(OSRRefH22_9x_0)</f>
        <v>175</v>
      </c>
      <c r="I107" s="1"/>
      <c r="J107" s="5">
        <f t="shared" ref="J107:J119" si="55">IF(H$12=0,0,H107/H$12)</f>
        <v>4.4766533372809396E-4</v>
      </c>
      <c r="K107" s="1"/>
      <c r="L107" s="1">
        <f t="shared" ref="L107:L119" si="56">+D107-H107</f>
        <v>-15</v>
      </c>
      <c r="M107" s="1"/>
      <c r="N107" s="5">
        <f t="shared" ref="N107:N119" si="57">IF(H107=0,0,L107/H107)</f>
        <v>-8.5714285714285715E-2</v>
      </c>
      <c r="O107" s="13"/>
      <c r="P107" s="1">
        <f>SUM(OSRRefP22_9x_0)</f>
        <v>1271.44</v>
      </c>
      <c r="Q107" s="1"/>
      <c r="R107" s="5">
        <f t="shared" ref="R107:R119" si="58">IF(P$12=0,0,P107/P$12)</f>
        <v>7.2599431483367236E-4</v>
      </c>
      <c r="S107" s="1"/>
      <c r="T107" s="1">
        <f>SUM(OSRRefT22_9x_0)</f>
        <v>1015</v>
      </c>
      <c r="U107" s="1"/>
      <c r="V107" s="5">
        <f t="shared" ref="V107:V119" si="59">IF(T$12=0,0,T107/T$12)</f>
        <v>5.8408106811620654E-4</v>
      </c>
      <c r="W107" s="1"/>
      <c r="X107" s="1">
        <f t="shared" ref="X107:X119" si="60">+P107-T107</f>
        <v>256.44000000000005</v>
      </c>
      <c r="Y107" s="1"/>
      <c r="Z107" s="5">
        <f t="shared" ref="Z107:Z119" si="61">IF(T107=0,0,X107/T107)</f>
        <v>0.25265024630541877</v>
      </c>
    </row>
    <row r="108" spans="1:26" s="24" customFormat="1" hidden="1" outlineLevel="2" x14ac:dyDescent="0.25">
      <c r="A108" s="26"/>
      <c r="B108" s="11" t="str">
        <f>CONCATENATE("          ", "6279", " - ", "GENERAL EXPENSE")</f>
        <v xml:space="preserve">          6279 - GENERAL EXPENSE</v>
      </c>
      <c r="C108" s="11"/>
      <c r="D108" s="6">
        <v>160</v>
      </c>
      <c r="E108" s="2"/>
      <c r="F108" s="7">
        <f t="shared" si="54"/>
        <v>5.3418418189826115E-4</v>
      </c>
      <c r="G108" s="2"/>
      <c r="H108" s="6">
        <v>175</v>
      </c>
      <c r="I108" s="2"/>
      <c r="J108" s="7">
        <f t="shared" si="55"/>
        <v>4.4766533372809396E-4</v>
      </c>
      <c r="K108" s="2"/>
      <c r="L108" s="6">
        <f t="shared" si="56"/>
        <v>-15</v>
      </c>
      <c r="M108" s="2"/>
      <c r="N108" s="7">
        <f t="shared" si="57"/>
        <v>-8.5714285714285715E-2</v>
      </c>
      <c r="O108" s="11"/>
      <c r="P108" s="6">
        <v>1271.44</v>
      </c>
      <c r="Q108" s="2"/>
      <c r="R108" s="7">
        <f t="shared" si="58"/>
        <v>7.2599431483367236E-4</v>
      </c>
      <c r="S108" s="2"/>
      <c r="T108" s="6">
        <v>1015</v>
      </c>
      <c r="U108" s="2"/>
      <c r="V108" s="7">
        <f t="shared" si="59"/>
        <v>5.8408106811620654E-4</v>
      </c>
      <c r="W108" s="2"/>
      <c r="X108" s="6">
        <f t="shared" si="60"/>
        <v>256.44000000000005</v>
      </c>
      <c r="Y108" s="2"/>
      <c r="Z108" s="7">
        <f t="shared" si="61"/>
        <v>0.25265024630541877</v>
      </c>
    </row>
    <row r="109" spans="1:26" s="25" customFormat="1" outlineLevel="1" collapsed="1" x14ac:dyDescent="0.25">
      <c r="A109" s="27"/>
      <c r="B109" s="13" t="str">
        <f>CONCATENATE("     ","Insurance                                         ")</f>
        <v xml:space="preserve">     Insurance                                         </v>
      </c>
      <c r="C109" s="13"/>
      <c r="D109" s="1">
        <f>SUM(OSRRefD22_10x_0)</f>
        <v>161.18</v>
      </c>
      <c r="E109" s="1"/>
      <c r="F109" s="5">
        <f t="shared" si="54"/>
        <v>5.3812379023976083E-4</v>
      </c>
      <c r="G109" s="1"/>
      <c r="H109" s="1">
        <f>SUM(OSRRefH22_10x_0)</f>
        <v>155</v>
      </c>
      <c r="I109" s="1"/>
      <c r="J109" s="5">
        <f t="shared" si="55"/>
        <v>3.9650358130202608E-4</v>
      </c>
      <c r="K109" s="1"/>
      <c r="L109" s="1">
        <f t="shared" si="56"/>
        <v>6.1800000000000068</v>
      </c>
      <c r="M109" s="1"/>
      <c r="N109" s="5">
        <f t="shared" si="57"/>
        <v>3.9870967741935527E-2</v>
      </c>
      <c r="O109" s="13"/>
      <c r="P109" s="1">
        <f>SUM(OSRRefP22_10x_0)</f>
        <v>967.08</v>
      </c>
      <c r="Q109" s="1"/>
      <c r="R109" s="5">
        <f t="shared" si="58"/>
        <v>5.5220425815559362E-4</v>
      </c>
      <c r="S109" s="1"/>
      <c r="T109" s="1">
        <f>SUM(OSRRefT22_10x_0)</f>
        <v>930</v>
      </c>
      <c r="U109" s="1"/>
      <c r="V109" s="5">
        <f t="shared" si="59"/>
        <v>5.3516787521977547E-4</v>
      </c>
      <c r="W109" s="1"/>
      <c r="X109" s="1">
        <f t="shared" si="60"/>
        <v>37.080000000000041</v>
      </c>
      <c r="Y109" s="1"/>
      <c r="Z109" s="5">
        <f t="shared" si="61"/>
        <v>3.9870967741935527E-2</v>
      </c>
    </row>
    <row r="110" spans="1:26" s="24" customFormat="1" hidden="1" outlineLevel="2" x14ac:dyDescent="0.25">
      <c r="A110" s="26"/>
      <c r="B110" s="11" t="str">
        <f>CONCATENATE("          ", "6314", " - ", "LIABILITY INSURANCE")</f>
        <v xml:space="preserve">          6314 - LIABILITY INSURANCE</v>
      </c>
      <c r="C110" s="11"/>
      <c r="D110" s="6">
        <v>161.18</v>
      </c>
      <c r="E110" s="2"/>
      <c r="F110" s="7">
        <f t="shared" si="54"/>
        <v>5.3812379023976083E-4</v>
      </c>
      <c r="G110" s="2"/>
      <c r="H110" s="6">
        <v>155</v>
      </c>
      <c r="I110" s="2"/>
      <c r="J110" s="7">
        <f t="shared" si="55"/>
        <v>3.9650358130202608E-4</v>
      </c>
      <c r="K110" s="2"/>
      <c r="L110" s="6">
        <f t="shared" si="56"/>
        <v>6.1800000000000068</v>
      </c>
      <c r="M110" s="2"/>
      <c r="N110" s="7">
        <f t="shared" si="57"/>
        <v>3.9870967741935527E-2</v>
      </c>
      <c r="O110" s="11"/>
      <c r="P110" s="6">
        <v>967.08</v>
      </c>
      <c r="Q110" s="2"/>
      <c r="R110" s="7">
        <f t="shared" si="58"/>
        <v>5.5220425815559362E-4</v>
      </c>
      <c r="S110" s="2"/>
      <c r="T110" s="6">
        <v>930</v>
      </c>
      <c r="U110" s="2"/>
      <c r="V110" s="7">
        <f t="shared" si="59"/>
        <v>5.3516787521977547E-4</v>
      </c>
      <c r="W110" s="2"/>
      <c r="X110" s="6">
        <f t="shared" si="60"/>
        <v>37.080000000000041</v>
      </c>
      <c r="Y110" s="2"/>
      <c r="Z110" s="7">
        <f t="shared" si="61"/>
        <v>3.9870967741935527E-2</v>
      </c>
    </row>
    <row r="111" spans="1:26" s="25" customFormat="1" outlineLevel="1" collapsed="1" x14ac:dyDescent="0.25">
      <c r="A111" s="27"/>
      <c r="B111" s="13" t="str">
        <f>CONCATENATE("     ","Inventory Adjustment                              ")</f>
        <v xml:space="preserve">     Inventory Adjustment                              </v>
      </c>
      <c r="C111" s="13"/>
      <c r="D111" s="1">
        <f>SUM(OSRRefD22_11x_0)</f>
        <v>3150</v>
      </c>
      <c r="E111" s="1"/>
      <c r="F111" s="5">
        <f t="shared" si="54"/>
        <v>1.0516751081122017E-2</v>
      </c>
      <c r="G111" s="1"/>
      <c r="H111" s="1">
        <f>SUM(OSRRefH22_11x_0)</f>
        <v>3150</v>
      </c>
      <c r="I111" s="1"/>
      <c r="J111" s="5">
        <f t="shared" si="55"/>
        <v>8.0579760071056907E-3</v>
      </c>
      <c r="K111" s="1"/>
      <c r="L111" s="1">
        <f t="shared" si="56"/>
        <v>0</v>
      </c>
      <c r="M111" s="1"/>
      <c r="N111" s="5">
        <f t="shared" si="57"/>
        <v>0</v>
      </c>
      <c r="O111" s="13"/>
      <c r="P111" s="1">
        <f>SUM(OSRRefP22_11x_0)</f>
        <v>18900</v>
      </c>
      <c r="Q111" s="1"/>
      <c r="R111" s="5">
        <f t="shared" si="58"/>
        <v>1.0791930842474994E-2</v>
      </c>
      <c r="S111" s="1"/>
      <c r="T111" s="1">
        <f>SUM(OSRRefT22_11x_0)</f>
        <v>18900</v>
      </c>
      <c r="U111" s="1"/>
      <c r="V111" s="5">
        <f t="shared" si="59"/>
        <v>1.08759923028535E-2</v>
      </c>
      <c r="W111" s="1"/>
      <c r="X111" s="1">
        <f t="shared" si="60"/>
        <v>0</v>
      </c>
      <c r="Y111" s="1"/>
      <c r="Z111" s="5">
        <f t="shared" si="61"/>
        <v>0</v>
      </c>
    </row>
    <row r="112" spans="1:26" s="24" customFormat="1" hidden="1" outlineLevel="2" x14ac:dyDescent="0.25">
      <c r="A112" s="26"/>
      <c r="B112" s="11" t="str">
        <f>CONCATENATE("          ", "6408", " - ", "INVENTORY ADJUSTMENT")</f>
        <v xml:space="preserve">          6408 - INVENTORY ADJUSTMENT</v>
      </c>
      <c r="C112" s="11"/>
      <c r="D112" s="6">
        <v>3150</v>
      </c>
      <c r="E112" s="2"/>
      <c r="F112" s="7">
        <f t="shared" si="54"/>
        <v>1.0516751081122017E-2</v>
      </c>
      <c r="G112" s="2"/>
      <c r="H112" s="6">
        <v>3150</v>
      </c>
      <c r="I112" s="2"/>
      <c r="J112" s="7">
        <f t="shared" si="55"/>
        <v>8.0579760071056907E-3</v>
      </c>
      <c r="K112" s="2"/>
      <c r="L112" s="6">
        <f t="shared" si="56"/>
        <v>0</v>
      </c>
      <c r="M112" s="2"/>
      <c r="N112" s="7">
        <f t="shared" si="57"/>
        <v>0</v>
      </c>
      <c r="O112" s="11"/>
      <c r="P112" s="6">
        <v>18900</v>
      </c>
      <c r="Q112" s="2"/>
      <c r="R112" s="7">
        <f t="shared" si="58"/>
        <v>1.0791930842474994E-2</v>
      </c>
      <c r="S112" s="2"/>
      <c r="T112" s="6">
        <v>18900</v>
      </c>
      <c r="U112" s="2"/>
      <c r="V112" s="7">
        <f t="shared" si="59"/>
        <v>1.08759923028535E-2</v>
      </c>
      <c r="W112" s="2"/>
      <c r="X112" s="6">
        <f t="shared" si="60"/>
        <v>0</v>
      </c>
      <c r="Y112" s="2"/>
      <c r="Z112" s="7">
        <f t="shared" si="61"/>
        <v>0</v>
      </c>
    </row>
    <row r="113" spans="1:26" s="25" customFormat="1" outlineLevel="1" collapsed="1" x14ac:dyDescent="0.25">
      <c r="A113" s="27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SUM(OSRRefD22_12x_0)</f>
        <v>0</v>
      </c>
      <c r="E113" s="1"/>
      <c r="F113" s="5">
        <f t="shared" si="54"/>
        <v>0</v>
      </c>
      <c r="G113" s="1"/>
      <c r="H113" s="1">
        <f>SUM(OSRRefH22_12x_0)</f>
        <v>0</v>
      </c>
      <c r="I113" s="1"/>
      <c r="J113" s="5">
        <f t="shared" si="55"/>
        <v>0</v>
      </c>
      <c r="K113" s="1"/>
      <c r="L113" s="1">
        <f t="shared" si="56"/>
        <v>0</v>
      </c>
      <c r="M113" s="1"/>
      <c r="N113" s="5">
        <f t="shared" si="57"/>
        <v>0</v>
      </c>
      <c r="O113" s="13"/>
      <c r="P113" s="1">
        <f>SUM(OSRRefP22_12x_0)</f>
        <v>750</v>
      </c>
      <c r="Q113" s="1"/>
      <c r="R113" s="5">
        <f t="shared" si="58"/>
        <v>4.2825122390773788E-4</v>
      </c>
      <c r="S113" s="1"/>
      <c r="T113" s="1">
        <f>SUM(OSRRefT22_12x_0)</f>
        <v>2650</v>
      </c>
      <c r="U113" s="1"/>
      <c r="V113" s="5">
        <f t="shared" si="59"/>
        <v>1.5249407197122633E-3</v>
      </c>
      <c r="W113" s="1"/>
      <c r="X113" s="1">
        <f t="shared" si="60"/>
        <v>-1900</v>
      </c>
      <c r="Y113" s="1"/>
      <c r="Z113" s="5">
        <f t="shared" si="61"/>
        <v>-0.71698113207547165</v>
      </c>
    </row>
    <row r="114" spans="1:26" s="24" customFormat="1" hidden="1" outlineLevel="2" x14ac:dyDescent="0.25">
      <c r="A114" s="26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54"/>
        <v>0</v>
      </c>
      <c r="G114" s="2"/>
      <c r="H114" s="6">
        <v>0</v>
      </c>
      <c r="I114" s="2"/>
      <c r="J114" s="7">
        <f t="shared" si="55"/>
        <v>0</v>
      </c>
      <c r="K114" s="2"/>
      <c r="L114" s="6">
        <f t="shared" si="56"/>
        <v>0</v>
      </c>
      <c r="M114" s="2"/>
      <c r="N114" s="7">
        <f t="shared" si="57"/>
        <v>0</v>
      </c>
      <c r="O114" s="11"/>
      <c r="P114" s="6">
        <v>750</v>
      </c>
      <c r="Q114" s="2"/>
      <c r="R114" s="7">
        <f t="shared" si="58"/>
        <v>4.2825122390773788E-4</v>
      </c>
      <c r="S114" s="2"/>
      <c r="T114" s="6">
        <v>2650</v>
      </c>
      <c r="U114" s="2"/>
      <c r="V114" s="7">
        <f t="shared" si="59"/>
        <v>1.5249407197122633E-3</v>
      </c>
      <c r="W114" s="2"/>
      <c r="X114" s="6">
        <f t="shared" si="60"/>
        <v>-1900</v>
      </c>
      <c r="Y114" s="2"/>
      <c r="Z114" s="7">
        <f t="shared" si="61"/>
        <v>-0.71698113207547165</v>
      </c>
    </row>
    <row r="115" spans="1:26" s="25" customFormat="1" outlineLevel="1" collapsed="1" x14ac:dyDescent="0.25">
      <c r="A115" s="27"/>
      <c r="B115" s="13" t="str">
        <f>CONCATENATE("     ","Rent                                              ")</f>
        <v xml:space="preserve">     Rent                                              </v>
      </c>
      <c r="C115" s="13"/>
      <c r="D115" s="1">
        <f>SUM(OSRRefD22_13x_0)</f>
        <v>6900</v>
      </c>
      <c r="E115" s="1"/>
      <c r="F115" s="5">
        <f t="shared" si="54"/>
        <v>2.3036692844362511E-2</v>
      </c>
      <c r="G115" s="1"/>
      <c r="H115" s="1">
        <f>SUM(OSRRefH22_13x_0)</f>
        <v>7200</v>
      </c>
      <c r="I115" s="1"/>
      <c r="J115" s="5">
        <f t="shared" si="55"/>
        <v>1.8418230873384435E-2</v>
      </c>
      <c r="K115" s="1"/>
      <c r="L115" s="1">
        <f t="shared" si="56"/>
        <v>-300</v>
      </c>
      <c r="M115" s="1"/>
      <c r="N115" s="5">
        <f t="shared" si="57"/>
        <v>-4.1666666666666664E-2</v>
      </c>
      <c r="O115" s="13"/>
      <c r="P115" s="1">
        <f>SUM(OSRRefP22_13x_0)</f>
        <v>41400</v>
      </c>
      <c r="Q115" s="1"/>
      <c r="R115" s="5">
        <f t="shared" si="58"/>
        <v>2.3639467559707132E-2</v>
      </c>
      <c r="S115" s="1"/>
      <c r="T115" s="1">
        <f>SUM(OSRRefT22_13x_0)</f>
        <v>43200</v>
      </c>
      <c r="U115" s="1"/>
      <c r="V115" s="5">
        <f t="shared" si="59"/>
        <v>2.4859410977950858E-2</v>
      </c>
      <c r="W115" s="1"/>
      <c r="X115" s="1">
        <f t="shared" si="60"/>
        <v>-1800</v>
      </c>
      <c r="Y115" s="1"/>
      <c r="Z115" s="5">
        <f t="shared" si="61"/>
        <v>-4.1666666666666664E-2</v>
      </c>
    </row>
    <row r="116" spans="1:26" s="24" customFormat="1" hidden="1" outlineLevel="2" x14ac:dyDescent="0.25">
      <c r="A116" s="26"/>
      <c r="B116" s="11" t="str">
        <f>CONCATENATE("          ", "6273", " - ", "RENT")</f>
        <v xml:space="preserve">          6273 - RENT</v>
      </c>
      <c r="C116" s="11"/>
      <c r="D116" s="6">
        <v>6900</v>
      </c>
      <c r="E116" s="2"/>
      <c r="F116" s="7">
        <f t="shared" si="54"/>
        <v>2.3036692844362511E-2</v>
      </c>
      <c r="G116" s="2"/>
      <c r="H116" s="6">
        <v>7200</v>
      </c>
      <c r="I116" s="2"/>
      <c r="J116" s="7">
        <f t="shared" si="55"/>
        <v>1.8418230873384435E-2</v>
      </c>
      <c r="K116" s="2"/>
      <c r="L116" s="6">
        <f t="shared" si="56"/>
        <v>-300</v>
      </c>
      <c r="M116" s="2"/>
      <c r="N116" s="7">
        <f t="shared" si="57"/>
        <v>-4.1666666666666664E-2</v>
      </c>
      <c r="O116" s="11"/>
      <c r="P116" s="6">
        <v>41400</v>
      </c>
      <c r="Q116" s="2"/>
      <c r="R116" s="7">
        <f t="shared" si="58"/>
        <v>2.3639467559707132E-2</v>
      </c>
      <c r="S116" s="2"/>
      <c r="T116" s="6">
        <v>43200</v>
      </c>
      <c r="U116" s="2"/>
      <c r="V116" s="7">
        <f t="shared" si="59"/>
        <v>2.4859410977950858E-2</v>
      </c>
      <c r="W116" s="2"/>
      <c r="X116" s="6">
        <f t="shared" si="60"/>
        <v>-1800</v>
      </c>
      <c r="Y116" s="2"/>
      <c r="Z116" s="7">
        <f t="shared" si="61"/>
        <v>-4.1666666666666664E-2</v>
      </c>
    </row>
    <row r="117" spans="1:26" s="25" customFormat="1" outlineLevel="1" collapsed="1" x14ac:dyDescent="0.25">
      <c r="A117" s="27"/>
      <c r="B117" s="13" t="str">
        <f>CONCATENATE("     ","Repair and Maintenance                            ")</f>
        <v xml:space="preserve">     Repair and Maintenance                            </v>
      </c>
      <c r="C117" s="13"/>
      <c r="D117" s="1">
        <f>SUM(OSRRefD22_14x_0)</f>
        <v>171.46</v>
      </c>
      <c r="E117" s="1"/>
      <c r="F117" s="5">
        <f t="shared" si="54"/>
        <v>5.7244512392672412E-4</v>
      </c>
      <c r="G117" s="1"/>
      <c r="H117" s="1">
        <f>SUM(OSRRefH22_14x_0)</f>
        <v>150</v>
      </c>
      <c r="I117" s="1"/>
      <c r="J117" s="5">
        <f t="shared" si="55"/>
        <v>3.837131431955091E-4</v>
      </c>
      <c r="K117" s="1"/>
      <c r="L117" s="1">
        <f t="shared" si="56"/>
        <v>21.460000000000008</v>
      </c>
      <c r="M117" s="1"/>
      <c r="N117" s="5">
        <f t="shared" si="57"/>
        <v>0.14306666666666673</v>
      </c>
      <c r="O117" s="13"/>
      <c r="P117" s="1">
        <f>SUM(OSRRefP22_14x_0)</f>
        <v>275.75</v>
      </c>
      <c r="Q117" s="1"/>
      <c r="R117" s="5">
        <f t="shared" si="58"/>
        <v>1.574536999900783E-4</v>
      </c>
      <c r="S117" s="1"/>
      <c r="T117" s="1">
        <f>SUM(OSRRefT22_14x_0)</f>
        <v>1250</v>
      </c>
      <c r="U117" s="1"/>
      <c r="V117" s="5">
        <f t="shared" si="59"/>
        <v>7.1931166024163365E-4</v>
      </c>
      <c r="W117" s="1"/>
      <c r="X117" s="1">
        <f t="shared" si="60"/>
        <v>-974.25</v>
      </c>
      <c r="Y117" s="1"/>
      <c r="Z117" s="5">
        <f t="shared" si="61"/>
        <v>-0.77939999999999998</v>
      </c>
    </row>
    <row r="118" spans="1:26" s="24" customFormat="1" hidden="1" outlineLevel="2" x14ac:dyDescent="0.25">
      <c r="A118" s="26"/>
      <c r="B118" s="11" t="str">
        <f>CONCATENATE("          ", "6373", " - ", "MAINTENANCE CONTRACTS")</f>
        <v xml:space="preserve">          6373 - MAINTENANCE CONTRACTS</v>
      </c>
      <c r="C118" s="11"/>
      <c r="D118" s="6">
        <v>47.57</v>
      </c>
      <c r="E118" s="2"/>
      <c r="F118" s="7">
        <f t="shared" si="54"/>
        <v>1.5881963458062677E-4</v>
      </c>
      <c r="G118" s="2"/>
      <c r="H118" s="6">
        <v>0</v>
      </c>
      <c r="I118" s="2"/>
      <c r="J118" s="7">
        <f t="shared" si="55"/>
        <v>0</v>
      </c>
      <c r="K118" s="2"/>
      <c r="L118" s="6">
        <f t="shared" si="56"/>
        <v>47.57</v>
      </c>
      <c r="M118" s="2"/>
      <c r="N118" s="7">
        <f t="shared" si="57"/>
        <v>0</v>
      </c>
      <c r="O118" s="11"/>
      <c r="P118" s="6">
        <v>93.22</v>
      </c>
      <c r="Q118" s="2"/>
      <c r="R118" s="7">
        <f t="shared" si="58"/>
        <v>5.3228772123572435E-5</v>
      </c>
      <c r="S118" s="2"/>
      <c r="T118" s="6">
        <v>75</v>
      </c>
      <c r="U118" s="2"/>
      <c r="V118" s="7">
        <f t="shared" si="59"/>
        <v>4.3158699614498017E-5</v>
      </c>
      <c r="W118" s="2"/>
      <c r="X118" s="6">
        <f t="shared" si="60"/>
        <v>18.22</v>
      </c>
      <c r="Y118" s="2"/>
      <c r="Z118" s="7">
        <f t="shared" si="61"/>
        <v>0.24293333333333331</v>
      </c>
    </row>
    <row r="119" spans="1:26" s="24" customFormat="1" hidden="1" outlineLevel="2" x14ac:dyDescent="0.25">
      <c r="A119" s="26"/>
      <c r="B119" s="11" t="str">
        <f>CONCATENATE("          ", "6375", " - ", "OUTSIDE REPAIRS &amp; MAINTENANCE")</f>
        <v xml:space="preserve">          6375 - OUTSIDE REPAIRS &amp; MAINTENANCE</v>
      </c>
      <c r="C119" s="11"/>
      <c r="D119" s="6">
        <v>123.89</v>
      </c>
      <c r="E119" s="2"/>
      <c r="F119" s="7">
        <f t="shared" si="54"/>
        <v>4.1362548934609732E-4</v>
      </c>
      <c r="G119" s="2"/>
      <c r="H119" s="6">
        <v>150</v>
      </c>
      <c r="I119" s="2"/>
      <c r="J119" s="7">
        <f t="shared" si="55"/>
        <v>3.837131431955091E-4</v>
      </c>
      <c r="K119" s="2"/>
      <c r="L119" s="6">
        <f t="shared" si="56"/>
        <v>-26.11</v>
      </c>
      <c r="M119" s="2"/>
      <c r="N119" s="7">
        <f t="shared" si="57"/>
        <v>-0.17406666666666668</v>
      </c>
      <c r="O119" s="11"/>
      <c r="P119" s="6">
        <v>182.53</v>
      </c>
      <c r="Q119" s="2"/>
      <c r="R119" s="7">
        <f t="shared" si="58"/>
        <v>1.0422492786650586E-4</v>
      </c>
      <c r="S119" s="2"/>
      <c r="T119" s="6">
        <v>1175</v>
      </c>
      <c r="U119" s="2"/>
      <c r="V119" s="7">
        <f t="shared" si="59"/>
        <v>6.7615296062713563E-4</v>
      </c>
      <c r="W119" s="2"/>
      <c r="X119" s="6">
        <f t="shared" si="60"/>
        <v>-992.47</v>
      </c>
      <c r="Y119" s="2"/>
      <c r="Z119" s="7">
        <f t="shared" si="61"/>
        <v>-0.84465531914893621</v>
      </c>
    </row>
    <row r="120" spans="1:26" s="25" customFormat="1" outlineLevel="1" collapsed="1" x14ac:dyDescent="0.25">
      <c r="A120" s="27"/>
      <c r="B120" s="13" t="str">
        <f>CONCATENATE("     ","Royalty &amp; Commissions                             ")</f>
        <v xml:space="preserve">     Royalty &amp; Commissions                             </v>
      </c>
      <c r="C120" s="13"/>
      <c r="D120" s="1">
        <f>SUM(OSRRefD22_15x_0)</f>
        <v>262.72000000000003</v>
      </c>
      <c r="E120" s="1"/>
      <c r="F120" s="5">
        <f t="shared" ref="F120:F123" si="62">IF(D$12=0,0,D120/D$12)</f>
        <v>8.7713042667694491E-4</v>
      </c>
      <c r="G120" s="1"/>
      <c r="H120" s="1">
        <f>SUM(OSRRefH22_15x_0)</f>
        <v>5485</v>
      </c>
      <c r="I120" s="1"/>
      <c r="J120" s="5">
        <f t="shared" ref="J120:J123" si="63">IF(H$12=0,0,H120/H$12)</f>
        <v>1.4031110602849116E-2</v>
      </c>
      <c r="K120" s="1"/>
      <c r="L120" s="1">
        <f t="shared" ref="L120:L123" si="64">+D120-H120</f>
        <v>-5222.28</v>
      </c>
      <c r="M120" s="1"/>
      <c r="N120" s="5">
        <f t="shared" ref="N120:N123" si="65">IF(H120=0,0,L120/H120)</f>
        <v>-0.95210209662716494</v>
      </c>
      <c r="O120" s="13"/>
      <c r="P120" s="1">
        <f>SUM(OSRRefP22_15x_0)</f>
        <v>6930.79</v>
      </c>
      <c r="Q120" s="1"/>
      <c r="R120" s="5">
        <f t="shared" ref="R120:R123" si="66">IF(P$12=0,0,P120/P$12)</f>
        <v>3.9574924001966813E-3</v>
      </c>
      <c r="S120" s="1"/>
      <c r="T120" s="1">
        <f>SUM(OSRRefT22_15x_0)</f>
        <v>32910</v>
      </c>
      <c r="U120" s="1"/>
      <c r="V120" s="5">
        <f t="shared" ref="V120:V123" si="67">IF(T$12=0,0,T120/T$12)</f>
        <v>1.8938037390841732E-2</v>
      </c>
      <c r="W120" s="1"/>
      <c r="X120" s="1">
        <f t="shared" ref="X120:X123" si="68">+P120-T120</f>
        <v>-25979.21</v>
      </c>
      <c r="Y120" s="1"/>
      <c r="Z120" s="5">
        <f t="shared" ref="Z120:Z123" si="69">IF(T120=0,0,X120/T120)</f>
        <v>-0.78940170161045276</v>
      </c>
    </row>
    <row r="121" spans="1:26" s="24" customFormat="1" hidden="1" outlineLevel="2" x14ac:dyDescent="0.25">
      <c r="A121" s="26"/>
      <c r="B121" s="11" t="str">
        <f>CONCATENATE("          ", "6252", " - ", "ROYALTY DUE CSTV")</f>
        <v xml:space="preserve">          6252 - ROYALTY DUE CSTV</v>
      </c>
      <c r="C121" s="11"/>
      <c r="D121" s="6"/>
      <c r="E121" s="2"/>
      <c r="F121" s="7">
        <f t="shared" si="62"/>
        <v>0</v>
      </c>
      <c r="G121" s="2"/>
      <c r="H121" s="6">
        <v>1085</v>
      </c>
      <c r="I121" s="2"/>
      <c r="J121" s="7">
        <f t="shared" si="63"/>
        <v>2.7755250691141823E-3</v>
      </c>
      <c r="K121" s="2"/>
      <c r="L121" s="6">
        <f t="shared" si="64"/>
        <v>-1085</v>
      </c>
      <c r="M121" s="2"/>
      <c r="N121" s="7">
        <f t="shared" si="65"/>
        <v>-1</v>
      </c>
      <c r="O121" s="11"/>
      <c r="P121" s="6"/>
      <c r="Q121" s="2"/>
      <c r="R121" s="7">
        <f t="shared" si="66"/>
        <v>0</v>
      </c>
      <c r="S121" s="2"/>
      <c r="T121" s="6">
        <v>6510</v>
      </c>
      <c r="U121" s="2"/>
      <c r="V121" s="7">
        <f t="shared" si="67"/>
        <v>3.7461751265384282E-3</v>
      </c>
      <c r="W121" s="2"/>
      <c r="X121" s="6">
        <f t="shared" si="68"/>
        <v>-6510</v>
      </c>
      <c r="Y121" s="2"/>
      <c r="Z121" s="7">
        <f t="shared" si="69"/>
        <v>-1</v>
      </c>
    </row>
    <row r="122" spans="1:26" s="24" customFormat="1" hidden="1" outlineLevel="2" x14ac:dyDescent="0.25">
      <c r="A122" s="26"/>
      <c r="B122" s="11" t="str">
        <f>CONCATENATE("          ", "6253", " - ", "ROYALTY DUE ATHLETICS-LRG")</f>
        <v xml:space="preserve">          6253 - ROYALTY DUE ATHLETICS-LRG</v>
      </c>
      <c r="C122" s="11"/>
      <c r="D122" s="6"/>
      <c r="E122" s="2"/>
      <c r="F122" s="7">
        <f t="shared" si="62"/>
        <v>0</v>
      </c>
      <c r="G122" s="2"/>
      <c r="H122" s="6">
        <v>3700</v>
      </c>
      <c r="I122" s="2"/>
      <c r="J122" s="7">
        <f t="shared" si="63"/>
        <v>9.4649241988225569E-3</v>
      </c>
      <c r="K122" s="2"/>
      <c r="L122" s="6">
        <f t="shared" si="64"/>
        <v>-3700</v>
      </c>
      <c r="M122" s="2"/>
      <c r="N122" s="7">
        <f t="shared" si="65"/>
        <v>-1</v>
      </c>
      <c r="O122" s="11"/>
      <c r="P122" s="6">
        <v>4366.95</v>
      </c>
      <c r="Q122" s="2"/>
      <c r="R122" s="7">
        <f t="shared" si="66"/>
        <v>2.4935355763251944E-3</v>
      </c>
      <c r="S122" s="2"/>
      <c r="T122" s="6">
        <v>22200</v>
      </c>
      <c r="U122" s="2"/>
      <c r="V122" s="7">
        <f t="shared" si="67"/>
        <v>1.2774975085891413E-2</v>
      </c>
      <c r="W122" s="2"/>
      <c r="X122" s="6">
        <f t="shared" si="68"/>
        <v>-17833.05</v>
      </c>
      <c r="Y122" s="2"/>
      <c r="Z122" s="7">
        <f t="shared" si="69"/>
        <v>-0.8032905405405405</v>
      </c>
    </row>
    <row r="123" spans="1:26" s="24" customFormat="1" hidden="1" outlineLevel="2" x14ac:dyDescent="0.25">
      <c r="A123" s="26"/>
      <c r="B123" s="11" t="str">
        <f>CONCATENATE("          ", "6254", " - ", "ROYALTY &amp; COMMISSIONS")</f>
        <v xml:space="preserve">          6254 - ROYALTY &amp; COMMISSIONS</v>
      </c>
      <c r="C123" s="11"/>
      <c r="D123" s="6">
        <v>262.72000000000003</v>
      </c>
      <c r="E123" s="2"/>
      <c r="F123" s="7">
        <f t="shared" si="62"/>
        <v>8.7713042667694491E-4</v>
      </c>
      <c r="G123" s="2"/>
      <c r="H123" s="6">
        <v>700</v>
      </c>
      <c r="I123" s="2"/>
      <c r="J123" s="7">
        <f t="shared" si="63"/>
        <v>1.7906613349123759E-3</v>
      </c>
      <c r="K123" s="2"/>
      <c r="L123" s="6">
        <f t="shared" si="64"/>
        <v>-437.28</v>
      </c>
      <c r="M123" s="2"/>
      <c r="N123" s="7">
        <f t="shared" si="65"/>
        <v>-0.62468571428571429</v>
      </c>
      <c r="O123" s="11"/>
      <c r="P123" s="6">
        <v>2563.84</v>
      </c>
      <c r="Q123" s="2"/>
      <c r="R123" s="7">
        <f t="shared" si="66"/>
        <v>1.4639568238714864E-3</v>
      </c>
      <c r="S123" s="2"/>
      <c r="T123" s="6">
        <v>4200</v>
      </c>
      <c r="U123" s="2"/>
      <c r="V123" s="7">
        <f t="shared" si="67"/>
        <v>2.4168871784118889E-3</v>
      </c>
      <c r="W123" s="2"/>
      <c r="X123" s="6">
        <f t="shared" si="68"/>
        <v>-1636.1599999999999</v>
      </c>
      <c r="Y123" s="2"/>
      <c r="Z123" s="7">
        <f t="shared" si="69"/>
        <v>-0.38956190476190472</v>
      </c>
    </row>
    <row r="124" spans="1:26" s="25" customFormat="1" outlineLevel="1" collapsed="1" x14ac:dyDescent="0.25">
      <c r="A124" s="27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SUM(OSRRefD22_16x_0)</f>
        <v>181.82</v>
      </c>
      <c r="E124" s="1"/>
      <c r="F124" s="5">
        <f t="shared" ref="F124:F127" si="70">IF(D$12=0,0,D124/D$12)</f>
        <v>6.0703354970463651E-4</v>
      </c>
      <c r="G124" s="1"/>
      <c r="H124" s="1">
        <f>SUM(OSRRefH22_16x_0)</f>
        <v>232.5</v>
      </c>
      <c r="I124" s="1"/>
      <c r="J124" s="5">
        <f t="shared" ref="J124:J127" si="71">IF(H$12=0,0,H124/H$12)</f>
        <v>5.947553719530391E-4</v>
      </c>
      <c r="K124" s="1"/>
      <c r="L124" s="1">
        <f t="shared" ref="L124:L127" si="72">+D124-H124</f>
        <v>-50.680000000000007</v>
      </c>
      <c r="M124" s="1"/>
      <c r="N124" s="5">
        <f t="shared" ref="N124:N127" si="73">IF(H124=0,0,L124/H124)</f>
        <v>-0.21797849462365596</v>
      </c>
      <c r="O124" s="13"/>
      <c r="P124" s="1">
        <f>SUM(OSRRefP22_16x_0)</f>
        <v>2002.28</v>
      </c>
      <c r="Q124" s="1"/>
      <c r="R124" s="5">
        <f t="shared" ref="R124:R127" si="74">IF(P$12=0,0,P124/P$12)</f>
        <v>1.1433051474746471E-3</v>
      </c>
      <c r="S124" s="1"/>
      <c r="T124" s="1">
        <f>SUM(OSRRefT22_16x_0)</f>
        <v>1395</v>
      </c>
      <c r="U124" s="1"/>
      <c r="V124" s="5">
        <f t="shared" ref="V124:V127" si="75">IF(T$12=0,0,T124/T$12)</f>
        <v>8.0275181282966315E-4</v>
      </c>
      <c r="W124" s="1"/>
      <c r="X124" s="1">
        <f t="shared" ref="X124:X127" si="76">+P124-T124</f>
        <v>607.28</v>
      </c>
      <c r="Y124" s="1"/>
      <c r="Z124" s="5">
        <f t="shared" ref="Z124:Z127" si="77">IF(T124=0,0,X124/T124)</f>
        <v>0.43532616487455195</v>
      </c>
    </row>
    <row r="125" spans="1:26" s="24" customFormat="1" hidden="1" outlineLevel="2" x14ac:dyDescent="0.25">
      <c r="A125" s="26"/>
      <c r="B125" s="11" t="str">
        <f>CONCATENATE("          ", "6283", " - ", "PLANT SERVICE")</f>
        <v xml:space="preserve">          6283 - PLANT SERVICE</v>
      </c>
      <c r="C125" s="11"/>
      <c r="D125" s="6"/>
      <c r="E125" s="2"/>
      <c r="F125" s="7">
        <f t="shared" si="70"/>
        <v>0</v>
      </c>
      <c r="G125" s="2"/>
      <c r="H125" s="6">
        <v>60</v>
      </c>
      <c r="I125" s="2"/>
      <c r="J125" s="7">
        <f t="shared" si="71"/>
        <v>1.5348525727820362E-4</v>
      </c>
      <c r="K125" s="2"/>
      <c r="L125" s="6">
        <f t="shared" si="72"/>
        <v>-60</v>
      </c>
      <c r="M125" s="2"/>
      <c r="N125" s="7">
        <f t="shared" si="73"/>
        <v>-1</v>
      </c>
      <c r="O125" s="11"/>
      <c r="P125" s="6">
        <v>178.65</v>
      </c>
      <c r="Q125" s="2"/>
      <c r="R125" s="7">
        <f t="shared" si="74"/>
        <v>1.0200944153482317E-4</v>
      </c>
      <c r="S125" s="2"/>
      <c r="T125" s="6">
        <v>360</v>
      </c>
      <c r="U125" s="2"/>
      <c r="V125" s="7">
        <f t="shared" si="75"/>
        <v>2.071617581495905E-4</v>
      </c>
      <c r="W125" s="2"/>
      <c r="X125" s="6">
        <f t="shared" si="76"/>
        <v>-181.35</v>
      </c>
      <c r="Y125" s="2"/>
      <c r="Z125" s="7">
        <f t="shared" si="77"/>
        <v>-0.50375000000000003</v>
      </c>
    </row>
    <row r="126" spans="1:26" s="24" customFormat="1" hidden="1" outlineLevel="2" x14ac:dyDescent="0.25">
      <c r="A126" s="26"/>
      <c r="B126" s="11" t="str">
        <f>CONCATENATE("          ", "6284", " - ", "TRASH REMOVAL EXPENSE")</f>
        <v xml:space="preserve">          6284 - TRASH REMOVAL EXPENSE</v>
      </c>
      <c r="C126" s="11"/>
      <c r="D126" s="6">
        <v>134.82</v>
      </c>
      <c r="E126" s="2"/>
      <c r="F126" s="7">
        <f t="shared" si="70"/>
        <v>4.5011694627202224E-4</v>
      </c>
      <c r="G126" s="2"/>
      <c r="H126" s="6">
        <v>62.5</v>
      </c>
      <c r="I126" s="2"/>
      <c r="J126" s="7">
        <f t="shared" si="71"/>
        <v>1.5988047633146211E-4</v>
      </c>
      <c r="K126" s="2"/>
      <c r="L126" s="6">
        <f t="shared" si="72"/>
        <v>72.319999999999993</v>
      </c>
      <c r="M126" s="2"/>
      <c r="N126" s="7">
        <f t="shared" si="73"/>
        <v>1.1571199999999999</v>
      </c>
      <c r="O126" s="11"/>
      <c r="P126" s="6">
        <v>808.92</v>
      </c>
      <c r="Q126" s="2"/>
      <c r="R126" s="7">
        <f t="shared" si="74"/>
        <v>4.6189464005792975E-4</v>
      </c>
      <c r="S126" s="2"/>
      <c r="T126" s="6">
        <v>375</v>
      </c>
      <c r="U126" s="2"/>
      <c r="V126" s="7">
        <f t="shared" si="75"/>
        <v>2.1579349807249008E-4</v>
      </c>
      <c r="W126" s="2"/>
      <c r="X126" s="6">
        <f t="shared" si="76"/>
        <v>433.91999999999996</v>
      </c>
      <c r="Y126" s="2"/>
      <c r="Z126" s="7">
        <f t="shared" si="77"/>
        <v>1.1571199999999999</v>
      </c>
    </row>
    <row r="127" spans="1:26" s="24" customFormat="1" hidden="1" outlineLevel="2" x14ac:dyDescent="0.25">
      <c r="A127" s="26"/>
      <c r="B127" s="11" t="str">
        <f>CONCATENATE("          ", "6285", " - ", "JANITORIAL SERVICES")</f>
        <v xml:space="preserve">          6285 - JANITORIAL SERVICES</v>
      </c>
      <c r="C127" s="11"/>
      <c r="D127" s="6">
        <v>47</v>
      </c>
      <c r="E127" s="2"/>
      <c r="F127" s="7">
        <f t="shared" si="70"/>
        <v>1.5691660343261421E-4</v>
      </c>
      <c r="G127" s="2"/>
      <c r="H127" s="6">
        <v>110</v>
      </c>
      <c r="I127" s="2"/>
      <c r="J127" s="7">
        <f t="shared" si="71"/>
        <v>2.8138963834337333E-4</v>
      </c>
      <c r="K127" s="2"/>
      <c r="L127" s="6">
        <f t="shared" si="72"/>
        <v>-63</v>
      </c>
      <c r="M127" s="2"/>
      <c r="N127" s="7">
        <f t="shared" si="73"/>
        <v>-0.57272727272727275</v>
      </c>
      <c r="O127" s="11"/>
      <c r="P127" s="6">
        <v>1014.71</v>
      </c>
      <c r="Q127" s="2"/>
      <c r="R127" s="7">
        <f t="shared" si="74"/>
        <v>5.7940106588189435E-4</v>
      </c>
      <c r="S127" s="2"/>
      <c r="T127" s="6">
        <v>660</v>
      </c>
      <c r="U127" s="2"/>
      <c r="V127" s="7">
        <f t="shared" si="75"/>
        <v>3.7979655660758257E-4</v>
      </c>
      <c r="W127" s="2"/>
      <c r="X127" s="6">
        <f t="shared" si="76"/>
        <v>354.71000000000004</v>
      </c>
      <c r="Y127" s="2"/>
      <c r="Z127" s="7">
        <f t="shared" si="77"/>
        <v>0.53743939393939399</v>
      </c>
    </row>
    <row r="128" spans="1:26" s="25" customFormat="1" outlineLevel="1" collapsed="1" x14ac:dyDescent="0.25">
      <c r="A128" s="27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SUM(OSRRefD22_17x_0)</f>
        <v>0</v>
      </c>
      <c r="E128" s="1"/>
      <c r="F128" s="5">
        <f t="shared" ref="F128:F130" si="78">IF(D$12=0,0,D128/D$12)</f>
        <v>0</v>
      </c>
      <c r="G128" s="1"/>
      <c r="H128" s="1">
        <f>SUM(OSRRefH22_17x_0)</f>
        <v>265</v>
      </c>
      <c r="I128" s="1"/>
      <c r="J128" s="5">
        <f t="shared" ref="J128:J130" si="79">IF(H$12=0,0,H128/H$12)</f>
        <v>6.7789321964539936E-4</v>
      </c>
      <c r="K128" s="1"/>
      <c r="L128" s="1">
        <f t="shared" ref="L128:L130" si="80">+D128-H128</f>
        <v>-265</v>
      </c>
      <c r="M128" s="1"/>
      <c r="N128" s="5">
        <f t="shared" ref="N128:N130" si="81">IF(H128=0,0,L128/H128)</f>
        <v>-1</v>
      </c>
      <c r="O128" s="13"/>
      <c r="P128" s="1">
        <f>SUM(OSRRefP22_17x_0)</f>
        <v>385.06</v>
      </c>
      <c r="Q128" s="1"/>
      <c r="R128" s="5">
        <f t="shared" ref="R128:R130" si="82">IF(P$12=0,0,P128/P$12)</f>
        <v>2.1986988837055142E-4</v>
      </c>
      <c r="S128" s="1"/>
      <c r="T128" s="1">
        <f>SUM(OSRRefT22_17x_0)</f>
        <v>3985</v>
      </c>
      <c r="U128" s="1"/>
      <c r="V128" s="5">
        <f t="shared" ref="V128:V130" si="83">IF(T$12=0,0,T128/T$12)</f>
        <v>2.2931655728503282E-3</v>
      </c>
      <c r="W128" s="1"/>
      <c r="X128" s="1">
        <f t="shared" ref="X128:X130" si="84">+P128-T128</f>
        <v>-3599.94</v>
      </c>
      <c r="Y128" s="1"/>
      <c r="Z128" s="5">
        <f t="shared" ref="Z128:Z130" si="85">IF(T128=0,0,X128/T128)</f>
        <v>-0.9033726474278545</v>
      </c>
    </row>
    <row r="129" spans="1:26" s="24" customFormat="1" hidden="1" outlineLevel="2" x14ac:dyDescent="0.25">
      <c r="A129" s="26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78"/>
        <v>0</v>
      </c>
      <c r="G129" s="2"/>
      <c r="H129" s="6">
        <v>0</v>
      </c>
      <c r="I129" s="2"/>
      <c r="J129" s="7">
        <f t="shared" si="79"/>
        <v>0</v>
      </c>
      <c r="K129" s="2"/>
      <c r="L129" s="6">
        <f t="shared" si="80"/>
        <v>0</v>
      </c>
      <c r="M129" s="2"/>
      <c r="N129" s="7">
        <f t="shared" si="81"/>
        <v>0</v>
      </c>
      <c r="O129" s="11"/>
      <c r="P129" s="6"/>
      <c r="Q129" s="2"/>
      <c r="R129" s="7">
        <f t="shared" si="82"/>
        <v>0</v>
      </c>
      <c r="S129" s="2"/>
      <c r="T129" s="6">
        <v>1395</v>
      </c>
      <c r="U129" s="2"/>
      <c r="V129" s="7">
        <f t="shared" si="83"/>
        <v>8.0275181282966315E-4</v>
      </c>
      <c r="W129" s="2"/>
      <c r="X129" s="6">
        <f t="shared" si="84"/>
        <v>-1395</v>
      </c>
      <c r="Y129" s="2"/>
      <c r="Z129" s="7">
        <f t="shared" si="85"/>
        <v>-1</v>
      </c>
    </row>
    <row r="130" spans="1:26" s="24" customFormat="1" hidden="1" outlineLevel="2" x14ac:dyDescent="0.25">
      <c r="A130" s="26"/>
      <c r="B130" s="11" t="str">
        <f>CONCATENATE("          ", "6275", " - ", "SUBSCRIPTIONS")</f>
        <v xml:space="preserve">          6275 - SUBSCRIPTIONS</v>
      </c>
      <c r="C130" s="11"/>
      <c r="D130" s="6"/>
      <c r="E130" s="2"/>
      <c r="F130" s="7">
        <f t="shared" si="78"/>
        <v>0</v>
      </c>
      <c r="G130" s="2"/>
      <c r="H130" s="6">
        <v>265</v>
      </c>
      <c r="I130" s="2"/>
      <c r="J130" s="7">
        <f t="shared" si="79"/>
        <v>6.7789321964539936E-4</v>
      </c>
      <c r="K130" s="2"/>
      <c r="L130" s="6">
        <f t="shared" si="80"/>
        <v>-265</v>
      </c>
      <c r="M130" s="2"/>
      <c r="N130" s="7">
        <f t="shared" si="81"/>
        <v>-1</v>
      </c>
      <c r="O130" s="11"/>
      <c r="P130" s="6">
        <v>385.06</v>
      </c>
      <c r="Q130" s="2"/>
      <c r="R130" s="7">
        <f t="shared" si="82"/>
        <v>2.1986988837055142E-4</v>
      </c>
      <c r="S130" s="2"/>
      <c r="T130" s="6">
        <v>2590</v>
      </c>
      <c r="U130" s="2"/>
      <c r="V130" s="7">
        <f t="shared" si="83"/>
        <v>1.490413760020665E-3</v>
      </c>
      <c r="W130" s="2"/>
      <c r="X130" s="6">
        <f t="shared" si="84"/>
        <v>-2204.94</v>
      </c>
      <c r="Y130" s="2"/>
      <c r="Z130" s="7">
        <f t="shared" si="85"/>
        <v>-0.85132818532818533</v>
      </c>
    </row>
    <row r="131" spans="1:26" s="25" customFormat="1" outlineLevel="1" collapsed="1" x14ac:dyDescent="0.25">
      <c r="A131" s="27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SUM(OSRRefD22_18x_0)</f>
        <v>772.12</v>
      </c>
      <c r="E131" s="1"/>
      <c r="F131" s="5">
        <f t="shared" ref="F131:F137" si="86">IF(D$12=0,0,D131/D$12)</f>
        <v>2.5778393157955336E-3</v>
      </c>
      <c r="G131" s="1"/>
      <c r="H131" s="1">
        <f>SUM(OSRRefH22_18x_0)</f>
        <v>1460</v>
      </c>
      <c r="I131" s="1"/>
      <c r="J131" s="5">
        <f t="shared" ref="J131:J137" si="87">IF(H$12=0,0,H131/H$12)</f>
        <v>3.7348079271029553E-3</v>
      </c>
      <c r="K131" s="1"/>
      <c r="L131" s="1">
        <f t="shared" ref="L131:L137" si="88">+D131-H131</f>
        <v>-687.88</v>
      </c>
      <c r="M131" s="1"/>
      <c r="N131" s="5">
        <f t="shared" ref="N131:N137" si="89">IF(H131=0,0,L131/H131)</f>
        <v>-0.47115068493150686</v>
      </c>
      <c r="O131" s="13"/>
      <c r="P131" s="1">
        <f>SUM(OSRRefP22_18x_0)</f>
        <v>3910.84</v>
      </c>
      <c r="Q131" s="1"/>
      <c r="R131" s="5">
        <f t="shared" ref="R131:R137" si="90">IF(P$12=0,0,P131/P$12)</f>
        <v>2.2330960220097837E-3</v>
      </c>
      <c r="S131" s="1"/>
      <c r="T131" s="1">
        <f>SUM(OSRRefT22_18x_0)</f>
        <v>7860</v>
      </c>
      <c r="U131" s="1"/>
      <c r="V131" s="5">
        <f t="shared" ref="V131:V137" si="91">IF(T$12=0,0,T131/T$12)</f>
        <v>4.5230317195993925E-3</v>
      </c>
      <c r="W131" s="1"/>
      <c r="X131" s="1">
        <f t="shared" ref="X131:X137" si="92">+P131-T131</f>
        <v>-3949.16</v>
      </c>
      <c r="Y131" s="1"/>
      <c r="Z131" s="5">
        <f t="shared" ref="Z131:Z137" si="93">IF(T131=0,0,X131/T131)</f>
        <v>-0.50243765903307891</v>
      </c>
    </row>
    <row r="132" spans="1:26" s="24" customFormat="1" hidden="1" outlineLevel="2" x14ac:dyDescent="0.25">
      <c r="A132" s="26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/>
      <c r="E132" s="2"/>
      <c r="F132" s="7">
        <f t="shared" si="86"/>
        <v>0</v>
      </c>
      <c r="G132" s="2"/>
      <c r="H132" s="6">
        <v>400</v>
      </c>
      <c r="I132" s="2"/>
      <c r="J132" s="7">
        <f t="shared" si="87"/>
        <v>1.0232350485213577E-3</v>
      </c>
      <c r="K132" s="2"/>
      <c r="L132" s="6">
        <f t="shared" si="88"/>
        <v>-400</v>
      </c>
      <c r="M132" s="2"/>
      <c r="N132" s="7">
        <f t="shared" si="89"/>
        <v>-1</v>
      </c>
      <c r="O132" s="11"/>
      <c r="P132" s="6">
        <v>20.36</v>
      </c>
      <c r="Q132" s="2"/>
      <c r="R132" s="7">
        <f t="shared" si="90"/>
        <v>1.162559322501539E-5</v>
      </c>
      <c r="S132" s="2"/>
      <c r="T132" s="6">
        <v>3250</v>
      </c>
      <c r="U132" s="2"/>
      <c r="V132" s="7">
        <f t="shared" si="91"/>
        <v>1.8702103166282475E-3</v>
      </c>
      <c r="W132" s="2"/>
      <c r="X132" s="6">
        <f t="shared" si="92"/>
        <v>-3229.64</v>
      </c>
      <c r="Y132" s="2"/>
      <c r="Z132" s="7">
        <f t="shared" si="93"/>
        <v>-0.99373538461538458</v>
      </c>
    </row>
    <row r="133" spans="1:26" s="24" customFormat="1" hidden="1" outlineLevel="2" x14ac:dyDescent="0.25">
      <c r="A133" s="26"/>
      <c r="B133" s="11" t="str">
        <f>CONCATENATE("          ", "6237", " - ", "JANITORIAL SUPPLIES")</f>
        <v xml:space="preserve">          6237 - JANITORIAL SUPPLIES</v>
      </c>
      <c r="C133" s="11"/>
      <c r="D133" s="6"/>
      <c r="E133" s="2"/>
      <c r="F133" s="7">
        <f t="shared" si="86"/>
        <v>0</v>
      </c>
      <c r="G133" s="2"/>
      <c r="H133" s="6">
        <v>35</v>
      </c>
      <c r="I133" s="2"/>
      <c r="J133" s="7">
        <f t="shared" si="87"/>
        <v>8.9533066745618782E-5</v>
      </c>
      <c r="K133" s="2"/>
      <c r="L133" s="6">
        <f t="shared" si="88"/>
        <v>-35</v>
      </c>
      <c r="M133" s="2"/>
      <c r="N133" s="7">
        <f t="shared" si="89"/>
        <v>-1</v>
      </c>
      <c r="O133" s="11"/>
      <c r="P133" s="6">
        <v>287.72000000000003</v>
      </c>
      <c r="Q133" s="2"/>
      <c r="R133" s="7">
        <f t="shared" si="90"/>
        <v>1.6428858952364581E-4</v>
      </c>
      <c r="S133" s="2"/>
      <c r="T133" s="6">
        <v>260</v>
      </c>
      <c r="U133" s="2"/>
      <c r="V133" s="7">
        <f t="shared" si="91"/>
        <v>1.4961682533025979E-4</v>
      </c>
      <c r="W133" s="2"/>
      <c r="X133" s="6">
        <f t="shared" si="92"/>
        <v>27.720000000000027</v>
      </c>
      <c r="Y133" s="2"/>
      <c r="Z133" s="7">
        <f t="shared" si="93"/>
        <v>0.10661538461538472</v>
      </c>
    </row>
    <row r="134" spans="1:26" s="24" customFormat="1" hidden="1" outlineLevel="2" x14ac:dyDescent="0.25">
      <c r="A134" s="26"/>
      <c r="B134" s="11" t="str">
        <f>CONCATENATE("          ", "6241", " - ", "OFFICE EXPENSE")</f>
        <v xml:space="preserve">          6241 - OFFICE EXPENSE</v>
      </c>
      <c r="C134" s="11"/>
      <c r="D134" s="6">
        <v>772.12</v>
      </c>
      <c r="E134" s="2"/>
      <c r="F134" s="7">
        <f t="shared" si="86"/>
        <v>2.5778393157955336E-3</v>
      </c>
      <c r="G134" s="2"/>
      <c r="H134" s="6">
        <v>300</v>
      </c>
      <c r="I134" s="2"/>
      <c r="J134" s="7">
        <f t="shared" si="87"/>
        <v>7.6742628639101819E-4</v>
      </c>
      <c r="K134" s="2"/>
      <c r="L134" s="6">
        <f t="shared" si="88"/>
        <v>472.12</v>
      </c>
      <c r="M134" s="2"/>
      <c r="N134" s="7">
        <f t="shared" si="89"/>
        <v>1.5737333333333334</v>
      </c>
      <c r="O134" s="11"/>
      <c r="P134" s="6">
        <v>3877.97</v>
      </c>
      <c r="Q134" s="2"/>
      <c r="R134" s="7">
        <f t="shared" si="90"/>
        <v>2.214327198369987E-3</v>
      </c>
      <c r="S134" s="2"/>
      <c r="T134" s="6">
        <v>2500</v>
      </c>
      <c r="U134" s="2"/>
      <c r="V134" s="7">
        <f t="shared" si="91"/>
        <v>1.4386233204832673E-3</v>
      </c>
      <c r="W134" s="2"/>
      <c r="X134" s="6">
        <f t="shared" si="92"/>
        <v>1377.9699999999998</v>
      </c>
      <c r="Y134" s="2"/>
      <c r="Z134" s="7">
        <f t="shared" si="93"/>
        <v>0.5511879999999999</v>
      </c>
    </row>
    <row r="135" spans="1:26" s="24" customFormat="1" hidden="1" outlineLevel="2" x14ac:dyDescent="0.25">
      <c r="A135" s="26"/>
      <c r="B135" s="11" t="str">
        <f>CONCATENATE("          ", "6245", " - ", "PRINTING")</f>
        <v xml:space="preserve">          6245 - PRINTING</v>
      </c>
      <c r="C135" s="11"/>
      <c r="D135" s="6"/>
      <c r="E135" s="2"/>
      <c r="F135" s="7">
        <f t="shared" si="86"/>
        <v>0</v>
      </c>
      <c r="G135" s="2"/>
      <c r="H135" s="6"/>
      <c r="I135" s="2"/>
      <c r="J135" s="7">
        <f t="shared" si="87"/>
        <v>0</v>
      </c>
      <c r="K135" s="2"/>
      <c r="L135" s="6">
        <f t="shared" si="88"/>
        <v>0</v>
      </c>
      <c r="M135" s="2"/>
      <c r="N135" s="7">
        <f t="shared" si="89"/>
        <v>0</v>
      </c>
      <c r="O135" s="11"/>
      <c r="P135" s="6">
        <v>-617.17999999999995</v>
      </c>
      <c r="Q135" s="2"/>
      <c r="R135" s="7">
        <f t="shared" si="90"/>
        <v>-3.5241078716183685E-4</v>
      </c>
      <c r="S135" s="2"/>
      <c r="T135" s="6"/>
      <c r="U135" s="2"/>
      <c r="V135" s="7">
        <f t="shared" si="91"/>
        <v>0</v>
      </c>
      <c r="W135" s="2"/>
      <c r="X135" s="6">
        <f t="shared" si="92"/>
        <v>-617.17999999999995</v>
      </c>
      <c r="Y135" s="2"/>
      <c r="Z135" s="7">
        <f t="shared" si="93"/>
        <v>0</v>
      </c>
    </row>
    <row r="136" spans="1:26" s="24" customFormat="1" hidden="1" outlineLevel="2" x14ac:dyDescent="0.25">
      <c r="A136" s="26"/>
      <c r="B136" s="11" t="str">
        <f>CONCATENATE("          ", "6247", " - ", "STORE SUPPLIES")</f>
        <v xml:space="preserve">          6247 - STORE SUPPLIES</v>
      </c>
      <c r="C136" s="11"/>
      <c r="D136" s="6"/>
      <c r="E136" s="2"/>
      <c r="F136" s="7">
        <f t="shared" si="86"/>
        <v>0</v>
      </c>
      <c r="G136" s="2"/>
      <c r="H136" s="6">
        <v>225</v>
      </c>
      <c r="I136" s="2"/>
      <c r="J136" s="7">
        <f t="shared" si="87"/>
        <v>5.7556971479326359E-4</v>
      </c>
      <c r="K136" s="2"/>
      <c r="L136" s="6">
        <f t="shared" si="88"/>
        <v>-225</v>
      </c>
      <c r="M136" s="2"/>
      <c r="N136" s="7">
        <f t="shared" si="89"/>
        <v>-1</v>
      </c>
      <c r="O136" s="11"/>
      <c r="P136" s="6">
        <v>341.97</v>
      </c>
      <c r="Q136" s="2"/>
      <c r="R136" s="7">
        <f t="shared" si="90"/>
        <v>1.9526542805297219E-4</v>
      </c>
      <c r="S136" s="2"/>
      <c r="T136" s="6">
        <v>1350</v>
      </c>
      <c r="U136" s="2"/>
      <c r="V136" s="7">
        <f t="shared" si="91"/>
        <v>7.768565930609643E-4</v>
      </c>
      <c r="W136" s="2"/>
      <c r="X136" s="6">
        <f t="shared" si="92"/>
        <v>-1008.03</v>
      </c>
      <c r="Y136" s="2"/>
      <c r="Z136" s="7">
        <f t="shared" si="93"/>
        <v>-0.74668888888888885</v>
      </c>
    </row>
    <row r="137" spans="1:26" s="24" customFormat="1" hidden="1" outlineLevel="2" x14ac:dyDescent="0.25">
      <c r="A137" s="26"/>
      <c r="B137" s="11" t="str">
        <f>CONCATENATE("          ", "6248", " - ", "UNIFORMS")</f>
        <v xml:space="preserve">          6248 - UNIFORMS</v>
      </c>
      <c r="C137" s="11"/>
      <c r="D137" s="6"/>
      <c r="E137" s="2"/>
      <c r="F137" s="7">
        <f t="shared" si="86"/>
        <v>0</v>
      </c>
      <c r="G137" s="2"/>
      <c r="H137" s="6">
        <v>500</v>
      </c>
      <c r="I137" s="2"/>
      <c r="J137" s="7">
        <f t="shared" si="87"/>
        <v>1.2790438106516969E-3</v>
      </c>
      <c r="K137" s="2"/>
      <c r="L137" s="6">
        <f t="shared" si="88"/>
        <v>-500</v>
      </c>
      <c r="M137" s="2"/>
      <c r="N137" s="7">
        <f t="shared" si="89"/>
        <v>-1</v>
      </c>
      <c r="O137" s="11"/>
      <c r="P137" s="6"/>
      <c r="Q137" s="2"/>
      <c r="R137" s="7">
        <f t="shared" si="90"/>
        <v>0</v>
      </c>
      <c r="S137" s="2"/>
      <c r="T137" s="6">
        <v>500</v>
      </c>
      <c r="U137" s="2"/>
      <c r="V137" s="7">
        <f t="shared" si="91"/>
        <v>2.8772466409665348E-4</v>
      </c>
      <c r="W137" s="2"/>
      <c r="X137" s="6">
        <f t="shared" si="92"/>
        <v>-500</v>
      </c>
      <c r="Y137" s="2"/>
      <c r="Z137" s="7">
        <f t="shared" si="93"/>
        <v>-1</v>
      </c>
    </row>
    <row r="138" spans="1:26" s="25" customFormat="1" outlineLevel="1" collapsed="1" x14ac:dyDescent="0.25">
      <c r="A138" s="27"/>
      <c r="B138" s="13" t="str">
        <f>CONCATENATE("     ","Telephone/Data Lines                              ")</f>
        <v xml:space="preserve">     Telephone/Data Lines                              </v>
      </c>
      <c r="C138" s="13"/>
      <c r="D138" s="1">
        <f>SUM(OSRRefD22_19x_0)</f>
        <v>584.54</v>
      </c>
      <c r="E138" s="1"/>
      <c r="F138" s="5">
        <f t="shared" ref="F138:F140" si="94">IF(D$12=0,0,D138/D$12)</f>
        <v>1.9515751355425597E-3</v>
      </c>
      <c r="G138" s="1"/>
      <c r="H138" s="1">
        <f>SUM(OSRRefH22_19x_0)</f>
        <v>900</v>
      </c>
      <c r="I138" s="1"/>
      <c r="J138" s="5">
        <f t="shared" ref="J138:J140" si="95">IF(H$12=0,0,H138/H$12)</f>
        <v>2.3022788591730544E-3</v>
      </c>
      <c r="K138" s="1"/>
      <c r="L138" s="1">
        <f t="shared" ref="L138:L140" si="96">+D138-H138</f>
        <v>-315.46000000000004</v>
      </c>
      <c r="M138" s="1"/>
      <c r="N138" s="5">
        <f t="shared" ref="N138:N140" si="97">IF(H138=0,0,L138/H138)</f>
        <v>-0.35051111111111116</v>
      </c>
      <c r="O138" s="13"/>
      <c r="P138" s="1">
        <f>SUM(OSRRefP22_19x_0)</f>
        <v>5244.34</v>
      </c>
      <c r="Q138" s="1"/>
      <c r="R138" s="5">
        <f t="shared" ref="R138:R140" si="98">IF(P$12=0,0,P138/P$12)</f>
        <v>2.9945266981177415E-3</v>
      </c>
      <c r="S138" s="1"/>
      <c r="T138" s="1">
        <f>SUM(OSRRefT22_19x_0)</f>
        <v>6975</v>
      </c>
      <c r="U138" s="1"/>
      <c r="V138" s="5">
        <f t="shared" ref="V138:V140" si="99">IF(T$12=0,0,T138/T$12)</f>
        <v>4.0137590641483156E-3</v>
      </c>
      <c r="W138" s="1"/>
      <c r="X138" s="1">
        <f t="shared" ref="X138:X140" si="100">+P138-T138</f>
        <v>-1730.6599999999999</v>
      </c>
      <c r="Y138" s="1"/>
      <c r="Z138" s="5">
        <f t="shared" ref="Z138:Z140" si="101">IF(T138=0,0,X138/T138)</f>
        <v>-0.2481232974910394</v>
      </c>
    </row>
    <row r="139" spans="1:26" s="24" customFormat="1" hidden="1" outlineLevel="2" x14ac:dyDescent="0.25">
      <c r="A139" s="26"/>
      <c r="B139" s="11" t="str">
        <f>CONCATENATE("          ", "6303", " - ", "DATA PHONE LINES")</f>
        <v xml:space="preserve">          6303 - DATA PHONE LINES</v>
      </c>
      <c r="C139" s="11"/>
      <c r="D139" s="6"/>
      <c r="E139" s="2"/>
      <c r="F139" s="7">
        <f t="shared" si="94"/>
        <v>0</v>
      </c>
      <c r="G139" s="2"/>
      <c r="H139" s="6">
        <v>400</v>
      </c>
      <c r="I139" s="2"/>
      <c r="J139" s="7">
        <f t="shared" si="95"/>
        <v>1.0232350485213577E-3</v>
      </c>
      <c r="K139" s="2"/>
      <c r="L139" s="6">
        <f t="shared" si="96"/>
        <v>-400</v>
      </c>
      <c r="M139" s="2"/>
      <c r="N139" s="7">
        <f t="shared" si="97"/>
        <v>-1</v>
      </c>
      <c r="O139" s="11"/>
      <c r="P139" s="6"/>
      <c r="Q139" s="2"/>
      <c r="R139" s="7">
        <f t="shared" si="98"/>
        <v>0</v>
      </c>
      <c r="S139" s="2"/>
      <c r="T139" s="6">
        <v>3475</v>
      </c>
      <c r="U139" s="2"/>
      <c r="V139" s="7">
        <f t="shared" si="99"/>
        <v>1.9996864154717417E-3</v>
      </c>
      <c r="W139" s="2"/>
      <c r="X139" s="6">
        <f t="shared" si="100"/>
        <v>-3475</v>
      </c>
      <c r="Y139" s="2"/>
      <c r="Z139" s="7">
        <f t="shared" si="101"/>
        <v>-1</v>
      </c>
    </row>
    <row r="140" spans="1:26" s="24" customFormat="1" hidden="1" outlineLevel="2" x14ac:dyDescent="0.25">
      <c r="A140" s="26"/>
      <c r="B140" s="11" t="str">
        <f>CONCATENATE("          ", "6309", " - ", "TELEPHONE")</f>
        <v xml:space="preserve">          6309 - TELEPHONE</v>
      </c>
      <c r="C140" s="11"/>
      <c r="D140" s="6">
        <v>584.54</v>
      </c>
      <c r="E140" s="2"/>
      <c r="F140" s="7">
        <f t="shared" si="94"/>
        <v>1.9515751355425597E-3</v>
      </c>
      <c r="G140" s="2"/>
      <c r="H140" s="6">
        <v>500</v>
      </c>
      <c r="I140" s="2"/>
      <c r="J140" s="7">
        <f t="shared" si="95"/>
        <v>1.2790438106516969E-3</v>
      </c>
      <c r="K140" s="2"/>
      <c r="L140" s="6">
        <f t="shared" si="96"/>
        <v>84.539999999999964</v>
      </c>
      <c r="M140" s="2"/>
      <c r="N140" s="7">
        <f t="shared" si="97"/>
        <v>0.16907999999999992</v>
      </c>
      <c r="O140" s="11"/>
      <c r="P140" s="6">
        <v>5244.34</v>
      </c>
      <c r="Q140" s="2"/>
      <c r="R140" s="7">
        <f t="shared" si="98"/>
        <v>2.9945266981177415E-3</v>
      </c>
      <c r="S140" s="2"/>
      <c r="T140" s="6">
        <v>3500</v>
      </c>
      <c r="U140" s="2"/>
      <c r="V140" s="7">
        <f t="shared" si="99"/>
        <v>2.0140726486765743E-3</v>
      </c>
      <c r="W140" s="2"/>
      <c r="X140" s="6">
        <f t="shared" si="100"/>
        <v>1744.3400000000001</v>
      </c>
      <c r="Y140" s="2"/>
      <c r="Z140" s="7">
        <f t="shared" si="101"/>
        <v>0.49838285714285718</v>
      </c>
    </row>
    <row r="141" spans="1:26" s="25" customFormat="1" outlineLevel="1" collapsed="1" x14ac:dyDescent="0.25">
      <c r="A141" s="27"/>
      <c r="B141" s="13" t="str">
        <f>CONCATENATE("     ","Training                                          ")</f>
        <v xml:space="preserve">     Training                                          </v>
      </c>
      <c r="C141" s="13"/>
      <c r="D141" s="1">
        <f>SUM(OSRRefD22_20x_0)</f>
        <v>0</v>
      </c>
      <c r="E141" s="1"/>
      <c r="F141" s="5">
        <f t="shared" ref="F141:F145" si="102">IF(D$12=0,0,D141/D$12)</f>
        <v>0</v>
      </c>
      <c r="G141" s="1"/>
      <c r="H141" s="1">
        <f>SUM(OSRRefH22_20x_0)</f>
        <v>900</v>
      </c>
      <c r="I141" s="1"/>
      <c r="J141" s="5">
        <f t="shared" ref="J141:J145" si="103">IF(H$12=0,0,H141/H$12)</f>
        <v>2.3022788591730544E-3</v>
      </c>
      <c r="K141" s="1"/>
      <c r="L141" s="1">
        <f t="shared" ref="L141:L145" si="104">+D141-H141</f>
        <v>-900</v>
      </c>
      <c r="M141" s="1"/>
      <c r="N141" s="5">
        <f t="shared" ref="N141:N145" si="105">IF(H141=0,0,L141/H141)</f>
        <v>-1</v>
      </c>
      <c r="O141" s="13"/>
      <c r="P141" s="1">
        <f>SUM(OSRRefP22_20x_0)</f>
        <v>1379.18</v>
      </c>
      <c r="Q141" s="1"/>
      <c r="R141" s="5">
        <f t="shared" ref="R141:R145" si="106">IF(P$12=0,0,P141/P$12)</f>
        <v>7.875140306520986E-4</v>
      </c>
      <c r="S141" s="1"/>
      <c r="T141" s="1">
        <f>SUM(OSRRefT22_20x_0)</f>
        <v>2600</v>
      </c>
      <c r="U141" s="1"/>
      <c r="V141" s="5">
        <f t="shared" ref="V141:V145" si="107">IF(T$12=0,0,T141/T$12)</f>
        <v>1.4961682533025981E-3</v>
      </c>
      <c r="W141" s="1"/>
      <c r="X141" s="1">
        <f t="shared" ref="X141:X145" si="108">+P141-T141</f>
        <v>-1220.82</v>
      </c>
      <c r="Y141" s="1"/>
      <c r="Z141" s="5">
        <f t="shared" ref="Z141:Z145" si="109">IF(T141=0,0,X141/T141)</f>
        <v>-0.46954615384615384</v>
      </c>
    </row>
    <row r="142" spans="1:26" s="24" customFormat="1" hidden="1" outlineLevel="2" x14ac:dyDescent="0.25">
      <c r="A142" s="26"/>
      <c r="B142" s="11" t="str">
        <f>CONCATENATE("          ", "6376", " - ", "TRAINING")</f>
        <v xml:space="preserve">          6376 - TRAINING</v>
      </c>
      <c r="C142" s="11"/>
      <c r="D142" s="6"/>
      <c r="E142" s="2"/>
      <c r="F142" s="7">
        <f t="shared" si="102"/>
        <v>0</v>
      </c>
      <c r="G142" s="2"/>
      <c r="H142" s="6">
        <v>900</v>
      </c>
      <c r="I142" s="2"/>
      <c r="J142" s="7">
        <f t="shared" si="103"/>
        <v>2.3022788591730544E-3</v>
      </c>
      <c r="K142" s="2"/>
      <c r="L142" s="6">
        <f t="shared" si="104"/>
        <v>-900</v>
      </c>
      <c r="M142" s="2"/>
      <c r="N142" s="7">
        <f t="shared" si="105"/>
        <v>-1</v>
      </c>
      <c r="O142" s="11"/>
      <c r="P142" s="6">
        <v>1379.18</v>
      </c>
      <c r="Q142" s="2"/>
      <c r="R142" s="7">
        <f t="shared" si="106"/>
        <v>7.875140306520986E-4</v>
      </c>
      <c r="S142" s="2"/>
      <c r="T142" s="6">
        <v>2600</v>
      </c>
      <c r="U142" s="2"/>
      <c r="V142" s="7">
        <f t="shared" si="107"/>
        <v>1.4961682533025981E-3</v>
      </c>
      <c r="W142" s="2"/>
      <c r="X142" s="6">
        <f t="shared" si="108"/>
        <v>-1220.82</v>
      </c>
      <c r="Y142" s="2"/>
      <c r="Z142" s="7">
        <f t="shared" si="109"/>
        <v>-0.46954615384615384</v>
      </c>
    </row>
    <row r="143" spans="1:26" s="25" customFormat="1" outlineLevel="1" collapsed="1" x14ac:dyDescent="0.25">
      <c r="A143" s="27"/>
      <c r="B143" s="13" t="str">
        <f>CONCATENATE("     ","Travel                                            ")</f>
        <v xml:space="preserve">     Travel                                            </v>
      </c>
      <c r="C143" s="13"/>
      <c r="D143" s="1">
        <f>SUM(OSRRefD22_21x_0)</f>
        <v>125.14</v>
      </c>
      <c r="E143" s="1"/>
      <c r="F143" s="5">
        <f t="shared" si="102"/>
        <v>4.1779880326717748E-4</v>
      </c>
      <c r="G143" s="1"/>
      <c r="H143" s="1">
        <f>SUM(OSRRefH22_21x_0)</f>
        <v>100</v>
      </c>
      <c r="I143" s="1"/>
      <c r="J143" s="5">
        <f t="shared" si="103"/>
        <v>2.5580876213033942E-4</v>
      </c>
      <c r="K143" s="1"/>
      <c r="L143" s="1">
        <f t="shared" si="104"/>
        <v>25.14</v>
      </c>
      <c r="M143" s="1"/>
      <c r="N143" s="5">
        <f t="shared" si="105"/>
        <v>0.25140000000000001</v>
      </c>
      <c r="O143" s="13"/>
      <c r="P143" s="1">
        <f>SUM(OSRRefP22_21x_0)</f>
        <v>910.31</v>
      </c>
      <c r="Q143" s="1"/>
      <c r="R143" s="5">
        <f t="shared" si="106"/>
        <v>5.1978849551393715E-4</v>
      </c>
      <c r="S143" s="1"/>
      <c r="T143" s="1">
        <f>SUM(OSRRefT22_21x_0)</f>
        <v>610</v>
      </c>
      <c r="U143" s="1"/>
      <c r="V143" s="5">
        <f t="shared" si="107"/>
        <v>3.5102409019791724E-4</v>
      </c>
      <c r="W143" s="1"/>
      <c r="X143" s="1">
        <f t="shared" si="108"/>
        <v>300.30999999999995</v>
      </c>
      <c r="Y143" s="1"/>
      <c r="Z143" s="5">
        <f t="shared" si="109"/>
        <v>0.492311475409836</v>
      </c>
    </row>
    <row r="144" spans="1:26" s="24" customFormat="1" hidden="1" outlineLevel="2" x14ac:dyDescent="0.25">
      <c r="A144" s="26"/>
      <c r="B144" s="11" t="str">
        <f>CONCATENATE("          ", "6292", " - ", "TRAVEL/CONFERENCE")</f>
        <v xml:space="preserve">          6292 - TRAVEL/CONFERENCE</v>
      </c>
      <c r="C144" s="11"/>
      <c r="D144" s="6"/>
      <c r="E144" s="2"/>
      <c r="F144" s="7">
        <f t="shared" si="102"/>
        <v>0</v>
      </c>
      <c r="G144" s="2"/>
      <c r="H144" s="6"/>
      <c r="I144" s="2"/>
      <c r="J144" s="7">
        <f t="shared" si="103"/>
        <v>0</v>
      </c>
      <c r="K144" s="2"/>
      <c r="L144" s="6">
        <f t="shared" si="104"/>
        <v>0</v>
      </c>
      <c r="M144" s="2"/>
      <c r="N144" s="7">
        <f t="shared" si="105"/>
        <v>0</v>
      </c>
      <c r="O144" s="11"/>
      <c r="P144" s="6">
        <v>107.04</v>
      </c>
      <c r="Q144" s="2"/>
      <c r="R144" s="7">
        <f t="shared" si="106"/>
        <v>6.112001467611236E-5</v>
      </c>
      <c r="S144" s="2"/>
      <c r="T144" s="6"/>
      <c r="U144" s="2"/>
      <c r="V144" s="7">
        <f t="shared" si="107"/>
        <v>0</v>
      </c>
      <c r="W144" s="2"/>
      <c r="X144" s="6">
        <f t="shared" si="108"/>
        <v>107.04</v>
      </c>
      <c r="Y144" s="2"/>
      <c r="Z144" s="7">
        <f t="shared" si="109"/>
        <v>0</v>
      </c>
    </row>
    <row r="145" spans="1:26" s="24" customFormat="1" hidden="1" outlineLevel="2" x14ac:dyDescent="0.25">
      <c r="A145" s="26"/>
      <c r="B145" s="11" t="str">
        <f>CONCATENATE("          ", "6294", " - ", "TRAVEL OPERATIONAL")</f>
        <v xml:space="preserve">          6294 - TRAVEL OPERATIONAL</v>
      </c>
      <c r="C145" s="11"/>
      <c r="D145" s="6">
        <v>125.14</v>
      </c>
      <c r="E145" s="2"/>
      <c r="F145" s="7">
        <f t="shared" si="102"/>
        <v>4.1779880326717748E-4</v>
      </c>
      <c r="G145" s="2"/>
      <c r="H145" s="6">
        <v>100</v>
      </c>
      <c r="I145" s="2"/>
      <c r="J145" s="7">
        <f t="shared" si="103"/>
        <v>2.5580876213033942E-4</v>
      </c>
      <c r="K145" s="2"/>
      <c r="L145" s="6">
        <f t="shared" si="104"/>
        <v>25.14</v>
      </c>
      <c r="M145" s="2"/>
      <c r="N145" s="7">
        <f t="shared" si="105"/>
        <v>0.25140000000000001</v>
      </c>
      <c r="O145" s="11"/>
      <c r="P145" s="6">
        <v>803.27</v>
      </c>
      <c r="Q145" s="2"/>
      <c r="R145" s="7">
        <f t="shared" si="106"/>
        <v>4.5866848083782482E-4</v>
      </c>
      <c r="S145" s="2"/>
      <c r="T145" s="6">
        <v>610</v>
      </c>
      <c r="U145" s="2"/>
      <c r="V145" s="7">
        <f t="shared" si="107"/>
        <v>3.5102409019791724E-4</v>
      </c>
      <c r="W145" s="2"/>
      <c r="X145" s="6">
        <f t="shared" si="108"/>
        <v>193.26999999999998</v>
      </c>
      <c r="Y145" s="2"/>
      <c r="Z145" s="7">
        <f t="shared" si="109"/>
        <v>0.31683606557377048</v>
      </c>
    </row>
    <row r="146" spans="1:26" s="25" customFormat="1" outlineLevel="1" collapsed="1" x14ac:dyDescent="0.25">
      <c r="A146" s="27"/>
      <c r="B146" s="13" t="str">
        <f>CONCATENATE("     ","Utilities                                         ")</f>
        <v xml:space="preserve">     Utilities                                         </v>
      </c>
      <c r="C146" s="13"/>
      <c r="D146" s="1">
        <f>SUM(OSRRefD22_22x_0)</f>
        <v>70.760000000000005</v>
      </c>
      <c r="E146" s="1"/>
      <c r="F146" s="5">
        <f t="shared" ref="F146:F147" si="110">IF(D$12=0,0,D146/D$12)</f>
        <v>2.3624295444450599E-4</v>
      </c>
      <c r="G146" s="1"/>
      <c r="H146" s="1">
        <f>SUM(OSRRefH22_22x_0)</f>
        <v>75</v>
      </c>
      <c r="I146" s="1"/>
      <c r="J146" s="5">
        <f t="shared" ref="J146:J147" si="111">IF(H$12=0,0,H146/H$12)</f>
        <v>1.9185657159775455E-4</v>
      </c>
      <c r="K146" s="1"/>
      <c r="L146" s="1">
        <f t="shared" ref="L146:L147" si="112">+D146-H146</f>
        <v>-4.2399999999999949</v>
      </c>
      <c r="M146" s="1"/>
      <c r="N146" s="5">
        <f t="shared" ref="N146:N147" si="113">IF(H146=0,0,L146/H146)</f>
        <v>-5.6533333333333262E-2</v>
      </c>
      <c r="O146" s="13"/>
      <c r="P146" s="1">
        <f>SUM(OSRRefP22_22x_0)</f>
        <v>297.68</v>
      </c>
      <c r="Q146" s="1"/>
      <c r="R146" s="5">
        <f t="shared" ref="R146:R147" si="114">IF(P$12=0,0,P146/P$12)</f>
        <v>1.6997576577714056E-4</v>
      </c>
      <c r="S146" s="1"/>
      <c r="T146" s="1">
        <f>SUM(OSRRefT22_22x_0)</f>
        <v>525</v>
      </c>
      <c r="U146" s="1"/>
      <c r="V146" s="5">
        <f t="shared" ref="V146:V147" si="115">IF(T$12=0,0,T146/T$12)</f>
        <v>3.0211089730148612E-4</v>
      </c>
      <c r="W146" s="1"/>
      <c r="X146" s="1">
        <f t="shared" ref="X146:X147" si="116">+P146-T146</f>
        <v>-227.32</v>
      </c>
      <c r="Y146" s="1"/>
      <c r="Z146" s="5">
        <f t="shared" ref="Z146:Z147" si="117">IF(T146=0,0,X146/T146)</f>
        <v>-0.4329904761904762</v>
      </c>
    </row>
    <row r="147" spans="1:26" s="24" customFormat="1" hidden="1" outlineLevel="2" x14ac:dyDescent="0.25">
      <c r="A147" s="26"/>
      <c r="B147" s="11" t="str">
        <f>CONCATENATE("          ", "6274", " - ", "UTILITIES")</f>
        <v xml:space="preserve">          6274 - UTILITIES</v>
      </c>
      <c r="C147" s="11"/>
      <c r="D147" s="6">
        <v>70.760000000000005</v>
      </c>
      <c r="E147" s="2"/>
      <c r="F147" s="7">
        <f t="shared" si="110"/>
        <v>2.3624295444450599E-4</v>
      </c>
      <c r="G147" s="2"/>
      <c r="H147" s="6">
        <v>75</v>
      </c>
      <c r="I147" s="2"/>
      <c r="J147" s="7">
        <f t="shared" si="111"/>
        <v>1.9185657159775455E-4</v>
      </c>
      <c r="K147" s="2"/>
      <c r="L147" s="6">
        <f t="shared" si="112"/>
        <v>-4.2399999999999949</v>
      </c>
      <c r="M147" s="2"/>
      <c r="N147" s="7">
        <f t="shared" si="113"/>
        <v>-5.6533333333333262E-2</v>
      </c>
      <c r="O147" s="11"/>
      <c r="P147" s="6">
        <v>297.68</v>
      </c>
      <c r="Q147" s="2"/>
      <c r="R147" s="7">
        <f t="shared" si="114"/>
        <v>1.6997576577714056E-4</v>
      </c>
      <c r="S147" s="2"/>
      <c r="T147" s="6">
        <v>525</v>
      </c>
      <c r="U147" s="2"/>
      <c r="V147" s="7">
        <f t="shared" si="115"/>
        <v>3.0211089730148612E-4</v>
      </c>
      <c r="W147" s="2"/>
      <c r="X147" s="6">
        <f t="shared" si="116"/>
        <v>-227.32</v>
      </c>
      <c r="Y147" s="2"/>
      <c r="Z147" s="7">
        <f t="shared" si="117"/>
        <v>-0.4329904761904762</v>
      </c>
    </row>
    <row r="148" spans="1:26" s="53" customFormat="1" x14ac:dyDescent="0.25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25">
      <c r="A149" s="10"/>
      <c r="B149" s="28" t="s">
        <v>0</v>
      </c>
      <c r="C149" s="10"/>
      <c r="D149" s="4">
        <f>SUM(OSRRefD25x_0)</f>
        <v>0</v>
      </c>
      <c r="E149" s="4"/>
      <c r="F149" s="12">
        <f t="shared" ref="F149:F152" si="118">IF(D$12=0,0,D149/D$12)</f>
        <v>0</v>
      </c>
      <c r="G149" s="4"/>
      <c r="H149" s="4">
        <f>SUM(OSRRefH25x_0)</f>
        <v>8625</v>
      </c>
      <c r="I149" s="4"/>
      <c r="J149" s="12">
        <f t="shared" ref="J149:J152" si="119">IF(H$12=0,0,H149/H$12)</f>
        <v>2.2063505733741773E-2</v>
      </c>
      <c r="K149" s="4"/>
      <c r="L149" s="4">
        <f t="shared" ref="L149:L152" si="120">+D149-H149</f>
        <v>-8625</v>
      </c>
      <c r="M149" s="4"/>
      <c r="N149" s="12">
        <f t="shared" ref="N149:N152" si="121">IF(H149=0,0,L149/H149)</f>
        <v>-1</v>
      </c>
      <c r="O149" s="10"/>
      <c r="P149" s="4">
        <f>SUM(OSRRefP25x_0)</f>
        <v>14830.16</v>
      </c>
      <c r="Q149" s="4"/>
      <c r="R149" s="12">
        <f t="shared" ref="R149:R152" si="122">IF(P$12=0,0,P149/P$12)</f>
        <v>8.4680455609967703E-3</v>
      </c>
      <c r="S149" s="4"/>
      <c r="T149" s="4">
        <f>SUM(OSRRefT25x_0)</f>
        <v>51750</v>
      </c>
      <c r="U149" s="4"/>
      <c r="V149" s="12">
        <f t="shared" ref="V149:V152" si="123">IF(T$12=0,0,T149/T$12)</f>
        <v>2.9779502734003632E-2</v>
      </c>
      <c r="W149" s="4"/>
      <c r="X149" s="4">
        <f t="shared" ref="X149:X152" si="124">+P149-T149</f>
        <v>-36919.839999999997</v>
      </c>
      <c r="Y149" s="4"/>
      <c r="Z149" s="12">
        <f t="shared" ref="Z149:Z152" si="125">IF(T149=0,0,X149/T149)</f>
        <v>-0.71342685990338162</v>
      </c>
    </row>
    <row r="150" spans="1:26" s="24" customFormat="1" hidden="1" outlineLevel="1" x14ac:dyDescent="0.25">
      <c r="A150" s="44"/>
      <c r="B150" s="11" t="str">
        <f>CONCATENATE("          ", "9150", " - ", "MISC. INCOME")</f>
        <v xml:space="preserve">          9150 - MISC. INCOME</v>
      </c>
      <c r="C150" s="11"/>
      <c r="D150" s="2">
        <f t="shared" ref="D150:D152" si="126">0</f>
        <v>0</v>
      </c>
      <c r="E150" s="2"/>
      <c r="F150" s="19">
        <f t="shared" si="118"/>
        <v>0</v>
      </c>
      <c r="G150" s="2"/>
      <c r="H150" s="2">
        <v>7725</v>
      </c>
      <c r="I150" s="2"/>
      <c r="J150" s="19">
        <f t="shared" si="119"/>
        <v>1.9761226874568719E-2</v>
      </c>
      <c r="K150" s="2"/>
      <c r="L150" s="2">
        <f t="shared" si="120"/>
        <v>-7725</v>
      </c>
      <c r="M150" s="2"/>
      <c r="N150" s="19">
        <f t="shared" si="121"/>
        <v>-1</v>
      </c>
      <c r="O150" s="11"/>
      <c r="P150" s="2">
        <f>--14830.16</f>
        <v>14830.16</v>
      </c>
      <c r="Q150" s="2"/>
      <c r="R150" s="19">
        <f t="shared" si="122"/>
        <v>8.4680455609967703E-3</v>
      </c>
      <c r="S150" s="2"/>
      <c r="T150" s="2">
        <v>46350</v>
      </c>
      <c r="U150" s="2"/>
      <c r="V150" s="19">
        <f t="shared" si="123"/>
        <v>2.6672076361759774E-2</v>
      </c>
      <c r="W150" s="2"/>
      <c r="X150" s="2">
        <f t="shared" si="124"/>
        <v>-31519.84</v>
      </c>
      <c r="Y150" s="2"/>
      <c r="Z150" s="19">
        <f t="shared" si="125"/>
        <v>-0.68003969795037755</v>
      </c>
    </row>
    <row r="151" spans="1:26" s="24" customFormat="1" hidden="1" outlineLevel="1" x14ac:dyDescent="0.25">
      <c r="A151" s="44"/>
      <c r="B151" s="11" t="str">
        <f>CONCATENATE("          ", "9151", " - ", "MISC. INCOME")</f>
        <v xml:space="preserve">          9151 - MISC. INCOME</v>
      </c>
      <c r="C151" s="11"/>
      <c r="D151" s="2">
        <f t="shared" si="126"/>
        <v>0</v>
      </c>
      <c r="E151" s="2"/>
      <c r="F151" s="19">
        <f t="shared" si="118"/>
        <v>0</v>
      </c>
      <c r="G151" s="2"/>
      <c r="H151" s="2">
        <v>100</v>
      </c>
      <c r="I151" s="2"/>
      <c r="J151" s="19">
        <f t="shared" si="119"/>
        <v>2.5580876213033942E-4</v>
      </c>
      <c r="K151" s="2"/>
      <c r="L151" s="2">
        <f t="shared" si="120"/>
        <v>-100</v>
      </c>
      <c r="M151" s="2"/>
      <c r="N151" s="19">
        <f t="shared" si="121"/>
        <v>-1</v>
      </c>
      <c r="O151" s="11"/>
      <c r="P151" s="2">
        <f t="shared" ref="P151:P152" si="127">0</f>
        <v>0</v>
      </c>
      <c r="Q151" s="2"/>
      <c r="R151" s="19">
        <f t="shared" si="122"/>
        <v>0</v>
      </c>
      <c r="S151" s="2"/>
      <c r="T151" s="2">
        <v>600</v>
      </c>
      <c r="U151" s="2"/>
      <c r="V151" s="19">
        <f t="shared" si="123"/>
        <v>3.4526959691598413E-4</v>
      </c>
      <c r="W151" s="2"/>
      <c r="X151" s="2">
        <f t="shared" si="124"/>
        <v>-600</v>
      </c>
      <c r="Y151" s="2"/>
      <c r="Z151" s="19">
        <f t="shared" si="125"/>
        <v>-1</v>
      </c>
    </row>
    <row r="152" spans="1:26" s="24" customFormat="1" hidden="1" outlineLevel="1" x14ac:dyDescent="0.25">
      <c r="A152" s="44"/>
      <c r="B152" s="11" t="str">
        <f>CONCATENATE("          ", "9160", " - ", "MISC. INCOME")</f>
        <v xml:space="preserve">          9160 - MISC. INCOME</v>
      </c>
      <c r="C152" s="11"/>
      <c r="D152" s="2">
        <f t="shared" si="126"/>
        <v>0</v>
      </c>
      <c r="E152" s="2"/>
      <c r="F152" s="19">
        <f t="shared" si="118"/>
        <v>0</v>
      </c>
      <c r="G152" s="2"/>
      <c r="H152" s="2">
        <v>800</v>
      </c>
      <c r="I152" s="2"/>
      <c r="J152" s="19">
        <f t="shared" si="119"/>
        <v>2.0464700970427153E-3</v>
      </c>
      <c r="K152" s="2"/>
      <c r="L152" s="2">
        <f t="shared" si="120"/>
        <v>-800</v>
      </c>
      <c r="M152" s="2"/>
      <c r="N152" s="19">
        <f t="shared" si="121"/>
        <v>-1</v>
      </c>
      <c r="O152" s="11"/>
      <c r="P152" s="2">
        <f t="shared" si="127"/>
        <v>0</v>
      </c>
      <c r="Q152" s="2"/>
      <c r="R152" s="19">
        <f t="shared" si="122"/>
        <v>0</v>
      </c>
      <c r="S152" s="2"/>
      <c r="T152" s="2">
        <v>4800</v>
      </c>
      <c r="U152" s="2"/>
      <c r="V152" s="19">
        <f t="shared" si="123"/>
        <v>2.7621567753278731E-3</v>
      </c>
      <c r="W152" s="2"/>
      <c r="X152" s="2">
        <f t="shared" si="124"/>
        <v>-4800</v>
      </c>
      <c r="Y152" s="2"/>
      <c r="Z152" s="19">
        <f t="shared" si="125"/>
        <v>-1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9" t="s">
        <v>3</v>
      </c>
      <c r="C154" s="29"/>
      <c r="D154" s="22">
        <f>+D66-D68+D149</f>
        <v>68835.649999999907</v>
      </c>
      <c r="E154" s="14"/>
      <c r="F154" s="20">
        <f>IF(D$12=0,0,D154/D$12)</f>
        <v>0.22981822112928119</v>
      </c>
      <c r="G154" s="14"/>
      <c r="H154" s="22">
        <f>+H66-H68+H149</f>
        <v>117219.656710425</v>
      </c>
      <c r="I154" s="14"/>
      <c r="J154" s="20">
        <f>IF(H$12=0,0,H154/H$12)</f>
        <v>0.2998581528043715</v>
      </c>
      <c r="K154" s="16"/>
      <c r="L154" s="22">
        <f>+D154-H154</f>
        <v>-48384.006710425092</v>
      </c>
      <c r="M154" s="16"/>
      <c r="N154" s="20">
        <f>IF(H154=0,0,L154/H154)</f>
        <v>-0.41276359331055806</v>
      </c>
      <c r="O154" s="28"/>
      <c r="P154" s="22">
        <f>+P66-P68+P149</f>
        <v>411989.45999999979</v>
      </c>
      <c r="Q154" s="14"/>
      <c r="R154" s="20">
        <f>IF(P$12=0,0,P154/P$12)</f>
        <v>0.23524665397611724</v>
      </c>
      <c r="S154" s="14"/>
      <c r="T154" s="22">
        <f>+T66-T68+T149</f>
        <v>483843.86299526237</v>
      </c>
      <c r="U154" s="14"/>
      <c r="V154" s="20">
        <f>IF(T$12=0,0,T154/T$12)</f>
        <v>0.27842762591107817</v>
      </c>
      <c r="W154" s="16"/>
      <c r="X154" s="22">
        <f>+P154-T154</f>
        <v>-71854.402995262586</v>
      </c>
      <c r="Y154" s="16"/>
      <c r="Z154" s="20">
        <f>IF(T154=0,0,X154/T154)</f>
        <v>-0.14850741838584849</v>
      </c>
    </row>
    <row r="155" spans="1:26" x14ac:dyDescent="0.25">
      <c r="A155" s="9"/>
      <c r="B155" s="10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25">
      <c r="A156" s="52"/>
      <c r="B156" s="10" t="s">
        <v>14</v>
      </c>
      <c r="C156" s="10"/>
      <c r="D156" s="4">
        <v>35420.460000000006</v>
      </c>
      <c r="E156" s="4"/>
      <c r="F156" s="12">
        <f>IF(D$12=0,0,D156/D$12)</f>
        <v>0.11825655904725053</v>
      </c>
      <c r="G156" s="4"/>
      <c r="H156" s="4">
        <v>53161</v>
      </c>
      <c r="I156" s="4"/>
      <c r="J156" s="12">
        <f>IF(H$12=0,0,H156/H$12)</f>
        <v>0.13599049603610971</v>
      </c>
      <c r="K156" s="4"/>
      <c r="L156" s="4">
        <f>+D156-H156</f>
        <v>-17740.539999999994</v>
      </c>
      <c r="M156" s="4"/>
      <c r="N156" s="12">
        <f>IF(H156=0,0,L156/H156)</f>
        <v>-0.33371343654182567</v>
      </c>
      <c r="O156" s="10"/>
      <c r="P156" s="4">
        <v>189154.81</v>
      </c>
      <c r="Q156" s="4"/>
      <c r="R156" s="12">
        <f>IF(P$12=0,0,P156/P$12)</f>
        <v>0.10800770518738083</v>
      </c>
      <c r="S156" s="4"/>
      <c r="T156" s="4">
        <v>223852</v>
      </c>
      <c r="U156" s="4"/>
      <c r="V156" s="12">
        <f>IF(T$12=0,0,T156/T$12)</f>
        <v>0.12881548301472814</v>
      </c>
      <c r="W156" s="4"/>
      <c r="X156" s="4">
        <f>+P156-T156</f>
        <v>-34697.19</v>
      </c>
      <c r="Y156" s="4"/>
      <c r="Z156" s="12">
        <f>IF(T156=0,0,X156/T156)</f>
        <v>-0.15500058074084663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9" t="s">
        <v>4</v>
      </c>
      <c r="C158" s="29"/>
      <c r="D158" s="31">
        <f>+D154-D156</f>
        <v>33415.1899999999</v>
      </c>
      <c r="E158" s="14"/>
      <c r="F158" s="32">
        <f>IF(D$12=0,0,D158/D$12)</f>
        <v>0.11156166208203065</v>
      </c>
      <c r="G158" s="14"/>
      <c r="H158" s="31">
        <f>+H154-H156</f>
        <v>64058.656710424999</v>
      </c>
      <c r="I158" s="14"/>
      <c r="J158" s="32">
        <f>IF(H$12=0,0,H158/H$12)</f>
        <v>0.16386765676826179</v>
      </c>
      <c r="K158" s="16"/>
      <c r="L158" s="31">
        <f>D158-H158</f>
        <v>-30643.466710425098</v>
      </c>
      <c r="M158" s="16"/>
      <c r="N158" s="32">
        <f>IF(H158=0,0,L158/H158)</f>
        <v>-0.47836573983978242</v>
      </c>
      <c r="O158" s="28"/>
      <c r="P158" s="31">
        <f>+P154-P156</f>
        <v>222834.64999999979</v>
      </c>
      <c r="Q158" s="14"/>
      <c r="R158" s="32">
        <f>IF(P$12=0,0,P158/P$12)</f>
        <v>0.12723894878873643</v>
      </c>
      <c r="S158" s="14"/>
      <c r="T158" s="31">
        <f>+T154-T156</f>
        <v>259991.86299526237</v>
      </c>
      <c r="U158" s="14"/>
      <c r="V158" s="32">
        <f>IF(T$12=0,0,T158/T$12)</f>
        <v>0.14961214289635003</v>
      </c>
      <c r="W158" s="16"/>
      <c r="X158" s="31">
        <f>P158-T158</f>
        <v>-37157.212995262584</v>
      </c>
      <c r="Y158" s="16"/>
      <c r="Z158" s="32">
        <f>IF(T158=0,0,X158/T158)</f>
        <v>-0.14291683042380318</v>
      </c>
    </row>
    <row r="159" spans="1:26" ht="15.75" thickTop="1" x14ac:dyDescent="0.25">
      <c r="A159" s="9"/>
      <c r="B159" s="9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x14ac:dyDescent="0.25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9" t="s">
        <v>5</v>
      </c>
      <c r="C161" s="29"/>
      <c r="D161" s="35">
        <f>SUM(D158:D160)</f>
        <v>33415.1899999999</v>
      </c>
      <c r="E161" s="14"/>
      <c r="F161" s="34">
        <f>IF(D$12=0,0,D161/D$12)</f>
        <v>0.11156166208203065</v>
      </c>
      <c r="G161" s="14"/>
      <c r="H161" s="35">
        <f>SUM(H158:H160)</f>
        <v>64058.656710424999</v>
      </c>
      <c r="I161" s="14"/>
      <c r="J161" s="34">
        <f>IF(H$12=0,0,H161/H$12)</f>
        <v>0.16386765676826179</v>
      </c>
      <c r="K161" s="16"/>
      <c r="L161" s="35">
        <f>+D161-H161</f>
        <v>-30643.466710425098</v>
      </c>
      <c r="M161" s="16"/>
      <c r="N161" s="34">
        <f>IF(H161=0,0,L161/H161)</f>
        <v>-0.47836573983978242</v>
      </c>
      <c r="O161" s="28"/>
      <c r="P161" s="35">
        <f>SUM(P158:P160)</f>
        <v>222834.64999999979</v>
      </c>
      <c r="Q161" s="14"/>
      <c r="R161" s="34">
        <f>IF(P$12=0,0,P161/P$12)</f>
        <v>0.12723894878873643</v>
      </c>
      <c r="S161" s="14"/>
      <c r="T161" s="35">
        <f>SUM(T158:T160)</f>
        <v>259991.86299526237</v>
      </c>
      <c r="U161" s="14"/>
      <c r="V161" s="34">
        <f>IF(T$12=0,0,T161/T$12)</f>
        <v>0.14961214289635003</v>
      </c>
      <c r="W161" s="16"/>
      <c r="X161" s="35">
        <f>+P161-T161</f>
        <v>-37157.212995262584</v>
      </c>
      <c r="Y161" s="16"/>
      <c r="Z161" s="34">
        <f>IF(T161=0,0,X161/T161)</f>
        <v>-0.14291683042380318</v>
      </c>
    </row>
    <row r="162" spans="1:26" ht="15.75" thickTop="1" x14ac:dyDescent="0.25">
      <c r="A162" s="9"/>
      <c r="C162" s="9"/>
      <c r="D162" s="17"/>
      <c r="E162" s="17"/>
      <c r="G162" s="17"/>
      <c r="H162" s="17"/>
      <c r="I162" s="17"/>
      <c r="J162" s="42"/>
      <c r="K162" s="17"/>
      <c r="L162" s="17"/>
      <c r="M162" s="17"/>
      <c r="P162" s="17"/>
      <c r="Q162" s="17"/>
      <c r="R162" s="42"/>
      <c r="S162" s="17"/>
      <c r="T162" s="17"/>
      <c r="U162" s="17"/>
      <c r="V162" s="42"/>
      <c r="W162" s="17"/>
      <c r="X162" s="17"/>
    </row>
    <row r="163" spans="1:26" x14ac:dyDescent="0.25">
      <c r="A163" s="9"/>
      <c r="B163" s="63">
        <v>43847.445484606484</v>
      </c>
      <c r="D163" s="17"/>
      <c r="E163" s="17"/>
      <c r="G163" s="17"/>
      <c r="H163" s="17"/>
      <c r="I163" s="17"/>
      <c r="J163" s="42"/>
      <c r="K163" s="17"/>
      <c r="L163" s="17"/>
      <c r="M163" s="17"/>
      <c r="P163" s="17"/>
      <c r="Q163" s="17"/>
      <c r="R163" s="42"/>
      <c r="S163" s="17"/>
      <c r="T163" s="17"/>
      <c r="U163" s="17"/>
      <c r="V163" s="42"/>
      <c r="W163" s="17"/>
      <c r="X163" s="17"/>
    </row>
    <row r="164" spans="1:26" x14ac:dyDescent="0.25">
      <c r="A164" s="9"/>
      <c r="B164" s="55" t="s">
        <v>314</v>
      </c>
      <c r="D164" s="17"/>
      <c r="E164" s="17"/>
      <c r="G164" s="17"/>
      <c r="H164" s="17"/>
      <c r="I164" s="17"/>
      <c r="J164" s="42"/>
      <c r="K164" s="17"/>
      <c r="L164" s="17"/>
      <c r="M164" s="17"/>
      <c r="P164" s="17"/>
      <c r="Q164" s="17"/>
      <c r="R164" s="42"/>
      <c r="S164" s="17"/>
      <c r="T164" s="17"/>
      <c r="U164" s="17"/>
      <c r="V164" s="42"/>
      <c r="W164" s="17"/>
      <c r="X164" s="17"/>
    </row>
    <row r="165" spans="1:26" x14ac:dyDescent="0.25">
      <c r="A165" s="9"/>
      <c r="B165" s="56"/>
      <c r="D165" s="17"/>
      <c r="E165" s="17"/>
      <c r="G165" s="17"/>
      <c r="H165" s="17"/>
      <c r="I165" s="17"/>
      <c r="J165" s="42"/>
      <c r="K165" s="17"/>
      <c r="L165" s="17"/>
      <c r="M165" s="17"/>
      <c r="P165" s="17"/>
      <c r="Q165" s="17"/>
      <c r="R165" s="42"/>
      <c r="S165" s="17"/>
      <c r="T165" s="17"/>
      <c r="U165" s="17"/>
      <c r="V165" s="42"/>
      <c r="W165" s="17"/>
      <c r="X165" s="17"/>
    </row>
    <row r="166" spans="1:26" x14ac:dyDescent="0.25"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247466.47999999998</v>
      </c>
      <c r="E12" s="4"/>
      <c r="F12" s="12"/>
      <c r="G12" s="4"/>
      <c r="H12" s="4">
        <f>SUM(OSRRefH13x_0)</f>
        <v>330285</v>
      </c>
      <c r="I12" s="4"/>
      <c r="J12" s="12"/>
      <c r="K12" s="4"/>
      <c r="L12" s="4">
        <f t="shared" ref="L12:L33" si="0">+D12-H12</f>
        <v>-82818.520000000019</v>
      </c>
      <c r="M12" s="4"/>
      <c r="N12" s="12">
        <f t="shared" ref="N12:N33" si="1">IF(H12=0,0,L12/H12)</f>
        <v>-0.25074865646335748</v>
      </c>
      <c r="O12" s="10"/>
      <c r="P12" s="4">
        <f>SUM(OSRRefP13x_0)</f>
        <v>1466945.3599999999</v>
      </c>
      <c r="Q12" s="4"/>
      <c r="R12" s="12"/>
      <c r="S12" s="4"/>
      <c r="T12" s="4">
        <f>SUM(OSRRefT13x_0)</f>
        <v>1439017</v>
      </c>
      <c r="U12" s="4"/>
      <c r="V12" s="12"/>
      <c r="W12" s="4"/>
      <c r="X12" s="4">
        <f t="shared" ref="X12:X33" si="2">+P12-T12</f>
        <v>27928.35999999987</v>
      </c>
      <c r="Y12" s="4"/>
      <c r="Z12" s="12">
        <f t="shared" ref="Z12:Z33" si="3">IF(T12=0,0,X12/T12)</f>
        <v>1.9407943061131222E-2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330285</v>
      </c>
      <c r="I13" s="2"/>
      <c r="J13" s="19"/>
      <c r="K13" s="2"/>
      <c r="L13" s="2">
        <f t="shared" si="0"/>
        <v>-330285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1439017</v>
      </c>
      <c r="U13" s="2"/>
      <c r="V13" s="19"/>
      <c r="W13" s="2"/>
      <c r="X13" s="2">
        <f t="shared" si="2"/>
        <v>-1439017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--152006.21</f>
        <v>152006.21</v>
      </c>
      <c r="E14" s="2"/>
      <c r="F14" s="19"/>
      <c r="G14" s="2"/>
      <c r="H14" s="2"/>
      <c r="I14" s="2"/>
      <c r="J14" s="19"/>
      <c r="K14" s="2"/>
      <c r="L14" s="2">
        <f t="shared" si="0"/>
        <v>152006.21</v>
      </c>
      <c r="M14" s="2"/>
      <c r="N14" s="19">
        <f t="shared" si="1"/>
        <v>0</v>
      </c>
      <c r="O14" s="11"/>
      <c r="P14" s="2">
        <f>--1053376.58</f>
        <v>1053376.58</v>
      </c>
      <c r="Q14" s="2"/>
      <c r="R14" s="19"/>
      <c r="S14" s="2"/>
      <c r="T14" s="2"/>
      <c r="U14" s="2"/>
      <c r="V14" s="19"/>
      <c r="W14" s="2"/>
      <c r="X14" s="2">
        <f t="shared" si="2"/>
        <v>1053376.58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--31955.67</f>
        <v>31955.67</v>
      </c>
      <c r="E15" s="2"/>
      <c r="F15" s="19"/>
      <c r="G15" s="2"/>
      <c r="H15" s="2"/>
      <c r="I15" s="2"/>
      <c r="J15" s="19"/>
      <c r="K15" s="2"/>
      <c r="L15" s="2">
        <f t="shared" si="0"/>
        <v>31955.67</v>
      </c>
      <c r="M15" s="2"/>
      <c r="N15" s="19">
        <f t="shared" si="1"/>
        <v>0</v>
      </c>
      <c r="O15" s="11"/>
      <c r="P15" s="2">
        <f>--168087.19</f>
        <v>168087.19</v>
      </c>
      <c r="Q15" s="2"/>
      <c r="R15" s="19"/>
      <c r="S15" s="2"/>
      <c r="T15" s="2"/>
      <c r="U15" s="2"/>
      <c r="V15" s="19"/>
      <c r="W15" s="2"/>
      <c r="X15" s="2">
        <f t="shared" si="2"/>
        <v>168087.19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--31090.94</f>
        <v>31090.94</v>
      </c>
      <c r="E16" s="2"/>
      <c r="F16" s="19"/>
      <c r="G16" s="2"/>
      <c r="H16" s="2"/>
      <c r="I16" s="2"/>
      <c r="J16" s="19"/>
      <c r="K16" s="2"/>
      <c r="L16" s="2">
        <f t="shared" si="0"/>
        <v>31090.94</v>
      </c>
      <c r="M16" s="2"/>
      <c r="N16" s="19">
        <f t="shared" si="1"/>
        <v>0</v>
      </c>
      <c r="O16" s="11"/>
      <c r="P16" s="2">
        <f>--130266.78</f>
        <v>130266.78</v>
      </c>
      <c r="Q16" s="2"/>
      <c r="R16" s="19"/>
      <c r="S16" s="2"/>
      <c r="T16" s="2"/>
      <c r="U16" s="2"/>
      <c r="V16" s="19"/>
      <c r="W16" s="2"/>
      <c r="X16" s="2">
        <f t="shared" si="2"/>
        <v>130266.78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--9247.62</f>
        <v>9247.6200000000008</v>
      </c>
      <c r="E17" s="2"/>
      <c r="F17" s="19"/>
      <c r="G17" s="2"/>
      <c r="H17" s="2"/>
      <c r="I17" s="2"/>
      <c r="J17" s="19"/>
      <c r="K17" s="2"/>
      <c r="L17" s="2">
        <f t="shared" si="0"/>
        <v>9247.6200000000008</v>
      </c>
      <c r="M17" s="2"/>
      <c r="N17" s="19">
        <f t="shared" si="1"/>
        <v>0</v>
      </c>
      <c r="O17" s="11"/>
      <c r="P17" s="2">
        <f>--13936.68</f>
        <v>13936.68</v>
      </c>
      <c r="Q17" s="2"/>
      <c r="R17" s="19"/>
      <c r="S17" s="2"/>
      <c r="T17" s="2"/>
      <c r="U17" s="2"/>
      <c r="V17" s="19"/>
      <c r="W17" s="2"/>
      <c r="X17" s="2">
        <f t="shared" si="2"/>
        <v>13936.68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--4836.71</f>
        <v>4836.71</v>
      </c>
      <c r="E18" s="2"/>
      <c r="F18" s="19"/>
      <c r="G18" s="2"/>
      <c r="H18" s="2"/>
      <c r="I18" s="2"/>
      <c r="J18" s="19"/>
      <c r="K18" s="2"/>
      <c r="L18" s="2">
        <f t="shared" si="0"/>
        <v>4836.71</v>
      </c>
      <c r="M18" s="2"/>
      <c r="N18" s="19">
        <f t="shared" si="1"/>
        <v>0</v>
      </c>
      <c r="O18" s="11"/>
      <c r="P18" s="2">
        <f>--44197.15</f>
        <v>44197.15</v>
      </c>
      <c r="Q18" s="2"/>
      <c r="R18" s="19"/>
      <c r="S18" s="2"/>
      <c r="T18" s="2"/>
      <c r="U18" s="2"/>
      <c r="V18" s="19"/>
      <c r="W18" s="2"/>
      <c r="X18" s="2">
        <f t="shared" si="2"/>
        <v>44197.15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--6487.38</f>
        <v>6487.38</v>
      </c>
      <c r="E19" s="2"/>
      <c r="F19" s="19"/>
      <c r="G19" s="2"/>
      <c r="H19" s="2"/>
      <c r="I19" s="2"/>
      <c r="J19" s="19"/>
      <c r="K19" s="2"/>
      <c r="L19" s="2">
        <f t="shared" si="0"/>
        <v>6487.38</v>
      </c>
      <c r="M19" s="2"/>
      <c r="N19" s="19">
        <f t="shared" si="1"/>
        <v>0</v>
      </c>
      <c r="O19" s="11"/>
      <c r="P19" s="2">
        <f>--60548.21</f>
        <v>60548.21</v>
      </c>
      <c r="Q19" s="2"/>
      <c r="R19" s="19"/>
      <c r="S19" s="2"/>
      <c r="T19" s="2"/>
      <c r="U19" s="2"/>
      <c r="V19" s="19"/>
      <c r="W19" s="2"/>
      <c r="X19" s="2">
        <f t="shared" si="2"/>
        <v>60548.21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--18815.05</f>
        <v>18815.05</v>
      </c>
      <c r="E20" s="2"/>
      <c r="F20" s="19"/>
      <c r="G20" s="2"/>
      <c r="H20" s="2"/>
      <c r="I20" s="2"/>
      <c r="J20" s="19"/>
      <c r="K20" s="2"/>
      <c r="L20" s="2">
        <f t="shared" si="0"/>
        <v>18815.05</v>
      </c>
      <c r="M20" s="2"/>
      <c r="N20" s="19">
        <f t="shared" si="1"/>
        <v>0</v>
      </c>
      <c r="O20" s="11"/>
      <c r="P20" s="2">
        <f>--38823.84</f>
        <v>38823.839999999997</v>
      </c>
      <c r="Q20" s="2"/>
      <c r="R20" s="19"/>
      <c r="S20" s="2"/>
      <c r="T20" s="2"/>
      <c r="U20" s="2"/>
      <c r="V20" s="19"/>
      <c r="W20" s="2"/>
      <c r="X20" s="2">
        <f t="shared" si="2"/>
        <v>38823.839999999997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--699.6</f>
        <v>699.6</v>
      </c>
      <c r="E21" s="2"/>
      <c r="F21" s="19"/>
      <c r="G21" s="2"/>
      <c r="H21" s="2"/>
      <c r="I21" s="2"/>
      <c r="J21" s="19"/>
      <c r="K21" s="2"/>
      <c r="L21" s="2">
        <f t="shared" si="0"/>
        <v>699.6</v>
      </c>
      <c r="M21" s="2"/>
      <c r="N21" s="19">
        <f t="shared" si="1"/>
        <v>0</v>
      </c>
      <c r="O21" s="11"/>
      <c r="P21" s="2">
        <f>--2377.13</f>
        <v>2377.13</v>
      </c>
      <c r="Q21" s="2"/>
      <c r="R21" s="19"/>
      <c r="S21" s="2"/>
      <c r="T21" s="2"/>
      <c r="U21" s="2"/>
      <c r="V21" s="19"/>
      <c r="W21" s="2"/>
      <c r="X21" s="2">
        <f t="shared" si="2"/>
        <v>2377.13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--1180.46</f>
        <v>1180.46</v>
      </c>
      <c r="E22" s="2"/>
      <c r="F22" s="19"/>
      <c r="G22" s="2"/>
      <c r="H22" s="2"/>
      <c r="I22" s="2"/>
      <c r="J22" s="19"/>
      <c r="K22" s="2"/>
      <c r="L22" s="2">
        <f t="shared" si="0"/>
        <v>1180.46</v>
      </c>
      <c r="M22" s="2"/>
      <c r="N22" s="19">
        <f t="shared" si="1"/>
        <v>0</v>
      </c>
      <c r="O22" s="11"/>
      <c r="P22" s="2">
        <f>--3437.46</f>
        <v>3437.46</v>
      </c>
      <c r="Q22" s="2"/>
      <c r="R22" s="19"/>
      <c r="S22" s="2"/>
      <c r="T22" s="2"/>
      <c r="U22" s="2"/>
      <c r="V22" s="19"/>
      <c r="W22" s="2"/>
      <c r="X22" s="2">
        <f t="shared" si="2"/>
        <v>3437.46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--351.29</f>
        <v>351.29</v>
      </c>
      <c r="E23" s="2"/>
      <c r="F23" s="19"/>
      <c r="G23" s="2"/>
      <c r="H23" s="2"/>
      <c r="I23" s="2"/>
      <c r="J23" s="19"/>
      <c r="K23" s="2"/>
      <c r="L23" s="2">
        <f t="shared" si="0"/>
        <v>351.29</v>
      </c>
      <c r="M23" s="2"/>
      <c r="N23" s="19">
        <f t="shared" si="1"/>
        <v>0</v>
      </c>
      <c r="O23" s="11"/>
      <c r="P23" s="2">
        <f>--592.85</f>
        <v>592.85</v>
      </c>
      <c r="Q23" s="2"/>
      <c r="R23" s="19"/>
      <c r="S23" s="2"/>
      <c r="T23" s="2"/>
      <c r="U23" s="2"/>
      <c r="V23" s="19"/>
      <c r="W23" s="2"/>
      <c r="X23" s="2">
        <f t="shared" si="2"/>
        <v>592.85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--140</f>
        <v>140</v>
      </c>
      <c r="Q24" s="2"/>
      <c r="R24" s="19"/>
      <c r="S24" s="2"/>
      <c r="T24" s="2"/>
      <c r="U24" s="2"/>
      <c r="V24" s="19"/>
      <c r="W24" s="2"/>
      <c r="X24" s="2">
        <f t="shared" si="2"/>
        <v>140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-6412.85</f>
        <v>-6412.85</v>
      </c>
      <c r="E25" s="2"/>
      <c r="F25" s="19"/>
      <c r="G25" s="2"/>
      <c r="H25" s="2"/>
      <c r="I25" s="2"/>
      <c r="J25" s="19"/>
      <c r="K25" s="2"/>
      <c r="L25" s="2">
        <f t="shared" si="0"/>
        <v>-6412.85</v>
      </c>
      <c r="M25" s="2"/>
      <c r="N25" s="19">
        <f t="shared" si="1"/>
        <v>0</v>
      </c>
      <c r="O25" s="11"/>
      <c r="P25" s="2">
        <f>-40870.78</f>
        <v>-40870.78</v>
      </c>
      <c r="Q25" s="2"/>
      <c r="R25" s="19"/>
      <c r="S25" s="2"/>
      <c r="T25" s="2"/>
      <c r="U25" s="2"/>
      <c r="V25" s="19"/>
      <c r="W25" s="2"/>
      <c r="X25" s="2">
        <f t="shared" si="2"/>
        <v>-40870.78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-839.58</f>
        <v>-839.58</v>
      </c>
      <c r="E26" s="2"/>
      <c r="F26" s="19"/>
      <c r="G26" s="2"/>
      <c r="H26" s="2"/>
      <c r="I26" s="2"/>
      <c r="J26" s="19"/>
      <c r="K26" s="2"/>
      <c r="L26" s="2">
        <f t="shared" si="0"/>
        <v>-839.58</v>
      </c>
      <c r="M26" s="2"/>
      <c r="N26" s="19">
        <f t="shared" si="1"/>
        <v>0</v>
      </c>
      <c r="O26" s="11"/>
      <c r="P26" s="2">
        <f>-2545.01</f>
        <v>-2545.0100000000002</v>
      </c>
      <c r="Q26" s="2"/>
      <c r="R26" s="19"/>
      <c r="S26" s="2"/>
      <c r="T26" s="2"/>
      <c r="U26" s="2"/>
      <c r="V26" s="19"/>
      <c r="W26" s="2"/>
      <c r="X26" s="2">
        <f t="shared" si="2"/>
        <v>-2545.0100000000002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-854.18</f>
        <v>-854.18</v>
      </c>
      <c r="E27" s="2"/>
      <c r="F27" s="19"/>
      <c r="G27" s="2"/>
      <c r="H27" s="2"/>
      <c r="I27" s="2"/>
      <c r="J27" s="19"/>
      <c r="K27" s="2"/>
      <c r="L27" s="2">
        <f t="shared" si="0"/>
        <v>-854.18</v>
      </c>
      <c r="M27" s="2"/>
      <c r="N27" s="19">
        <f t="shared" si="1"/>
        <v>0</v>
      </c>
      <c r="O27" s="11"/>
      <c r="P27" s="2">
        <f>-2014.76</f>
        <v>-2014.76</v>
      </c>
      <c r="Q27" s="2"/>
      <c r="R27" s="19"/>
      <c r="S27" s="2"/>
      <c r="T27" s="2"/>
      <c r="U27" s="2"/>
      <c r="V27" s="19"/>
      <c r="W27" s="2"/>
      <c r="X27" s="2">
        <f t="shared" si="2"/>
        <v>-2014.76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-558.63</f>
        <v>-558.63</v>
      </c>
      <c r="E28" s="2"/>
      <c r="F28" s="19"/>
      <c r="G28" s="2"/>
      <c r="H28" s="2"/>
      <c r="I28" s="2"/>
      <c r="J28" s="19"/>
      <c r="K28" s="2"/>
      <c r="L28" s="2">
        <f t="shared" si="0"/>
        <v>-558.63</v>
      </c>
      <c r="M28" s="2"/>
      <c r="N28" s="19">
        <f t="shared" si="1"/>
        <v>0</v>
      </c>
      <c r="O28" s="11"/>
      <c r="P28" s="2">
        <f>-879.47</f>
        <v>-879.47</v>
      </c>
      <c r="Q28" s="2"/>
      <c r="R28" s="19"/>
      <c r="S28" s="2"/>
      <c r="T28" s="2"/>
      <c r="U28" s="2"/>
      <c r="V28" s="19"/>
      <c r="W28" s="2"/>
      <c r="X28" s="2">
        <f t="shared" si="2"/>
        <v>-879.47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-137.76</f>
        <v>-137.76</v>
      </c>
      <c r="E29" s="2"/>
      <c r="F29" s="19"/>
      <c r="G29" s="2"/>
      <c r="H29" s="2"/>
      <c r="I29" s="2"/>
      <c r="J29" s="19"/>
      <c r="K29" s="2"/>
      <c r="L29" s="2">
        <f t="shared" si="0"/>
        <v>-137.76</v>
      </c>
      <c r="M29" s="2"/>
      <c r="N29" s="19">
        <f t="shared" si="1"/>
        <v>0</v>
      </c>
      <c r="O29" s="11"/>
      <c r="P29" s="2">
        <f>-1600.97</f>
        <v>-1600.97</v>
      </c>
      <c r="Q29" s="2"/>
      <c r="R29" s="19"/>
      <c r="S29" s="2"/>
      <c r="T29" s="2"/>
      <c r="U29" s="2"/>
      <c r="V29" s="19"/>
      <c r="W29" s="2"/>
      <c r="X29" s="2">
        <f t="shared" si="2"/>
        <v>-1600.97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-81.97</f>
        <v>-81.97</v>
      </c>
      <c r="Q30" s="2"/>
      <c r="R30" s="19"/>
      <c r="S30" s="2"/>
      <c r="T30" s="2"/>
      <c r="U30" s="2"/>
      <c r="V30" s="19"/>
      <c r="W30" s="2"/>
      <c r="X30" s="2">
        <f t="shared" si="2"/>
        <v>-81.97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-391.5</f>
        <v>-391.5</v>
      </c>
      <c r="E31" s="2"/>
      <c r="F31" s="19"/>
      <c r="G31" s="2"/>
      <c r="H31" s="2"/>
      <c r="I31" s="2"/>
      <c r="J31" s="19"/>
      <c r="K31" s="2"/>
      <c r="L31" s="2">
        <f t="shared" si="0"/>
        <v>-391.5</v>
      </c>
      <c r="M31" s="2"/>
      <c r="N31" s="19">
        <f t="shared" si="1"/>
        <v>0</v>
      </c>
      <c r="O31" s="11"/>
      <c r="P31" s="2">
        <f>-714.9</f>
        <v>-714.9</v>
      </c>
      <c r="Q31" s="2"/>
      <c r="R31" s="19"/>
      <c r="S31" s="2"/>
      <c r="T31" s="2"/>
      <c r="U31" s="2"/>
      <c r="V31" s="19"/>
      <c r="W31" s="2"/>
      <c r="X31" s="2">
        <f t="shared" si="2"/>
        <v>-714.9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-9.95</f>
        <v>-9.9499999999999993</v>
      </c>
      <c r="E32" s="2"/>
      <c r="F32" s="19"/>
      <c r="G32" s="2"/>
      <c r="H32" s="2"/>
      <c r="I32" s="2"/>
      <c r="J32" s="19"/>
      <c r="K32" s="2"/>
      <c r="L32" s="2">
        <f t="shared" si="0"/>
        <v>-9.9499999999999993</v>
      </c>
      <c r="M32" s="2"/>
      <c r="N32" s="19">
        <f t="shared" si="1"/>
        <v>0</v>
      </c>
      <c r="O32" s="11"/>
      <c r="P32" s="2">
        <f>-20.85</f>
        <v>-20.85</v>
      </c>
      <c r="Q32" s="2"/>
      <c r="R32" s="19"/>
      <c r="S32" s="2"/>
      <c r="T32" s="2"/>
      <c r="U32" s="2"/>
      <c r="V32" s="19"/>
      <c r="W32" s="2"/>
      <c r="X32" s="2">
        <f t="shared" si="2"/>
        <v>-20.85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/>
      <c r="U33" s="2"/>
      <c r="V33" s="19"/>
      <c r="W33" s="2"/>
      <c r="X33" s="2">
        <f t="shared" si="2"/>
        <v>-109.8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116910.49999999997</v>
      </c>
      <c r="E35" s="4"/>
      <c r="F35" s="12">
        <f t="shared" ref="F35:F51" si="4">IF(D$12=0,0,D35/D$12)</f>
        <v>0.47242963976373681</v>
      </c>
      <c r="G35" s="4"/>
      <c r="H35" s="4">
        <f>SUM(OSRRefH16x_0)</f>
        <v>147180</v>
      </c>
      <c r="I35" s="4"/>
      <c r="J35" s="12">
        <f t="shared" ref="J35:J51" si="5">IF(H$12=0,0,H35/H$12)</f>
        <v>0.44561515055179618</v>
      </c>
      <c r="K35" s="4"/>
      <c r="L35" s="4">
        <f t="shared" ref="L35:L51" si="6">+D35-H35</f>
        <v>-30269.500000000029</v>
      </c>
      <c r="M35" s="4"/>
      <c r="N35" s="12">
        <f t="shared" ref="N35:N51" si="7">IF(H35=0,0,L35/H35)</f>
        <v>-0.20566313357793198</v>
      </c>
      <c r="O35" s="10"/>
      <c r="P35" s="4">
        <f>SUM(OSRRefP16x_0)</f>
        <v>684492.40999999992</v>
      </c>
      <c r="Q35" s="4"/>
      <c r="R35" s="12">
        <f t="shared" ref="R35:R51" si="8">IF(P$12=0,0,P35/P$12)</f>
        <v>0.46661070593658649</v>
      </c>
      <c r="S35" s="4"/>
      <c r="T35" s="4">
        <f>SUM(OSRRefT16x_0)</f>
        <v>656003</v>
      </c>
      <c r="U35" s="4"/>
      <c r="V35" s="12">
        <f t="shared" ref="V35:V51" si="9">IF(T$12=0,0,T35/T$12)</f>
        <v>0.45586883268231021</v>
      </c>
      <c r="W35" s="4"/>
      <c r="X35" s="4">
        <f t="shared" ref="X35:X51" si="10">+P35-T35</f>
        <v>28489.409999999916</v>
      </c>
      <c r="Y35" s="4"/>
      <c r="Z35" s="12">
        <f t="shared" ref="Z35:Z51" si="11">IF(T35=0,0,X35/T35)</f>
        <v>4.3428780051310616E-2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147180</v>
      </c>
      <c r="I36" s="2"/>
      <c r="J36" s="19">
        <f t="shared" si="5"/>
        <v>0.44561515055179618</v>
      </c>
      <c r="K36" s="2"/>
      <c r="L36" s="2">
        <f t="shared" si="6"/>
        <v>-147180</v>
      </c>
      <c r="M36" s="2"/>
      <c r="N36" s="19">
        <f t="shared" si="7"/>
        <v>-1</v>
      </c>
      <c r="O36" s="11"/>
      <c r="P36" s="2"/>
      <c r="Q36" s="2"/>
      <c r="R36" s="19">
        <f t="shared" si="8"/>
        <v>0</v>
      </c>
      <c r="S36" s="2"/>
      <c r="T36" s="2">
        <v>656003</v>
      </c>
      <c r="U36" s="2"/>
      <c r="V36" s="19">
        <f t="shared" si="9"/>
        <v>0.45586883268231021</v>
      </c>
      <c r="W36" s="2"/>
      <c r="X36" s="2">
        <f t="shared" si="10"/>
        <v>-656003</v>
      </c>
      <c r="Y36" s="2"/>
      <c r="Z36" s="19">
        <f t="shared" si="11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67271.37</v>
      </c>
      <c r="E37" s="2"/>
      <c r="F37" s="19">
        <f t="shared" si="4"/>
        <v>0.27184033166835364</v>
      </c>
      <c r="G37" s="2"/>
      <c r="H37" s="2"/>
      <c r="I37" s="2"/>
      <c r="J37" s="19">
        <f t="shared" si="5"/>
        <v>0</v>
      </c>
      <c r="K37" s="2"/>
      <c r="L37" s="2">
        <f t="shared" si="6"/>
        <v>67271.37</v>
      </c>
      <c r="M37" s="2"/>
      <c r="N37" s="19">
        <f t="shared" si="7"/>
        <v>0</v>
      </c>
      <c r="O37" s="11"/>
      <c r="P37" s="2">
        <v>560191.49</v>
      </c>
      <c r="Q37" s="2"/>
      <c r="R37" s="19">
        <f t="shared" si="8"/>
        <v>0.3818761797644597</v>
      </c>
      <c r="S37" s="2"/>
      <c r="T37" s="2"/>
      <c r="U37" s="2"/>
      <c r="V37" s="19">
        <f t="shared" si="9"/>
        <v>0</v>
      </c>
      <c r="W37" s="2"/>
      <c r="X37" s="2">
        <f t="shared" si="10"/>
        <v>560191.49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15542.009999999998</v>
      </c>
      <c r="E38" s="2"/>
      <c r="F38" s="19">
        <f t="shared" si="4"/>
        <v>6.2804505887019524E-2</v>
      </c>
      <c r="G38" s="2"/>
      <c r="H38" s="2"/>
      <c r="I38" s="2"/>
      <c r="J38" s="19">
        <f t="shared" si="5"/>
        <v>0</v>
      </c>
      <c r="K38" s="2"/>
      <c r="L38" s="2">
        <f t="shared" si="6"/>
        <v>15542.009999999998</v>
      </c>
      <c r="M38" s="2"/>
      <c r="N38" s="19">
        <f t="shared" si="7"/>
        <v>0</v>
      </c>
      <c r="O38" s="11"/>
      <c r="P38" s="2">
        <v>89624.2</v>
      </c>
      <c r="Q38" s="2"/>
      <c r="R38" s="19">
        <f t="shared" si="8"/>
        <v>6.1095799778118527E-2</v>
      </c>
      <c r="S38" s="2"/>
      <c r="T38" s="2"/>
      <c r="U38" s="2"/>
      <c r="V38" s="19">
        <f t="shared" si="9"/>
        <v>0</v>
      </c>
      <c r="W38" s="2"/>
      <c r="X38" s="2">
        <f t="shared" si="10"/>
        <v>89624.2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5128.7</v>
      </c>
      <c r="E39" s="2"/>
      <c r="F39" s="19">
        <f t="shared" si="4"/>
        <v>2.0724827055365238E-2</v>
      </c>
      <c r="G39" s="2"/>
      <c r="H39" s="2"/>
      <c r="I39" s="2"/>
      <c r="J39" s="19">
        <f t="shared" si="5"/>
        <v>0</v>
      </c>
      <c r="K39" s="2"/>
      <c r="L39" s="2">
        <f t="shared" si="6"/>
        <v>5128.7</v>
      </c>
      <c r="M39" s="2"/>
      <c r="N39" s="19">
        <f t="shared" si="7"/>
        <v>0</v>
      </c>
      <c r="O39" s="11"/>
      <c r="P39" s="2">
        <v>71825.069999999992</v>
      </c>
      <c r="Q39" s="2"/>
      <c r="R39" s="19">
        <f t="shared" si="8"/>
        <v>4.8962334902507891E-2</v>
      </c>
      <c r="S39" s="2"/>
      <c r="T39" s="2"/>
      <c r="U39" s="2"/>
      <c r="V39" s="19">
        <f t="shared" si="9"/>
        <v>0</v>
      </c>
      <c r="W39" s="2"/>
      <c r="X39" s="2">
        <f t="shared" si="10"/>
        <v>71825.069999999992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3010.23</v>
      </c>
      <c r="E40" s="2"/>
      <c r="F40" s="19">
        <f t="shared" si="4"/>
        <v>1.2164192904024821E-2</v>
      </c>
      <c r="G40" s="2"/>
      <c r="H40" s="2"/>
      <c r="I40" s="2"/>
      <c r="J40" s="19">
        <f t="shared" si="5"/>
        <v>0</v>
      </c>
      <c r="K40" s="2"/>
      <c r="L40" s="2">
        <f t="shared" si="6"/>
        <v>3010.23</v>
      </c>
      <c r="M40" s="2"/>
      <c r="N40" s="19">
        <f t="shared" si="7"/>
        <v>0</v>
      </c>
      <c r="O40" s="11"/>
      <c r="P40" s="2">
        <v>6445.57</v>
      </c>
      <c r="Q40" s="2"/>
      <c r="R40" s="19">
        <f t="shared" si="8"/>
        <v>4.3938719026317382E-3</v>
      </c>
      <c r="S40" s="2"/>
      <c r="T40" s="2"/>
      <c r="U40" s="2"/>
      <c r="V40" s="19">
        <f t="shared" si="9"/>
        <v>0</v>
      </c>
      <c r="W40" s="2"/>
      <c r="X40" s="2">
        <f t="shared" si="10"/>
        <v>6445.57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1021.26</v>
      </c>
      <c r="E41" s="2"/>
      <c r="F41" s="19">
        <f t="shared" si="4"/>
        <v>4.1268619491415569E-3</v>
      </c>
      <c r="G41" s="2"/>
      <c r="H41" s="2"/>
      <c r="I41" s="2"/>
      <c r="J41" s="19">
        <f t="shared" si="5"/>
        <v>0</v>
      </c>
      <c r="K41" s="2"/>
      <c r="L41" s="2">
        <f t="shared" si="6"/>
        <v>1021.26</v>
      </c>
      <c r="M41" s="2"/>
      <c r="N41" s="19">
        <f t="shared" si="7"/>
        <v>0</v>
      </c>
      <c r="O41" s="11"/>
      <c r="P41" s="2">
        <v>23642</v>
      </c>
      <c r="Q41" s="2"/>
      <c r="R41" s="19">
        <f t="shared" si="8"/>
        <v>1.6116483029742841E-2</v>
      </c>
      <c r="S41" s="2"/>
      <c r="T41" s="2"/>
      <c r="U41" s="2"/>
      <c r="V41" s="19">
        <f t="shared" si="9"/>
        <v>0</v>
      </c>
      <c r="W41" s="2"/>
      <c r="X41" s="2">
        <f t="shared" si="10"/>
        <v>23642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-1057.6600000000001</v>
      </c>
      <c r="E42" s="2"/>
      <c r="F42" s="19">
        <f t="shared" si="4"/>
        <v>-4.2739525773349187E-3</v>
      </c>
      <c r="G42" s="2"/>
      <c r="H42" s="2"/>
      <c r="I42" s="2"/>
      <c r="J42" s="19">
        <f t="shared" si="5"/>
        <v>0</v>
      </c>
      <c r="K42" s="2"/>
      <c r="L42" s="2">
        <f t="shared" si="6"/>
        <v>-1057.6600000000001</v>
      </c>
      <c r="M42" s="2"/>
      <c r="N42" s="19">
        <f t="shared" si="7"/>
        <v>0</v>
      </c>
      <c r="O42" s="11"/>
      <c r="P42" s="2">
        <v>42152.03</v>
      </c>
      <c r="Q42" s="2"/>
      <c r="R42" s="19">
        <f t="shared" si="8"/>
        <v>2.8734560365629436E-2</v>
      </c>
      <c r="S42" s="2"/>
      <c r="T42" s="2"/>
      <c r="U42" s="2"/>
      <c r="V42" s="19">
        <f t="shared" si="9"/>
        <v>0</v>
      </c>
      <c r="W42" s="2"/>
      <c r="X42" s="2">
        <f t="shared" si="10"/>
        <v>42152.03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-96286</v>
      </c>
      <c r="E43" s="2"/>
      <c r="F43" s="19">
        <f t="shared" si="4"/>
        <v>-0.38908703918203391</v>
      </c>
      <c r="G43" s="2"/>
      <c r="H43" s="2"/>
      <c r="I43" s="2"/>
      <c r="J43" s="19">
        <f t="shared" si="5"/>
        <v>0</v>
      </c>
      <c r="K43" s="2"/>
      <c r="L43" s="2">
        <f t="shared" si="6"/>
        <v>-96286</v>
      </c>
      <c r="M43" s="2"/>
      <c r="N43" s="19">
        <f t="shared" si="7"/>
        <v>0</v>
      </c>
      <c r="O43" s="11"/>
      <c r="P43" s="2">
        <v>-824822</v>
      </c>
      <c r="Q43" s="2"/>
      <c r="R43" s="19">
        <f t="shared" si="8"/>
        <v>-0.562271794499558</v>
      </c>
      <c r="S43" s="2"/>
      <c r="T43" s="2"/>
      <c r="U43" s="2"/>
      <c r="V43" s="19">
        <f t="shared" si="9"/>
        <v>0</v>
      </c>
      <c r="W43" s="2"/>
      <c r="X43" s="2">
        <f t="shared" si="10"/>
        <v>-824822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116911</v>
      </c>
      <c r="E44" s="2"/>
      <c r="F44" s="19">
        <f t="shared" si="4"/>
        <v>0.47243166023939892</v>
      </c>
      <c r="G44" s="2"/>
      <c r="H44" s="2"/>
      <c r="I44" s="2"/>
      <c r="J44" s="19">
        <f t="shared" si="5"/>
        <v>0</v>
      </c>
      <c r="K44" s="2"/>
      <c r="L44" s="2">
        <f t="shared" si="6"/>
        <v>116911</v>
      </c>
      <c r="M44" s="2"/>
      <c r="N44" s="19">
        <f t="shared" si="7"/>
        <v>0</v>
      </c>
      <c r="O44" s="11"/>
      <c r="P44" s="2">
        <v>684465</v>
      </c>
      <c r="Q44" s="2"/>
      <c r="R44" s="19">
        <f t="shared" si="8"/>
        <v>0.46659202085072893</v>
      </c>
      <c r="S44" s="2"/>
      <c r="T44" s="2"/>
      <c r="U44" s="2"/>
      <c r="V44" s="19">
        <f t="shared" si="9"/>
        <v>0</v>
      </c>
      <c r="W44" s="2"/>
      <c r="X44" s="2">
        <f t="shared" si="10"/>
        <v>684465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29.23</v>
      </c>
      <c r="Q45" s="2"/>
      <c r="R45" s="19">
        <f t="shared" si="8"/>
        <v>1.9925759198011305E-5</v>
      </c>
      <c r="S45" s="2"/>
      <c r="T45" s="2"/>
      <c r="U45" s="2"/>
      <c r="V45" s="19">
        <f t="shared" si="9"/>
        <v>0</v>
      </c>
      <c r="W45" s="2"/>
      <c r="X45" s="2">
        <f t="shared" si="10"/>
        <v>29.23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4036.06</v>
      </c>
      <c r="E46" s="2"/>
      <c r="F46" s="19">
        <f t="shared" si="4"/>
        <v>1.6309522000717027E-2</v>
      </c>
      <c r="G46" s="2"/>
      <c r="H46" s="2"/>
      <c r="I46" s="2"/>
      <c r="J46" s="19">
        <f t="shared" si="5"/>
        <v>0</v>
      </c>
      <c r="K46" s="2"/>
      <c r="L46" s="2">
        <f t="shared" si="6"/>
        <v>4036.06</v>
      </c>
      <c r="M46" s="2"/>
      <c r="N46" s="19">
        <f t="shared" si="7"/>
        <v>0</v>
      </c>
      <c r="O46" s="11"/>
      <c r="P46" s="2">
        <v>24277.390000000003</v>
      </c>
      <c r="Q46" s="2"/>
      <c r="R46" s="19">
        <f t="shared" si="8"/>
        <v>1.6549621180164478E-2</v>
      </c>
      <c r="S46" s="2"/>
      <c r="T46" s="2"/>
      <c r="U46" s="2"/>
      <c r="V46" s="19">
        <f t="shared" si="9"/>
        <v>0</v>
      </c>
      <c r="W46" s="2"/>
      <c r="X46" s="2">
        <f t="shared" si="10"/>
        <v>24277.390000000003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709.94</v>
      </c>
      <c r="E47" s="2"/>
      <c r="F47" s="19">
        <f t="shared" si="4"/>
        <v>2.8688329829559141E-3</v>
      </c>
      <c r="G47" s="2"/>
      <c r="H47" s="2"/>
      <c r="I47" s="2"/>
      <c r="J47" s="19">
        <f t="shared" si="5"/>
        <v>0</v>
      </c>
      <c r="K47" s="2"/>
      <c r="L47" s="2">
        <f t="shared" si="6"/>
        <v>709.94</v>
      </c>
      <c r="M47" s="2"/>
      <c r="N47" s="19">
        <f t="shared" si="7"/>
        <v>0</v>
      </c>
      <c r="O47" s="11"/>
      <c r="P47" s="2">
        <v>3562.77</v>
      </c>
      <c r="Q47" s="2"/>
      <c r="R47" s="19">
        <f t="shared" si="8"/>
        <v>2.4286998665035489E-3</v>
      </c>
      <c r="S47" s="2"/>
      <c r="T47" s="2"/>
      <c r="U47" s="2"/>
      <c r="V47" s="19">
        <f t="shared" si="9"/>
        <v>0</v>
      </c>
      <c r="W47" s="2"/>
      <c r="X47" s="2">
        <f t="shared" si="10"/>
        <v>3562.77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194.82</v>
      </c>
      <c r="E48" s="2"/>
      <c r="F48" s="19">
        <f t="shared" si="4"/>
        <v>7.8725813694040508E-4</v>
      </c>
      <c r="G48" s="2"/>
      <c r="H48" s="2"/>
      <c r="I48" s="2"/>
      <c r="J48" s="19">
        <f t="shared" si="5"/>
        <v>0</v>
      </c>
      <c r="K48" s="2"/>
      <c r="L48" s="2">
        <f t="shared" si="6"/>
        <v>194.82</v>
      </c>
      <c r="M48" s="2"/>
      <c r="N48" s="19">
        <f t="shared" si="7"/>
        <v>0</v>
      </c>
      <c r="O48" s="11"/>
      <c r="P48" s="2">
        <v>1708.33</v>
      </c>
      <c r="Q48" s="2"/>
      <c r="R48" s="19">
        <f t="shared" si="8"/>
        <v>1.1645491690297177E-3</v>
      </c>
      <c r="S48" s="2"/>
      <c r="T48" s="2"/>
      <c r="U48" s="2"/>
      <c r="V48" s="19">
        <f t="shared" si="9"/>
        <v>0</v>
      </c>
      <c r="W48" s="2"/>
      <c r="X48" s="2">
        <f t="shared" si="10"/>
        <v>1708.33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>
        <v>77.760000000000005</v>
      </c>
      <c r="E49" s="2"/>
      <c r="F49" s="19">
        <f t="shared" si="4"/>
        <v>3.1422437495373114E-4</v>
      </c>
      <c r="G49" s="2"/>
      <c r="H49" s="2"/>
      <c r="I49" s="2"/>
      <c r="J49" s="19">
        <f t="shared" si="5"/>
        <v>0</v>
      </c>
      <c r="K49" s="2"/>
      <c r="L49" s="2">
        <f t="shared" si="6"/>
        <v>77.760000000000005</v>
      </c>
      <c r="M49" s="2"/>
      <c r="N49" s="19">
        <f t="shared" si="7"/>
        <v>0</v>
      </c>
      <c r="O49" s="11"/>
      <c r="P49" s="2">
        <v>121.35</v>
      </c>
      <c r="Q49" s="2"/>
      <c r="R49" s="19">
        <f t="shared" si="8"/>
        <v>8.2722917505257328E-5</v>
      </c>
      <c r="S49" s="2"/>
      <c r="T49" s="2"/>
      <c r="U49" s="2"/>
      <c r="V49" s="19">
        <f t="shared" si="9"/>
        <v>0</v>
      </c>
      <c r="W49" s="2"/>
      <c r="X49" s="2">
        <f t="shared" si="10"/>
        <v>121.35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>
        <v>28.4</v>
      </c>
      <c r="E50" s="2"/>
      <c r="F50" s="19">
        <f t="shared" si="4"/>
        <v>1.1476301760141414E-4</v>
      </c>
      <c r="G50" s="2"/>
      <c r="H50" s="2"/>
      <c r="I50" s="2"/>
      <c r="J50" s="19">
        <f t="shared" si="5"/>
        <v>0</v>
      </c>
      <c r="K50" s="2"/>
      <c r="L50" s="2">
        <f t="shared" si="6"/>
        <v>28.4</v>
      </c>
      <c r="M50" s="2"/>
      <c r="N50" s="19">
        <f t="shared" si="7"/>
        <v>0</v>
      </c>
      <c r="O50" s="11"/>
      <c r="P50" s="2">
        <v>442.31</v>
      </c>
      <c r="Q50" s="2"/>
      <c r="R50" s="19">
        <f t="shared" si="8"/>
        <v>3.015177061536907E-4</v>
      </c>
      <c r="S50" s="2"/>
      <c r="T50" s="2"/>
      <c r="U50" s="2"/>
      <c r="V50" s="19">
        <f t="shared" si="9"/>
        <v>0</v>
      </c>
      <c r="W50" s="2"/>
      <c r="X50" s="2">
        <f t="shared" si="10"/>
        <v>442.31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322.61</v>
      </c>
      <c r="E51" s="2"/>
      <c r="F51" s="19">
        <f t="shared" si="4"/>
        <v>1.303651306633529E-3</v>
      </c>
      <c r="G51" s="2"/>
      <c r="H51" s="2"/>
      <c r="I51" s="2"/>
      <c r="J51" s="19">
        <f t="shared" si="5"/>
        <v>0</v>
      </c>
      <c r="K51" s="2"/>
      <c r="L51" s="2">
        <f t="shared" si="6"/>
        <v>322.61</v>
      </c>
      <c r="M51" s="2"/>
      <c r="N51" s="19">
        <f t="shared" si="7"/>
        <v>0</v>
      </c>
      <c r="O51" s="11"/>
      <c r="P51" s="2">
        <v>827.67</v>
      </c>
      <c r="Q51" s="2"/>
      <c r="R51" s="19">
        <f t="shared" si="8"/>
        <v>5.6421324377071557E-4</v>
      </c>
      <c r="S51" s="2"/>
      <c r="T51" s="2"/>
      <c r="U51" s="2"/>
      <c r="V51" s="19">
        <f t="shared" si="9"/>
        <v>0</v>
      </c>
      <c r="W51" s="2"/>
      <c r="X51" s="2">
        <f t="shared" si="10"/>
        <v>827.67</v>
      </c>
      <c r="Y51" s="2"/>
      <c r="Z51" s="19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2">
        <f>D12-D35</f>
        <v>130555.98000000001</v>
      </c>
      <c r="E53" s="14"/>
      <c r="F53" s="20">
        <f>IF(D$12=0,0,D53/D$12)</f>
        <v>0.52757036023626314</v>
      </c>
      <c r="G53" s="14"/>
      <c r="H53" s="22">
        <f>H12-H35</f>
        <v>183105</v>
      </c>
      <c r="I53" s="14"/>
      <c r="J53" s="20">
        <f>IF(H$12=0,0,H53/H$12)</f>
        <v>0.55438484944820388</v>
      </c>
      <c r="K53" s="16"/>
      <c r="L53" s="22">
        <f>+D53-H53</f>
        <v>-52549.01999999999</v>
      </c>
      <c r="M53" s="16"/>
      <c r="N53" s="20">
        <f>IF(H53=0,0,L53/H53)</f>
        <v>-0.28698844925043004</v>
      </c>
      <c r="O53" s="28"/>
      <c r="P53" s="22">
        <f>P12-P35</f>
        <v>782452.95</v>
      </c>
      <c r="Q53" s="14"/>
      <c r="R53" s="20">
        <f>IF(P$12=0,0,P53/P$12)</f>
        <v>0.53338929406341351</v>
      </c>
      <c r="S53" s="14"/>
      <c r="T53" s="22">
        <f>T12-T35</f>
        <v>783014</v>
      </c>
      <c r="U53" s="14"/>
      <c r="V53" s="20">
        <f>IF(T$12=0,0,T53/T$12)</f>
        <v>0.54413116731768973</v>
      </c>
      <c r="W53" s="16"/>
      <c r="X53" s="22">
        <f>+P53-T53</f>
        <v>-561.05000000004657</v>
      </c>
      <c r="Y53" s="16"/>
      <c r="Z53" s="20">
        <f>IF(T53=0,0,X53/T53)</f>
        <v>-7.1652614129510657E-4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21">
        <f>SUM(OSRRefD22x_0)</f>
        <v>56280.330000000009</v>
      </c>
      <c r="E55" s="21"/>
      <c r="F55" s="30">
        <f t="shared" ref="F55:F65" si="12">IF(D$12=0,0,D55/D$12)</f>
        <v>0.22742607402828866</v>
      </c>
      <c r="G55" s="21"/>
      <c r="H55" s="21">
        <f>SUM(OSRRefH22x_0)</f>
        <v>77624.857586244238</v>
      </c>
      <c r="I55" s="21"/>
      <c r="J55" s="30">
        <f t="shared" ref="J55:J65" si="13">IF(H$12=0,0,H55/H$12)</f>
        <v>0.23502386601342548</v>
      </c>
      <c r="K55" s="4"/>
      <c r="L55" s="21">
        <f t="shared" ref="L55:L65" si="14">+D55-H55</f>
        <v>-21344.527586244229</v>
      </c>
      <c r="M55" s="4"/>
      <c r="N55" s="30">
        <f t="shared" ref="N55:N65" si="15">IF(H55=0,0,L55/H55)</f>
        <v>-0.27497026403597108</v>
      </c>
      <c r="O55" s="10"/>
      <c r="P55" s="21">
        <f>SUM(OSRRefP22x_0)</f>
        <v>360915.1399999999</v>
      </c>
      <c r="Q55" s="21"/>
      <c r="R55" s="30">
        <f t="shared" ref="R55:R65" si="16">IF(P$12=0,0,P55/P$12)</f>
        <v>0.2460317540388825</v>
      </c>
      <c r="S55" s="21"/>
      <c r="T55" s="21">
        <f>SUM(OSRRefT22x_0)</f>
        <v>358034.89172308752</v>
      </c>
      <c r="U55" s="21"/>
      <c r="V55" s="30">
        <f t="shared" ref="V55:V65" si="17">IF(T$12=0,0,T55/T$12)</f>
        <v>0.2488051855697935</v>
      </c>
      <c r="W55" s="4"/>
      <c r="X55" s="21">
        <f t="shared" ref="X55:X65" si="18">+P55-T55</f>
        <v>2880.2482769123744</v>
      </c>
      <c r="Y55" s="4"/>
      <c r="Z55" s="30">
        <f t="shared" ref="Z55:Z65" si="19">IF(T55=0,0,X55/T55)</f>
        <v>8.0446021979891976E-3</v>
      </c>
    </row>
    <row r="56" spans="1:26" s="25" customFormat="1" outlineLevel="1" collapsed="1" x14ac:dyDescent="0.25">
      <c r="A56" s="27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4192.8100000000004</v>
      </c>
      <c r="E56" s="1"/>
      <c r="F56" s="5">
        <f t="shared" si="12"/>
        <v>1.6942941120753004E-2</v>
      </c>
      <c r="G56" s="1"/>
      <c r="H56" s="1">
        <f>SUM(OSRRefH22_0x_0)</f>
        <v>4064.5797304749999</v>
      </c>
      <c r="I56" s="1"/>
      <c r="J56" s="5">
        <f t="shared" si="13"/>
        <v>1.2306280123151218E-2</v>
      </c>
      <c r="K56" s="1"/>
      <c r="L56" s="1">
        <f t="shared" si="14"/>
        <v>128.23026952500049</v>
      </c>
      <c r="M56" s="1"/>
      <c r="N56" s="5">
        <f t="shared" si="15"/>
        <v>3.1548223439576889E-2</v>
      </c>
      <c r="O56" s="13"/>
      <c r="P56" s="1">
        <f>SUM(OSRRefP22_0x_0)</f>
        <v>40282.639999999999</v>
      </c>
      <c r="Q56" s="1"/>
      <c r="R56" s="5">
        <f t="shared" si="16"/>
        <v>2.7460218422859325E-2</v>
      </c>
      <c r="S56" s="1"/>
      <c r="T56" s="1">
        <f>SUM(OSRRefT22_0x_0)</f>
        <v>27404.210660587501</v>
      </c>
      <c r="U56" s="1"/>
      <c r="V56" s="5">
        <f t="shared" si="17"/>
        <v>1.9043701819080317E-2</v>
      </c>
      <c r="W56" s="1"/>
      <c r="X56" s="1">
        <f t="shared" si="18"/>
        <v>12878.429339412498</v>
      </c>
      <c r="Y56" s="1"/>
      <c r="Z56" s="5">
        <f t="shared" si="19"/>
        <v>0.46994345135195387</v>
      </c>
    </row>
    <row r="57" spans="1:26" s="24" customFormat="1" hidden="1" outlineLevel="2" x14ac:dyDescent="0.25">
      <c r="A57" s="26"/>
      <c r="B57" s="11" t="str">
        <f>CONCATENATE("          ", "6111", " - ", "F.I.C.A.")</f>
        <v xml:space="preserve">          6111 - F.I.C.A.</v>
      </c>
      <c r="C57" s="11"/>
      <c r="D57" s="6">
        <v>714.22</v>
      </c>
      <c r="E57" s="2"/>
      <c r="F57" s="7">
        <f t="shared" si="12"/>
        <v>2.8861282546226064E-3</v>
      </c>
      <c r="G57" s="2"/>
      <c r="H57" s="6">
        <v>688.68491924423097</v>
      </c>
      <c r="I57" s="2"/>
      <c r="J57" s="7">
        <f t="shared" si="13"/>
        <v>2.0851232094834188E-3</v>
      </c>
      <c r="K57" s="2"/>
      <c r="L57" s="6">
        <f t="shared" si="14"/>
        <v>25.535080755769059</v>
      </c>
      <c r="M57" s="2"/>
      <c r="N57" s="7">
        <f t="shared" si="15"/>
        <v>3.7078030957598845E-2</v>
      </c>
      <c r="O57" s="11"/>
      <c r="P57" s="6">
        <v>8578.17</v>
      </c>
      <c r="Q57" s="2"/>
      <c r="R57" s="7">
        <f t="shared" si="16"/>
        <v>5.8476411145947527E-3</v>
      </c>
      <c r="S57" s="2"/>
      <c r="T57" s="6">
        <v>6199.2379375875007</v>
      </c>
      <c r="U57" s="2"/>
      <c r="V57" s="7">
        <f t="shared" si="17"/>
        <v>4.3079671314428533E-3</v>
      </c>
      <c r="W57" s="2"/>
      <c r="X57" s="6">
        <f t="shared" si="18"/>
        <v>2378.9320624124994</v>
      </c>
      <c r="Y57" s="2"/>
      <c r="Z57" s="7">
        <f t="shared" si="19"/>
        <v>0.38374588721437042</v>
      </c>
    </row>
    <row r="58" spans="1:26" s="24" customFormat="1" hidden="1" outlineLevel="2" x14ac:dyDescent="0.25">
      <c r="A58" s="26"/>
      <c r="B58" s="11" t="str">
        <f>CONCATENATE("          ", "6112", " - ", "COMPENSATION INSURANCE")</f>
        <v xml:space="preserve">          6112 - COMPENSATION INSURANCE</v>
      </c>
      <c r="C58" s="11"/>
      <c r="D58" s="6">
        <v>534.55999999999995</v>
      </c>
      <c r="E58" s="2"/>
      <c r="F58" s="7">
        <f t="shared" si="12"/>
        <v>2.1601309397539415E-3</v>
      </c>
      <c r="G58" s="2"/>
      <c r="H58" s="6">
        <v>365.363127115385</v>
      </c>
      <c r="I58" s="2"/>
      <c r="J58" s="7">
        <f t="shared" si="13"/>
        <v>1.1062056318494179E-3</v>
      </c>
      <c r="K58" s="2"/>
      <c r="L58" s="6">
        <f t="shared" si="14"/>
        <v>169.19687288461495</v>
      </c>
      <c r="M58" s="2"/>
      <c r="N58" s="7">
        <f t="shared" si="15"/>
        <v>0.46309236025117839</v>
      </c>
      <c r="O58" s="11"/>
      <c r="P58" s="6">
        <v>2647.79</v>
      </c>
      <c r="Q58" s="2"/>
      <c r="R58" s="7">
        <f t="shared" si="16"/>
        <v>1.8049683868252599E-3</v>
      </c>
      <c r="S58" s="2"/>
      <c r="T58" s="6">
        <v>2494.6814512500018</v>
      </c>
      <c r="U58" s="2"/>
      <c r="V58" s="7">
        <f t="shared" si="17"/>
        <v>1.7336010980064877E-3</v>
      </c>
      <c r="W58" s="2"/>
      <c r="X58" s="6">
        <f t="shared" si="18"/>
        <v>153.10854874999814</v>
      </c>
      <c r="Y58" s="2"/>
      <c r="Z58" s="7">
        <f t="shared" si="19"/>
        <v>6.1373987718263807E-2</v>
      </c>
    </row>
    <row r="59" spans="1:26" s="24" customFormat="1" hidden="1" outlineLevel="2" x14ac:dyDescent="0.25">
      <c r="A59" s="26"/>
      <c r="B59" s="11" t="str">
        <f>CONCATENATE("          ", "6113", " - ", "GROUP INSURANCE")</f>
        <v xml:space="preserve">          6113 - GROUP INSURANCE</v>
      </c>
      <c r="C59" s="11"/>
      <c r="D59" s="6">
        <v>1351.03</v>
      </c>
      <c r="E59" s="2"/>
      <c r="F59" s="7">
        <f t="shared" si="12"/>
        <v>5.4594464672548786E-3</v>
      </c>
      <c r="G59" s="2"/>
      <c r="H59" s="6">
        <v>1875.25</v>
      </c>
      <c r="I59" s="2"/>
      <c r="J59" s="7">
        <f t="shared" si="13"/>
        <v>5.677672313305176E-3</v>
      </c>
      <c r="K59" s="2"/>
      <c r="L59" s="6">
        <f t="shared" si="14"/>
        <v>-524.22</v>
      </c>
      <c r="M59" s="2"/>
      <c r="N59" s="7">
        <f t="shared" si="15"/>
        <v>-0.27954672710305295</v>
      </c>
      <c r="O59" s="11"/>
      <c r="P59" s="6">
        <v>13780.2</v>
      </c>
      <c r="Q59" s="2"/>
      <c r="R59" s="7">
        <f t="shared" si="16"/>
        <v>9.3938059151705573E-3</v>
      </c>
      <c r="S59" s="2"/>
      <c r="T59" s="6">
        <v>11251.5</v>
      </c>
      <c r="U59" s="2"/>
      <c r="V59" s="7">
        <f t="shared" si="17"/>
        <v>7.8188791376335373E-3</v>
      </c>
      <c r="W59" s="2"/>
      <c r="X59" s="6">
        <f t="shared" si="18"/>
        <v>2528.7000000000007</v>
      </c>
      <c r="Y59" s="2"/>
      <c r="Z59" s="7">
        <f t="shared" si="19"/>
        <v>0.22474336755099328</v>
      </c>
    </row>
    <row r="60" spans="1:26" s="24" customFormat="1" hidden="1" outlineLevel="2" x14ac:dyDescent="0.25">
      <c r="A60" s="26"/>
      <c r="B60" s="11" t="str">
        <f>CONCATENATE("          ", "6114", " - ", "STATE UNEMPLOYMENT INSURANCE")</f>
        <v xml:space="preserve">          6114 - STATE UNEMPLOYMENT INSURANCE</v>
      </c>
      <c r="C60" s="11"/>
      <c r="D60" s="6">
        <v>73.150000000000006</v>
      </c>
      <c r="E60" s="2"/>
      <c r="F60" s="7">
        <f t="shared" si="12"/>
        <v>2.9559558935012134E-4</v>
      </c>
      <c r="G60" s="2"/>
      <c r="H60" s="6">
        <v>49.997059499999999</v>
      </c>
      <c r="I60" s="2"/>
      <c r="J60" s="7">
        <f t="shared" si="13"/>
        <v>1.5137550751623597E-4</v>
      </c>
      <c r="K60" s="2"/>
      <c r="L60" s="6">
        <f t="shared" si="14"/>
        <v>23.152940500000007</v>
      </c>
      <c r="M60" s="2"/>
      <c r="N60" s="7">
        <f t="shared" si="15"/>
        <v>0.46308604409025311</v>
      </c>
      <c r="O60" s="11"/>
      <c r="P60" s="6">
        <v>414.92</v>
      </c>
      <c r="Q60" s="2"/>
      <c r="R60" s="7">
        <f t="shared" si="16"/>
        <v>2.8284625406906777E-4</v>
      </c>
      <c r="S60" s="2"/>
      <c r="T60" s="6">
        <v>341.37746175000001</v>
      </c>
      <c r="U60" s="2"/>
      <c r="V60" s="7">
        <f t="shared" si="17"/>
        <v>2.3722962393772973E-4</v>
      </c>
      <c r="W60" s="2"/>
      <c r="X60" s="6">
        <f t="shared" si="18"/>
        <v>73.542538250000007</v>
      </c>
      <c r="Y60" s="2"/>
      <c r="Z60" s="7">
        <f t="shared" si="19"/>
        <v>0.21542880386127308</v>
      </c>
    </row>
    <row r="61" spans="1:26" s="24" customFormat="1" hidden="1" outlineLevel="2" x14ac:dyDescent="0.25">
      <c r="A61" s="26"/>
      <c r="B61" s="11" t="str">
        <f>CONCATENATE("          ", "6115", " - ", "P.E.R.S.")</f>
        <v xml:space="preserve">          6115 - P.E.R.S.</v>
      </c>
      <c r="C61" s="11"/>
      <c r="D61" s="6">
        <v>621.85</v>
      </c>
      <c r="E61" s="2"/>
      <c r="F61" s="7">
        <f t="shared" si="12"/>
        <v>2.5128655808253305E-3</v>
      </c>
      <c r="G61" s="2"/>
      <c r="H61" s="6">
        <v>609.49991115384591</v>
      </c>
      <c r="I61" s="2"/>
      <c r="J61" s="7">
        <f t="shared" si="13"/>
        <v>1.8453756941848583E-3</v>
      </c>
      <c r="K61" s="2"/>
      <c r="L61" s="6">
        <f t="shared" si="14"/>
        <v>12.350088846154108</v>
      </c>
      <c r="M61" s="2"/>
      <c r="N61" s="7">
        <f t="shared" si="15"/>
        <v>2.0262658976888316E-2</v>
      </c>
      <c r="O61" s="11"/>
      <c r="P61" s="6">
        <v>5221.1400000000003</v>
      </c>
      <c r="Q61" s="2"/>
      <c r="R61" s="7">
        <f t="shared" si="16"/>
        <v>3.5591918706501793E-3</v>
      </c>
      <c r="S61" s="2"/>
      <c r="T61" s="6">
        <v>3961.7494224999996</v>
      </c>
      <c r="U61" s="2"/>
      <c r="V61" s="7">
        <f t="shared" si="17"/>
        <v>2.7530942459331612E-3</v>
      </c>
      <c r="W61" s="2"/>
      <c r="X61" s="6">
        <f t="shared" si="18"/>
        <v>1259.3905775000007</v>
      </c>
      <c r="Y61" s="2"/>
      <c r="Z61" s="7">
        <f t="shared" si="19"/>
        <v>0.31788748938727229</v>
      </c>
    </row>
    <row r="62" spans="1:26" s="24" customFormat="1" hidden="1" outlineLevel="2" x14ac:dyDescent="0.25">
      <c r="A62" s="26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2"/>
        <v>0</v>
      </c>
      <c r="G62" s="2"/>
      <c r="H62" s="6">
        <v>0</v>
      </c>
      <c r="I62" s="2"/>
      <c r="J62" s="7">
        <f t="shared" si="13"/>
        <v>0</v>
      </c>
      <c r="K62" s="2"/>
      <c r="L62" s="6">
        <f t="shared" si="14"/>
        <v>0</v>
      </c>
      <c r="M62" s="2"/>
      <c r="N62" s="7">
        <f t="shared" si="15"/>
        <v>0</v>
      </c>
      <c r="O62" s="11"/>
      <c r="P62" s="6"/>
      <c r="Q62" s="2"/>
      <c r="R62" s="7">
        <f t="shared" si="16"/>
        <v>0</v>
      </c>
      <c r="S62" s="2"/>
      <c r="T62" s="6">
        <v>0</v>
      </c>
      <c r="U62" s="2"/>
      <c r="V62" s="7">
        <f t="shared" si="17"/>
        <v>0</v>
      </c>
      <c r="W62" s="2"/>
      <c r="X62" s="6">
        <f t="shared" si="18"/>
        <v>0</v>
      </c>
      <c r="Y62" s="2"/>
      <c r="Z62" s="7">
        <f t="shared" si="19"/>
        <v>0</v>
      </c>
    </row>
    <row r="63" spans="1:26" s="24" customFormat="1" hidden="1" outlineLevel="2" x14ac:dyDescent="0.25">
      <c r="A63" s="26"/>
      <c r="B63" s="11" t="str">
        <f>CONCATENATE("          ", "6118", " - ", "VACATION")</f>
        <v xml:space="preserve">          6118 - VACATION</v>
      </c>
      <c r="C63" s="11"/>
      <c r="D63" s="6">
        <v>491.28</v>
      </c>
      <c r="E63" s="2"/>
      <c r="F63" s="7">
        <f t="shared" si="12"/>
        <v>1.9852385664515049E-3</v>
      </c>
      <c r="G63" s="2"/>
      <c r="H63" s="6">
        <v>212.616248076923</v>
      </c>
      <c r="I63" s="2"/>
      <c r="J63" s="7">
        <f t="shared" si="13"/>
        <v>6.4373570727378781E-4</v>
      </c>
      <c r="K63" s="2"/>
      <c r="L63" s="6">
        <f t="shared" si="14"/>
        <v>278.66375192307697</v>
      </c>
      <c r="M63" s="2"/>
      <c r="N63" s="7">
        <f t="shared" si="15"/>
        <v>1.3106418462537184</v>
      </c>
      <c r="O63" s="11"/>
      <c r="P63" s="6">
        <v>4516.7299999999996</v>
      </c>
      <c r="Q63" s="2"/>
      <c r="R63" s="7">
        <f t="shared" si="16"/>
        <v>3.0790035697035095E-3</v>
      </c>
      <c r="S63" s="2"/>
      <c r="T63" s="6">
        <v>1382.0056124999999</v>
      </c>
      <c r="U63" s="2"/>
      <c r="V63" s="7">
        <f t="shared" si="17"/>
        <v>9.6038171369761431E-4</v>
      </c>
      <c r="W63" s="2"/>
      <c r="X63" s="6">
        <f t="shared" si="18"/>
        <v>3134.7243874999995</v>
      </c>
      <c r="Y63" s="2"/>
      <c r="Z63" s="7">
        <f t="shared" si="19"/>
        <v>2.2682428777039427</v>
      </c>
    </row>
    <row r="64" spans="1:26" s="24" customFormat="1" hidden="1" outlineLevel="2" x14ac:dyDescent="0.25">
      <c r="A64" s="26"/>
      <c r="B64" s="11" t="str">
        <f>CONCATENATE("          ", "6119", " - ", "SICK LEAVE")</f>
        <v xml:space="preserve">          6119 - SICK LEAVE</v>
      </c>
      <c r="C64" s="11"/>
      <c r="D64" s="6">
        <v>280.62</v>
      </c>
      <c r="E64" s="2"/>
      <c r="F64" s="7">
        <f t="shared" si="12"/>
        <v>1.1339717605390435E-3</v>
      </c>
      <c r="G64" s="2"/>
      <c r="H64" s="6">
        <v>263.16846538461499</v>
      </c>
      <c r="I64" s="2"/>
      <c r="J64" s="7">
        <f t="shared" si="13"/>
        <v>7.9679205953832289E-4</v>
      </c>
      <c r="K64" s="2"/>
      <c r="L64" s="6">
        <f t="shared" si="14"/>
        <v>17.451534615385015</v>
      </c>
      <c r="M64" s="2"/>
      <c r="N64" s="7">
        <f t="shared" si="15"/>
        <v>6.6313167840531262E-2</v>
      </c>
      <c r="O64" s="11"/>
      <c r="P64" s="6">
        <v>4198.53</v>
      </c>
      <c r="Q64" s="2"/>
      <c r="R64" s="7">
        <f t="shared" si="16"/>
        <v>2.8620902417251588E-3</v>
      </c>
      <c r="S64" s="2"/>
      <c r="T64" s="6">
        <v>1773.6587749999981</v>
      </c>
      <c r="U64" s="2"/>
      <c r="V64" s="7">
        <f t="shared" si="17"/>
        <v>1.2325488684289331E-3</v>
      </c>
      <c r="W64" s="2"/>
      <c r="X64" s="6">
        <f t="shared" si="18"/>
        <v>2424.8712250000017</v>
      </c>
      <c r="Y64" s="2"/>
      <c r="Z64" s="7">
        <f t="shared" si="19"/>
        <v>1.3671576851077256</v>
      </c>
    </row>
    <row r="65" spans="1:26" s="24" customFormat="1" hidden="1" outlineLevel="2" x14ac:dyDescent="0.25">
      <c r="A65" s="26"/>
      <c r="B65" s="11" t="str">
        <f>CONCATENATE("          ", "6156", " - ", "EMPLOYEE MEALS")</f>
        <v xml:space="preserve">          6156 - EMPLOYEE MEALS</v>
      </c>
      <c r="C65" s="11"/>
      <c r="D65" s="6">
        <v>126.1</v>
      </c>
      <c r="E65" s="2"/>
      <c r="F65" s="7">
        <f t="shared" si="12"/>
        <v>5.0956396195557475E-4</v>
      </c>
      <c r="G65" s="2"/>
      <c r="H65" s="6"/>
      <c r="I65" s="2"/>
      <c r="J65" s="7">
        <f t="shared" si="13"/>
        <v>0</v>
      </c>
      <c r="K65" s="2"/>
      <c r="L65" s="6">
        <f t="shared" si="14"/>
        <v>126.1</v>
      </c>
      <c r="M65" s="2"/>
      <c r="N65" s="7">
        <f t="shared" si="15"/>
        <v>0</v>
      </c>
      <c r="O65" s="11"/>
      <c r="P65" s="6">
        <v>925.16</v>
      </c>
      <c r="Q65" s="2"/>
      <c r="R65" s="7">
        <f t="shared" si="16"/>
        <v>6.3067107012083944E-4</v>
      </c>
      <c r="S65" s="2"/>
      <c r="T65" s="6"/>
      <c r="U65" s="2"/>
      <c r="V65" s="7">
        <f t="shared" si="17"/>
        <v>0</v>
      </c>
      <c r="W65" s="2"/>
      <c r="X65" s="6">
        <f t="shared" si="18"/>
        <v>925.16</v>
      </c>
      <c r="Y65" s="2"/>
      <c r="Z65" s="7">
        <f t="shared" si="19"/>
        <v>0</v>
      </c>
    </row>
    <row r="66" spans="1:26" s="25" customFormat="1" outlineLevel="1" collapsed="1" x14ac:dyDescent="0.25">
      <c r="A66" s="27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18497.89</v>
      </c>
      <c r="E66" s="1"/>
      <c r="F66" s="5">
        <f t="shared" ref="F66:F76" si="20">IF(D$12=0,0,D66/D$12)</f>
        <v>7.4749073086585308E-2</v>
      </c>
      <c r="G66" s="1"/>
      <c r="H66" s="1">
        <f>SUM(OSRRefH22_1x_0)</f>
        <v>18875.277855769229</v>
      </c>
      <c r="I66" s="1"/>
      <c r="J66" s="5">
        <f t="shared" ref="J66:J76" si="21">IF(H$12=0,0,H66/H$12)</f>
        <v>5.7148456199249825E-2</v>
      </c>
      <c r="K66" s="1"/>
      <c r="L66" s="1">
        <f t="shared" ref="L66:L76" si="22">+D66-H66</f>
        <v>-377.38785576922965</v>
      </c>
      <c r="M66" s="1"/>
      <c r="N66" s="5">
        <f t="shared" ref="N66:N76" si="23">IF(H66=0,0,L66/H66)</f>
        <v>-1.9993764258886448E-2</v>
      </c>
      <c r="O66" s="13"/>
      <c r="P66" s="1">
        <f>SUM(OSRRefP22_1x_0)</f>
        <v>146846.65999999997</v>
      </c>
      <c r="Q66" s="1"/>
      <c r="R66" s="5">
        <f t="shared" ref="R66:R76" si="24">IF(P$12=0,0,P66/P$12)</f>
        <v>0.10010370120397667</v>
      </c>
      <c r="S66" s="1"/>
      <c r="T66" s="1">
        <f>SUM(OSRRefT22_1x_0)</f>
        <v>128995.68106249999</v>
      </c>
      <c r="U66" s="1"/>
      <c r="V66" s="5">
        <f t="shared" ref="V66:V76" si="25">IF(T$12=0,0,T66/T$12)</f>
        <v>8.9641526863476942E-2</v>
      </c>
      <c r="W66" s="1"/>
      <c r="X66" s="1">
        <f t="shared" ref="X66:X76" si="26">+P66-T66</f>
        <v>17850.978937499982</v>
      </c>
      <c r="Y66" s="1"/>
      <c r="Z66" s="5">
        <f t="shared" ref="Z66:Z76" si="27">IF(T66=0,0,X66/T66)</f>
        <v>0.13838431481167934</v>
      </c>
    </row>
    <row r="67" spans="1:26" s="24" customFormat="1" hidden="1" outlineLevel="2" x14ac:dyDescent="0.25">
      <c r="A67" s="26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4943.32</v>
      </c>
      <c r="E68" s="2"/>
      <c r="F68" s="7">
        <f t="shared" si="20"/>
        <v>1.9975715498923328E-2</v>
      </c>
      <c r="G68" s="2"/>
      <c r="H68" s="6">
        <v>6732.8478557692297</v>
      </c>
      <c r="I68" s="2"/>
      <c r="J68" s="7">
        <f t="shared" si="21"/>
        <v>2.038496406366995E-2</v>
      </c>
      <c r="K68" s="2"/>
      <c r="L68" s="6">
        <f t="shared" si="22"/>
        <v>-1789.52785576923</v>
      </c>
      <c r="M68" s="2"/>
      <c r="N68" s="7">
        <f t="shared" si="23"/>
        <v>-0.26579062739934378</v>
      </c>
      <c r="O68" s="11"/>
      <c r="P68" s="6">
        <v>50147.64</v>
      </c>
      <c r="Q68" s="2"/>
      <c r="R68" s="7">
        <f t="shared" si="24"/>
        <v>3.4185076941107069E-2</v>
      </c>
      <c r="S68" s="2"/>
      <c r="T68" s="6">
        <v>43763.511062500002</v>
      </c>
      <c r="U68" s="2"/>
      <c r="V68" s="7">
        <f t="shared" si="25"/>
        <v>3.0412087600424458E-2</v>
      </c>
      <c r="W68" s="2"/>
      <c r="X68" s="6">
        <f t="shared" si="26"/>
        <v>6384.1289374999978</v>
      </c>
      <c r="Y68" s="2"/>
      <c r="Z68" s="7">
        <f t="shared" si="27"/>
        <v>0.14587789650566721</v>
      </c>
    </row>
    <row r="69" spans="1:26" s="24" customFormat="1" hidden="1" outlineLevel="2" x14ac:dyDescent="0.25">
      <c r="A69" s="26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6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0"/>
        <v>0</v>
      </c>
      <c r="G70" s="2"/>
      <c r="H70" s="6">
        <v>1911.68</v>
      </c>
      <c r="I70" s="2"/>
      <c r="J70" s="7">
        <f t="shared" si="21"/>
        <v>5.7879709947469609E-3</v>
      </c>
      <c r="K70" s="2"/>
      <c r="L70" s="6">
        <f t="shared" si="22"/>
        <v>-1911.68</v>
      </c>
      <c r="M70" s="2"/>
      <c r="N70" s="7">
        <f t="shared" si="23"/>
        <v>-1</v>
      </c>
      <c r="O70" s="11"/>
      <c r="P70" s="6">
        <v>-912.61</v>
      </c>
      <c r="Q70" s="2"/>
      <c r="R70" s="7">
        <f t="shared" si="24"/>
        <v>-6.2211587758115273E-4</v>
      </c>
      <c r="S70" s="2"/>
      <c r="T70" s="6">
        <v>12425.92</v>
      </c>
      <c r="U70" s="2"/>
      <c r="V70" s="7">
        <f t="shared" si="25"/>
        <v>8.6350057018089437E-3</v>
      </c>
      <c r="W70" s="2"/>
      <c r="X70" s="6">
        <f t="shared" si="26"/>
        <v>-13338.53</v>
      </c>
      <c r="Y70" s="2"/>
      <c r="Z70" s="7">
        <f t="shared" si="27"/>
        <v>-1.0734440588704901</v>
      </c>
    </row>
    <row r="71" spans="1:26" s="24" customFormat="1" hidden="1" outlineLevel="2" x14ac:dyDescent="0.25">
      <c r="A71" s="26"/>
      <c r="B71" s="11" t="str">
        <f>CONCATENATE("          ", "6005", " - ", "TEMPORARY WAGES-HOURLY")</f>
        <v xml:space="preserve">          6005 - TEMPORARY WAGES-HOURLY</v>
      </c>
      <c r="C71" s="11"/>
      <c r="D71" s="6">
        <v>3172.1</v>
      </c>
      <c r="E71" s="2"/>
      <c r="F71" s="7">
        <f t="shared" si="20"/>
        <v>1.2818301694839641E-2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3172.1</v>
      </c>
      <c r="M71" s="2"/>
      <c r="N71" s="7">
        <f t="shared" si="23"/>
        <v>0</v>
      </c>
      <c r="O71" s="11"/>
      <c r="P71" s="6">
        <v>21833.18</v>
      </c>
      <c r="Q71" s="2"/>
      <c r="R71" s="7">
        <f t="shared" si="24"/>
        <v>1.4883430968417257E-2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21833.18</v>
      </c>
      <c r="Y71" s="2"/>
      <c r="Z71" s="7">
        <f t="shared" si="27"/>
        <v>0</v>
      </c>
    </row>
    <row r="72" spans="1:26" s="24" customFormat="1" hidden="1" outlineLevel="2" x14ac:dyDescent="0.25">
      <c r="A72" s="26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>
        <v>66.5</v>
      </c>
      <c r="Q72" s="2"/>
      <c r="R72" s="7">
        <f t="shared" si="24"/>
        <v>4.5332295130610731E-5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66.5</v>
      </c>
      <c r="Y72" s="2"/>
      <c r="Z72" s="7">
        <f t="shared" si="27"/>
        <v>0</v>
      </c>
    </row>
    <row r="73" spans="1:26" s="24" customFormat="1" hidden="1" outlineLevel="2" x14ac:dyDescent="0.25">
      <c r="A73" s="26"/>
      <c r="B73" s="11" t="str">
        <f>CONCATENATE("          ", "6007", " - ", "STUDENT HOURLY")</f>
        <v xml:space="preserve">          6007 - STUDENT HOURLY</v>
      </c>
      <c r="C73" s="11"/>
      <c r="D73" s="6">
        <v>10382.469999999999</v>
      </c>
      <c r="E73" s="2"/>
      <c r="F73" s="7">
        <f t="shared" si="20"/>
        <v>4.1955055892822335E-2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10382.469999999999</v>
      </c>
      <c r="M73" s="2"/>
      <c r="N73" s="7">
        <f t="shared" si="23"/>
        <v>0</v>
      </c>
      <c r="O73" s="11"/>
      <c r="P73" s="6">
        <v>75516.95</v>
      </c>
      <c r="Q73" s="2"/>
      <c r="R73" s="7">
        <f t="shared" si="24"/>
        <v>5.1479047590429684E-2</v>
      </c>
      <c r="S73" s="2"/>
      <c r="T73" s="6">
        <v>22511.25</v>
      </c>
      <c r="U73" s="2"/>
      <c r="V73" s="7">
        <f t="shared" si="25"/>
        <v>1.5643491355557301E-2</v>
      </c>
      <c r="W73" s="2"/>
      <c r="X73" s="6">
        <f t="shared" si="26"/>
        <v>53005.7</v>
      </c>
      <c r="Y73" s="2"/>
      <c r="Z73" s="7">
        <f t="shared" si="27"/>
        <v>2.3546315731023375</v>
      </c>
    </row>
    <row r="74" spans="1:26" s="24" customFormat="1" hidden="1" outlineLevel="2" x14ac:dyDescent="0.25">
      <c r="A74" s="26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0"/>
        <v>0</v>
      </c>
      <c r="G74" s="2"/>
      <c r="H74" s="6">
        <v>10230.75</v>
      </c>
      <c r="I74" s="2"/>
      <c r="J74" s="7">
        <f t="shared" si="21"/>
        <v>3.0975521140832917E-2</v>
      </c>
      <c r="K74" s="2"/>
      <c r="L74" s="6">
        <f t="shared" si="22"/>
        <v>-10230.75</v>
      </c>
      <c r="M74" s="2"/>
      <c r="N74" s="7">
        <f t="shared" si="23"/>
        <v>-1</v>
      </c>
      <c r="O74" s="11"/>
      <c r="P74" s="6">
        <v>195</v>
      </c>
      <c r="Q74" s="2"/>
      <c r="R74" s="7">
        <f t="shared" si="24"/>
        <v>1.3292928647321944E-4</v>
      </c>
      <c r="S74" s="2"/>
      <c r="T74" s="6">
        <v>50295</v>
      </c>
      <c r="U74" s="2"/>
      <c r="V74" s="7">
        <f t="shared" si="25"/>
        <v>3.4950942205686245E-2</v>
      </c>
      <c r="W74" s="2"/>
      <c r="X74" s="6">
        <f t="shared" si="26"/>
        <v>-50100</v>
      </c>
      <c r="Y74" s="2"/>
      <c r="Z74" s="7">
        <f t="shared" si="27"/>
        <v>-0.99612287503728003</v>
      </c>
    </row>
    <row r="75" spans="1:26" s="24" customFormat="1" hidden="1" outlineLevel="2" x14ac:dyDescent="0.25">
      <c r="A75" s="26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/>
      <c r="Q75" s="2"/>
      <c r="R75" s="7">
        <f t="shared" si="24"/>
        <v>0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0</v>
      </c>
      <c r="Y75" s="2"/>
      <c r="Z75" s="7">
        <f t="shared" si="27"/>
        <v>0</v>
      </c>
    </row>
    <row r="76" spans="1:26" s="24" customFormat="1" hidden="1" outlineLevel="2" x14ac:dyDescent="0.25">
      <c r="A76" s="26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5" customFormat="1" outlineLevel="1" collapsed="1" x14ac:dyDescent="0.25">
      <c r="A77" s="27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2187.33</v>
      </c>
      <c r="E77" s="1"/>
      <c r="F77" s="5">
        <f t="shared" ref="F77:F81" si="28">IF(D$12=0,0,D77/D$12)</f>
        <v>8.8388940595106064E-3</v>
      </c>
      <c r="G77" s="1"/>
      <c r="H77" s="1">
        <f>SUM(OSRRefH22_2x_0)</f>
        <v>1000</v>
      </c>
      <c r="I77" s="1"/>
      <c r="J77" s="5">
        <f t="shared" ref="J77:J81" si="29">IF(H$12=0,0,H77/H$12)</f>
        <v>3.0276882086682712E-3</v>
      </c>
      <c r="K77" s="1"/>
      <c r="L77" s="1">
        <f t="shared" ref="L77:L81" si="30">+D77-H77</f>
        <v>1187.33</v>
      </c>
      <c r="M77" s="1"/>
      <c r="N77" s="5">
        <f t="shared" ref="N77:N81" si="31">IF(H77=0,0,L77/H77)</f>
        <v>1.18733</v>
      </c>
      <c r="O77" s="13"/>
      <c r="P77" s="1">
        <f>SUM(OSRRefP22_2x_0)</f>
        <v>11494.64</v>
      </c>
      <c r="Q77" s="1"/>
      <c r="R77" s="5">
        <f t="shared" ref="R77:R81" si="32">IF(P$12=0,0,P77/P$12)</f>
        <v>7.8357656075206516E-3</v>
      </c>
      <c r="S77" s="1"/>
      <c r="T77" s="1">
        <f>SUM(OSRRefT22_2x_0)</f>
        <v>3100</v>
      </c>
      <c r="U77" s="1"/>
      <c r="V77" s="5">
        <f t="shared" ref="V77:V81" si="33">IF(T$12=0,0,T77/T$12)</f>
        <v>2.1542483514788218E-3</v>
      </c>
      <c r="W77" s="1"/>
      <c r="X77" s="1">
        <f t="shared" ref="X77:X81" si="34">+P77-T77</f>
        <v>8394.64</v>
      </c>
      <c r="Y77" s="1"/>
      <c r="Z77" s="5">
        <f t="shared" ref="Z77:Z81" si="35">IF(T77=0,0,X77/T77)</f>
        <v>2.7079483870967742</v>
      </c>
    </row>
    <row r="78" spans="1:26" s="24" customFormat="1" hidden="1" outlineLevel="2" x14ac:dyDescent="0.25">
      <c r="A78" s="26"/>
      <c r="B78" s="11" t="str">
        <f>CONCATENATE("          ", "6362", " - ", "ADVERTISING EXPENSE")</f>
        <v xml:space="preserve">          6362 - ADVERTISING EXPENSE</v>
      </c>
      <c r="C78" s="11"/>
      <c r="D78" s="6">
        <v>2187.33</v>
      </c>
      <c r="E78" s="2"/>
      <c r="F78" s="7">
        <f t="shared" si="28"/>
        <v>8.8388940595106064E-3</v>
      </c>
      <c r="G78" s="2"/>
      <c r="H78" s="6">
        <v>1000</v>
      </c>
      <c r="I78" s="2"/>
      <c r="J78" s="7">
        <f t="shared" si="29"/>
        <v>3.0276882086682712E-3</v>
      </c>
      <c r="K78" s="2"/>
      <c r="L78" s="6">
        <f t="shared" si="30"/>
        <v>1187.33</v>
      </c>
      <c r="M78" s="2"/>
      <c r="N78" s="7">
        <f t="shared" si="31"/>
        <v>1.18733</v>
      </c>
      <c r="O78" s="11"/>
      <c r="P78" s="6">
        <v>11494.64</v>
      </c>
      <c r="Q78" s="2"/>
      <c r="R78" s="7">
        <f t="shared" si="32"/>
        <v>7.8357656075206516E-3</v>
      </c>
      <c r="S78" s="2"/>
      <c r="T78" s="6">
        <v>3100</v>
      </c>
      <c r="U78" s="2"/>
      <c r="V78" s="7">
        <f t="shared" si="33"/>
        <v>2.1542483514788218E-3</v>
      </c>
      <c r="W78" s="2"/>
      <c r="X78" s="6">
        <f t="shared" si="34"/>
        <v>8394.64</v>
      </c>
      <c r="Y78" s="2"/>
      <c r="Z78" s="7">
        <f t="shared" si="35"/>
        <v>2.7079483870967742</v>
      </c>
    </row>
    <row r="79" spans="1:26" s="25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27822.57</v>
      </c>
      <c r="E79" s="1"/>
      <c r="F79" s="5">
        <f t="shared" si="28"/>
        <v>0.11242965107840061</v>
      </c>
      <c r="G79" s="1"/>
      <c r="H79" s="1">
        <f>SUM(OSRRefH22_3x_0)</f>
        <v>43000</v>
      </c>
      <c r="I79" s="1"/>
      <c r="J79" s="5">
        <f t="shared" si="29"/>
        <v>0.13019059297273566</v>
      </c>
      <c r="K79" s="1"/>
      <c r="L79" s="1">
        <f t="shared" si="30"/>
        <v>-15177.43</v>
      </c>
      <c r="M79" s="1"/>
      <c r="N79" s="5">
        <f t="shared" si="31"/>
        <v>-0.35296348837209301</v>
      </c>
      <c r="O79" s="13"/>
      <c r="P79" s="1">
        <f>SUM(OSRRefP22_3x_0)</f>
        <v>130678.95999999999</v>
      </c>
      <c r="Q79" s="1"/>
      <c r="R79" s="5">
        <f t="shared" si="32"/>
        <v>8.9082363640319906E-2</v>
      </c>
      <c r="S79" s="1"/>
      <c r="T79" s="1">
        <f>SUM(OSRRefT22_3x_0)</f>
        <v>132000</v>
      </c>
      <c r="U79" s="1"/>
      <c r="V79" s="5">
        <f t="shared" si="33"/>
        <v>9.1729284643614351E-2</v>
      </c>
      <c r="W79" s="1"/>
      <c r="X79" s="1">
        <f t="shared" si="34"/>
        <v>-1321.0400000000081</v>
      </c>
      <c r="Y79" s="1"/>
      <c r="Z79" s="5">
        <f t="shared" si="35"/>
        <v>-1.000787878787885E-2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27834.489999999998</v>
      </c>
      <c r="E80" s="2"/>
      <c r="F80" s="7">
        <f t="shared" si="28"/>
        <v>0.1124778192181826</v>
      </c>
      <c r="G80" s="2"/>
      <c r="H80" s="6">
        <v>43000</v>
      </c>
      <c r="I80" s="2"/>
      <c r="J80" s="7">
        <f t="shared" si="29"/>
        <v>0.13019059297273566</v>
      </c>
      <c r="K80" s="2"/>
      <c r="L80" s="6">
        <f t="shared" si="30"/>
        <v>-15165.510000000002</v>
      </c>
      <c r="M80" s="2"/>
      <c r="N80" s="7">
        <f t="shared" si="31"/>
        <v>-0.35268627906976752</v>
      </c>
      <c r="O80" s="11"/>
      <c r="P80" s="6">
        <v>130698.34999999999</v>
      </c>
      <c r="Q80" s="2"/>
      <c r="R80" s="7">
        <f t="shared" si="32"/>
        <v>8.9095581583215885E-2</v>
      </c>
      <c r="S80" s="2"/>
      <c r="T80" s="6">
        <v>132000</v>
      </c>
      <c r="U80" s="2"/>
      <c r="V80" s="7">
        <f t="shared" si="33"/>
        <v>9.1729284643614351E-2</v>
      </c>
      <c r="W80" s="2"/>
      <c r="X80" s="6">
        <f t="shared" si="34"/>
        <v>-1301.6500000000087</v>
      </c>
      <c r="Y80" s="2"/>
      <c r="Z80" s="7">
        <f t="shared" si="35"/>
        <v>-9.860984848484914E-3</v>
      </c>
    </row>
    <row r="81" spans="1:26" s="24" customFormat="1" hidden="1" outlineLevel="2" x14ac:dyDescent="0.25">
      <c r="A81" s="26"/>
      <c r="B81" s="11" t="str">
        <f>CONCATENATE("          ", "9175", " - ", "EARNED DISCOUNTS")</f>
        <v xml:space="preserve">          9175 - EARNED DISCOUNTS</v>
      </c>
      <c r="C81" s="11"/>
      <c r="D81" s="6">
        <v>-11.92</v>
      </c>
      <c r="E81" s="2"/>
      <c r="F81" s="7">
        <f t="shared" si="28"/>
        <v>-4.8168139782001997E-5</v>
      </c>
      <c r="G81" s="2"/>
      <c r="H81" s="6"/>
      <c r="I81" s="2"/>
      <c r="J81" s="7">
        <f t="shared" si="29"/>
        <v>0</v>
      </c>
      <c r="K81" s="2"/>
      <c r="L81" s="6">
        <f t="shared" si="30"/>
        <v>-11.92</v>
      </c>
      <c r="M81" s="2"/>
      <c r="N81" s="7">
        <f t="shared" si="31"/>
        <v>0</v>
      </c>
      <c r="O81" s="11"/>
      <c r="P81" s="6">
        <v>-19.39</v>
      </c>
      <c r="Q81" s="2"/>
      <c r="R81" s="7">
        <f t="shared" si="32"/>
        <v>-1.3217942895978076E-5</v>
      </c>
      <c r="S81" s="2"/>
      <c r="T81" s="6"/>
      <c r="U81" s="2"/>
      <c r="V81" s="7">
        <f t="shared" si="33"/>
        <v>0</v>
      </c>
      <c r="W81" s="2"/>
      <c r="X81" s="6">
        <f t="shared" si="34"/>
        <v>-19.39</v>
      </c>
      <c r="Y81" s="2"/>
      <c r="Z81" s="7">
        <f t="shared" si="35"/>
        <v>0</v>
      </c>
    </row>
    <row r="82" spans="1:26" s="25" customFormat="1" outlineLevel="1" collapsed="1" x14ac:dyDescent="0.25">
      <c r="A82" s="27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86" si="36">IF(D$12=0,0,D82/D$12)</f>
        <v>0</v>
      </c>
      <c r="G82" s="1"/>
      <c r="H82" s="1">
        <f>SUM(OSRRefH22_4x_0)</f>
        <v>225</v>
      </c>
      <c r="I82" s="1"/>
      <c r="J82" s="5">
        <f t="shared" ref="J82:J86" si="37">IF(H$12=0,0,H82/H$12)</f>
        <v>6.8122984695036107E-4</v>
      </c>
      <c r="K82" s="1"/>
      <c r="L82" s="1">
        <f t="shared" ref="L82:L86" si="38">+D82-H82</f>
        <v>-225</v>
      </c>
      <c r="M82" s="1"/>
      <c r="N82" s="5">
        <f t="shared" ref="N82:N86" si="39">IF(H82=0,0,L82/H82)</f>
        <v>-1</v>
      </c>
      <c r="O82" s="13"/>
      <c r="P82" s="1">
        <f>SUM(OSRRefP22_4x_0)</f>
        <v>209.48</v>
      </c>
      <c r="Q82" s="1"/>
      <c r="R82" s="5">
        <f t="shared" ref="R82:R86" si="40">IF(P$12=0,0,P82/P$12)</f>
        <v>1.428001381046667E-4</v>
      </c>
      <c r="S82" s="1"/>
      <c r="T82" s="1">
        <f>SUM(OSRRefT22_4x_0)</f>
        <v>975</v>
      </c>
      <c r="U82" s="1"/>
      <c r="V82" s="5">
        <f t="shared" ref="V82:V86" si="41">IF(T$12=0,0,T82/T$12)</f>
        <v>6.7754585248124238E-4</v>
      </c>
      <c r="W82" s="1"/>
      <c r="X82" s="1">
        <f t="shared" ref="X82:X86" si="42">+P82-T82</f>
        <v>-765.52</v>
      </c>
      <c r="Y82" s="1"/>
      <c r="Z82" s="5">
        <f t="shared" ref="Z82:Z86" si="43">IF(T82=0,0,X82/T82)</f>
        <v>-0.78514871794871788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6"/>
        <v>0</v>
      </c>
      <c r="G83" s="2"/>
      <c r="H83" s="6">
        <v>225</v>
      </c>
      <c r="I83" s="2"/>
      <c r="J83" s="7">
        <f t="shared" si="37"/>
        <v>6.8122984695036107E-4</v>
      </c>
      <c r="K83" s="2"/>
      <c r="L83" s="6">
        <f t="shared" si="38"/>
        <v>-225</v>
      </c>
      <c r="M83" s="2"/>
      <c r="N83" s="7">
        <f t="shared" si="39"/>
        <v>-1</v>
      </c>
      <c r="O83" s="11"/>
      <c r="P83" s="6">
        <v>209.48</v>
      </c>
      <c r="Q83" s="2"/>
      <c r="R83" s="7">
        <f t="shared" si="40"/>
        <v>1.428001381046667E-4</v>
      </c>
      <c r="S83" s="2"/>
      <c r="T83" s="6">
        <v>975</v>
      </c>
      <c r="U83" s="2"/>
      <c r="V83" s="7">
        <f t="shared" si="41"/>
        <v>6.7754585248124238E-4</v>
      </c>
      <c r="W83" s="2"/>
      <c r="X83" s="6">
        <f t="shared" si="42"/>
        <v>-765.52</v>
      </c>
      <c r="Y83" s="2"/>
      <c r="Z83" s="7">
        <f t="shared" si="43"/>
        <v>-0.78514871794871788</v>
      </c>
    </row>
    <row r="84" spans="1:26" s="25" customFormat="1" outlineLevel="1" collapsed="1" x14ac:dyDescent="0.25">
      <c r="A84" s="27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0</v>
      </c>
      <c r="E84" s="1"/>
      <c r="F84" s="5">
        <f t="shared" si="36"/>
        <v>0</v>
      </c>
      <c r="G84" s="1"/>
      <c r="H84" s="1">
        <f>SUM(OSRRefH22_5x_0)</f>
        <v>50</v>
      </c>
      <c r="I84" s="1"/>
      <c r="J84" s="5">
        <f t="shared" si="37"/>
        <v>1.5138441043341356E-4</v>
      </c>
      <c r="K84" s="1"/>
      <c r="L84" s="1">
        <f t="shared" si="38"/>
        <v>-50</v>
      </c>
      <c r="M84" s="1"/>
      <c r="N84" s="5">
        <f t="shared" si="39"/>
        <v>-1</v>
      </c>
      <c r="O84" s="13"/>
      <c r="P84" s="1">
        <f>SUM(OSRRefP22_5x_0)</f>
        <v>70.5</v>
      </c>
      <c r="Q84" s="1"/>
      <c r="R84" s="5">
        <f t="shared" si="40"/>
        <v>4.8059049724933184E-5</v>
      </c>
      <c r="S84" s="1"/>
      <c r="T84" s="1">
        <f>SUM(OSRRefT22_5x_0)</f>
        <v>300</v>
      </c>
      <c r="U84" s="1"/>
      <c r="V84" s="5">
        <f t="shared" si="41"/>
        <v>2.0847564691730535E-4</v>
      </c>
      <c r="W84" s="1"/>
      <c r="X84" s="1">
        <f t="shared" si="42"/>
        <v>-229.5</v>
      </c>
      <c r="Y84" s="1"/>
      <c r="Z84" s="5">
        <f t="shared" si="43"/>
        <v>-0.76500000000000001</v>
      </c>
    </row>
    <row r="85" spans="1:26" s="24" customFormat="1" hidden="1" outlineLevel="2" x14ac:dyDescent="0.25">
      <c r="A85" s="26"/>
      <c r="B85" s="11" t="str">
        <f>CONCATENATE("          ", "6305", " - ", "FREIGHT OUT")</f>
        <v xml:space="preserve">          6305 - FREIGHT OUT</v>
      </c>
      <c r="C85" s="11"/>
      <c r="D85" s="6"/>
      <c r="E85" s="2"/>
      <c r="F85" s="7">
        <f t="shared" si="36"/>
        <v>0</v>
      </c>
      <c r="G85" s="2"/>
      <c r="H85" s="6">
        <v>50</v>
      </c>
      <c r="I85" s="2"/>
      <c r="J85" s="7">
        <f t="shared" si="37"/>
        <v>1.5138441043341356E-4</v>
      </c>
      <c r="K85" s="2"/>
      <c r="L85" s="6">
        <f t="shared" si="38"/>
        <v>-50</v>
      </c>
      <c r="M85" s="2"/>
      <c r="N85" s="7">
        <f t="shared" si="39"/>
        <v>-1</v>
      </c>
      <c r="O85" s="11"/>
      <c r="P85" s="6">
        <v>70</v>
      </c>
      <c r="Q85" s="2"/>
      <c r="R85" s="7">
        <f t="shared" si="40"/>
        <v>4.7718205400642878E-5</v>
      </c>
      <c r="S85" s="2"/>
      <c r="T85" s="6">
        <v>300</v>
      </c>
      <c r="U85" s="2"/>
      <c r="V85" s="7">
        <f t="shared" si="41"/>
        <v>2.0847564691730535E-4</v>
      </c>
      <c r="W85" s="2"/>
      <c r="X85" s="6">
        <f t="shared" si="42"/>
        <v>-230</v>
      </c>
      <c r="Y85" s="2"/>
      <c r="Z85" s="7">
        <f t="shared" si="43"/>
        <v>-0.76666666666666672</v>
      </c>
    </row>
    <row r="86" spans="1:26" s="24" customFormat="1" hidden="1" outlineLevel="2" x14ac:dyDescent="0.25">
      <c r="A86" s="26"/>
      <c r="B86" s="11" t="str">
        <f>CONCATENATE("          ", "6307", " - ", "POSTAGE")</f>
        <v xml:space="preserve">          6307 - POSTAGE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0.5</v>
      </c>
      <c r="Q86" s="2"/>
      <c r="R86" s="7">
        <f t="shared" si="40"/>
        <v>3.4084432429030624E-7</v>
      </c>
      <c r="S86" s="2"/>
      <c r="T86" s="6"/>
      <c r="U86" s="2"/>
      <c r="V86" s="7">
        <f t="shared" si="41"/>
        <v>0</v>
      </c>
      <c r="W86" s="2"/>
      <c r="X86" s="6">
        <f t="shared" si="42"/>
        <v>0.5</v>
      </c>
      <c r="Y86" s="2"/>
      <c r="Z86" s="7">
        <f t="shared" si="43"/>
        <v>0</v>
      </c>
    </row>
    <row r="87" spans="1:26" s="25" customFormat="1" outlineLevel="1" collapsed="1" x14ac:dyDescent="0.25">
      <c r="A87" s="27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ref="F87:F98" si="44">IF(D$12=0,0,D87/D$12)</f>
        <v>0</v>
      </c>
      <c r="G87" s="1"/>
      <c r="H87" s="1">
        <f>SUM(OSRRefH22_6x_0)</f>
        <v>0</v>
      </c>
      <c r="I87" s="1"/>
      <c r="J87" s="5">
        <f t="shared" ref="J87:J98" si="45">IF(H$12=0,0,H87/H$12)</f>
        <v>0</v>
      </c>
      <c r="K87" s="1"/>
      <c r="L87" s="1">
        <f t="shared" ref="L87:L98" si="46">+D87-H87</f>
        <v>0</v>
      </c>
      <c r="M87" s="1"/>
      <c r="N87" s="5">
        <f t="shared" ref="N87:N98" si="47">IF(H87=0,0,L87/H87)</f>
        <v>0</v>
      </c>
      <c r="O87" s="13"/>
      <c r="P87" s="1">
        <f>SUM(OSRRefP22_6x_0)</f>
        <v>0</v>
      </c>
      <c r="Q87" s="1"/>
      <c r="R87" s="5">
        <f t="shared" ref="R87:R98" si="48">IF(P$12=0,0,P87/P$12)</f>
        <v>0</v>
      </c>
      <c r="S87" s="1"/>
      <c r="T87" s="1">
        <f>SUM(OSRRefT22_6x_0)</f>
        <v>0</v>
      </c>
      <c r="U87" s="1"/>
      <c r="V87" s="5">
        <f t="shared" ref="V87:V98" si="49">IF(T$12=0,0,T87/T$12)</f>
        <v>0</v>
      </c>
      <c r="W87" s="1"/>
      <c r="X87" s="1">
        <f t="shared" ref="X87:X98" si="50">+P87-T87</f>
        <v>0</v>
      </c>
      <c r="Y87" s="1"/>
      <c r="Z87" s="5">
        <f t="shared" ref="Z87:Z98" si="51">IF(T87=0,0,X87/T87)</f>
        <v>0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44"/>
        <v>0</v>
      </c>
      <c r="G88" s="2"/>
      <c r="H88" s="6">
        <v>0</v>
      </c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/>
      <c r="Q88" s="2"/>
      <c r="R88" s="7">
        <f t="shared" si="48"/>
        <v>0</v>
      </c>
      <c r="S88" s="2"/>
      <c r="T88" s="6">
        <v>0</v>
      </c>
      <c r="U88" s="2"/>
      <c r="V88" s="7">
        <f t="shared" si="49"/>
        <v>0</v>
      </c>
      <c r="W88" s="2"/>
      <c r="X88" s="6">
        <f t="shared" si="50"/>
        <v>0</v>
      </c>
      <c r="Y88" s="2"/>
      <c r="Z88" s="7">
        <f t="shared" si="51"/>
        <v>0</v>
      </c>
    </row>
    <row r="89" spans="1:26" s="25" customFormat="1" outlineLevel="1" collapsed="1" x14ac:dyDescent="0.25">
      <c r="A89" s="27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SUM(OSRRefD22_7x_0)</f>
        <v>2850</v>
      </c>
      <c r="E89" s="1"/>
      <c r="F89" s="5">
        <f t="shared" si="44"/>
        <v>1.1516711273381349E-2</v>
      </c>
      <c r="G89" s="1"/>
      <c r="H89" s="1">
        <f>SUM(OSRRefH22_7x_0)</f>
        <v>2850</v>
      </c>
      <c r="I89" s="1"/>
      <c r="J89" s="5">
        <f t="shared" si="45"/>
        <v>8.6289113947045741E-3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SUM(OSRRefP22_7x_0)</f>
        <v>17100</v>
      </c>
      <c r="Q89" s="1"/>
      <c r="R89" s="5">
        <f t="shared" si="48"/>
        <v>1.1656875890728474E-2</v>
      </c>
      <c r="S89" s="1"/>
      <c r="T89" s="1">
        <f>SUM(OSRRefT22_7x_0)</f>
        <v>17100</v>
      </c>
      <c r="U89" s="1"/>
      <c r="V89" s="5">
        <f t="shared" si="49"/>
        <v>1.1883111874286405E-2</v>
      </c>
      <c r="W89" s="1"/>
      <c r="X89" s="1">
        <f t="shared" si="50"/>
        <v>0</v>
      </c>
      <c r="Y89" s="1"/>
      <c r="Z89" s="5">
        <f t="shared" si="51"/>
        <v>0</v>
      </c>
    </row>
    <row r="90" spans="1:26" s="24" customFormat="1" hidden="1" outlineLevel="2" x14ac:dyDescent="0.25">
      <c r="A90" s="26"/>
      <c r="B90" s="11" t="str">
        <f>CONCATENATE("          ", "6408", " - ", "INVENTORY ADJUSTMENT")</f>
        <v xml:space="preserve">          6408 - INVENTORY ADJUSTMENT</v>
      </c>
      <c r="C90" s="11"/>
      <c r="D90" s="6">
        <v>2850</v>
      </c>
      <c r="E90" s="2"/>
      <c r="F90" s="7">
        <f t="shared" si="44"/>
        <v>1.1516711273381349E-2</v>
      </c>
      <c r="G90" s="2"/>
      <c r="H90" s="6">
        <v>2850</v>
      </c>
      <c r="I90" s="2"/>
      <c r="J90" s="7">
        <f t="shared" si="45"/>
        <v>8.6289113947045741E-3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17100</v>
      </c>
      <c r="Q90" s="2"/>
      <c r="R90" s="7">
        <f t="shared" si="48"/>
        <v>1.1656875890728474E-2</v>
      </c>
      <c r="S90" s="2"/>
      <c r="T90" s="6">
        <v>17100</v>
      </c>
      <c r="U90" s="2"/>
      <c r="V90" s="7">
        <f t="shared" si="49"/>
        <v>1.1883111874286405E-2</v>
      </c>
      <c r="W90" s="2"/>
      <c r="X90" s="6">
        <f t="shared" si="50"/>
        <v>0</v>
      </c>
      <c r="Y90" s="2"/>
      <c r="Z90" s="7">
        <f t="shared" si="51"/>
        <v>0</v>
      </c>
    </row>
    <row r="91" spans="1:26" s="25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SUM(OSRRefD22_8x_0)</f>
        <v>0</v>
      </c>
      <c r="E91" s="1"/>
      <c r="F91" s="5">
        <f t="shared" si="44"/>
        <v>0</v>
      </c>
      <c r="G91" s="1"/>
      <c r="H91" s="1">
        <f>SUM(OSRRefH22_8x_0)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SUM(OSRRefP22_8x_0)</f>
        <v>0</v>
      </c>
      <c r="Q91" s="1"/>
      <c r="R91" s="5">
        <f t="shared" si="48"/>
        <v>0</v>
      </c>
      <c r="S91" s="1"/>
      <c r="T91" s="1">
        <f>SUM(OSRRefT22_8x_0)</f>
        <v>1750</v>
      </c>
      <c r="U91" s="1"/>
      <c r="V91" s="5">
        <f t="shared" si="49"/>
        <v>1.2161079403509478E-3</v>
      </c>
      <c r="W91" s="1"/>
      <c r="X91" s="1">
        <f t="shared" si="50"/>
        <v>-1750</v>
      </c>
      <c r="Y91" s="1"/>
      <c r="Z91" s="5">
        <f t="shared" si="51"/>
        <v>-1</v>
      </c>
    </row>
    <row r="92" spans="1:26" s="24" customFormat="1" hidden="1" outlineLevel="2" x14ac:dyDescent="0.25">
      <c r="A92" s="26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44"/>
        <v>0</v>
      </c>
      <c r="G92" s="2"/>
      <c r="H92" s="6">
        <v>0</v>
      </c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1750</v>
      </c>
      <c r="U92" s="2"/>
      <c r="V92" s="7">
        <f t="shared" si="49"/>
        <v>1.2161079403509478E-3</v>
      </c>
      <c r="W92" s="2"/>
      <c r="X92" s="6">
        <f t="shared" si="50"/>
        <v>-1750</v>
      </c>
      <c r="Y92" s="2"/>
      <c r="Z92" s="7">
        <f t="shared" si="51"/>
        <v>-1</v>
      </c>
    </row>
    <row r="93" spans="1:26" s="25" customFormat="1" outlineLevel="1" collapsed="1" x14ac:dyDescent="0.25">
      <c r="A93" s="27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0</v>
      </c>
      <c r="E93" s="1"/>
      <c r="F93" s="5">
        <f t="shared" si="44"/>
        <v>0</v>
      </c>
      <c r="G93" s="1"/>
      <c r="H93" s="1">
        <f>SUM(OSRRefH22_9x_0)</f>
        <v>50</v>
      </c>
      <c r="I93" s="1"/>
      <c r="J93" s="5">
        <f t="shared" si="45"/>
        <v>1.5138441043341356E-4</v>
      </c>
      <c r="K93" s="1"/>
      <c r="L93" s="1">
        <f t="shared" si="46"/>
        <v>-50</v>
      </c>
      <c r="M93" s="1"/>
      <c r="N93" s="5">
        <f t="shared" si="47"/>
        <v>-1</v>
      </c>
      <c r="O93" s="13"/>
      <c r="P93" s="1">
        <f>SUM(OSRRefP22_9x_0)</f>
        <v>0</v>
      </c>
      <c r="Q93" s="1"/>
      <c r="R93" s="5">
        <f t="shared" si="48"/>
        <v>0</v>
      </c>
      <c r="S93" s="1"/>
      <c r="T93" s="1">
        <f>SUM(OSRRefT22_9x_0)</f>
        <v>300</v>
      </c>
      <c r="U93" s="1"/>
      <c r="V93" s="5">
        <f t="shared" si="49"/>
        <v>2.0847564691730535E-4</v>
      </c>
      <c r="W93" s="1"/>
      <c r="X93" s="1">
        <f t="shared" si="50"/>
        <v>-300</v>
      </c>
      <c r="Y93" s="1"/>
      <c r="Z93" s="5">
        <f t="shared" si="51"/>
        <v>-1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4"/>
        <v>0</v>
      </c>
      <c r="G94" s="2"/>
      <c r="H94" s="6">
        <v>50</v>
      </c>
      <c r="I94" s="2"/>
      <c r="J94" s="7">
        <f t="shared" si="45"/>
        <v>1.5138441043341356E-4</v>
      </c>
      <c r="K94" s="2"/>
      <c r="L94" s="6">
        <f t="shared" si="46"/>
        <v>-50</v>
      </c>
      <c r="M94" s="2"/>
      <c r="N94" s="7">
        <f t="shared" si="47"/>
        <v>-1</v>
      </c>
      <c r="O94" s="11"/>
      <c r="P94" s="6"/>
      <c r="Q94" s="2"/>
      <c r="R94" s="7">
        <f t="shared" si="48"/>
        <v>0</v>
      </c>
      <c r="S94" s="2"/>
      <c r="T94" s="6">
        <v>300</v>
      </c>
      <c r="U94" s="2"/>
      <c r="V94" s="7">
        <f t="shared" si="49"/>
        <v>2.0847564691730535E-4</v>
      </c>
      <c r="W94" s="2"/>
      <c r="X94" s="6">
        <f t="shared" si="50"/>
        <v>-300</v>
      </c>
      <c r="Y94" s="2"/>
      <c r="Z94" s="7">
        <f t="shared" si="51"/>
        <v>-1</v>
      </c>
    </row>
    <row r="95" spans="1:26" s="25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SUM(OSRRefD22_10x_0)</f>
        <v>262.72000000000003</v>
      </c>
      <c r="E95" s="1"/>
      <c r="F95" s="5">
        <f t="shared" si="44"/>
        <v>1.0616387318395609E-3</v>
      </c>
      <c r="G95" s="1"/>
      <c r="H95" s="1">
        <f>SUM(OSRRefH22_10x_0)</f>
        <v>5485</v>
      </c>
      <c r="I95" s="1"/>
      <c r="J95" s="5">
        <f t="shared" si="45"/>
        <v>1.660686982454547E-2</v>
      </c>
      <c r="K95" s="1"/>
      <c r="L95" s="1">
        <f t="shared" si="46"/>
        <v>-5222.28</v>
      </c>
      <c r="M95" s="1"/>
      <c r="N95" s="5">
        <f t="shared" si="47"/>
        <v>-0.95210209662716494</v>
      </c>
      <c r="O95" s="13"/>
      <c r="P95" s="1">
        <f>SUM(OSRRefP22_10x_0)</f>
        <v>6930.79</v>
      </c>
      <c r="Q95" s="1"/>
      <c r="R95" s="5">
        <f t="shared" si="48"/>
        <v>4.7246408686960235E-3</v>
      </c>
      <c r="S95" s="1"/>
      <c r="T95" s="1">
        <f>SUM(OSRRefT22_10x_0)</f>
        <v>32910</v>
      </c>
      <c r="U95" s="1"/>
      <c r="V95" s="5">
        <f t="shared" si="49"/>
        <v>2.2869778466828396E-2</v>
      </c>
      <c r="W95" s="1"/>
      <c r="X95" s="1">
        <f t="shared" si="50"/>
        <v>-25979.21</v>
      </c>
      <c r="Y95" s="1"/>
      <c r="Z95" s="5">
        <f t="shared" si="51"/>
        <v>-0.78940170161045276</v>
      </c>
    </row>
    <row r="96" spans="1:26" s="24" customFormat="1" hidden="1" outlineLevel="2" x14ac:dyDescent="0.25">
      <c r="A96" s="26"/>
      <c r="B96" s="11" t="str">
        <f>CONCATENATE("          ", "6252", " - ", "ROYALTY DUE CSTV")</f>
        <v xml:space="preserve">          6252 - ROYALTY DUE CSTV</v>
      </c>
      <c r="C96" s="11"/>
      <c r="D96" s="6"/>
      <c r="E96" s="2"/>
      <c r="F96" s="7">
        <f t="shared" si="44"/>
        <v>0</v>
      </c>
      <c r="G96" s="2"/>
      <c r="H96" s="6">
        <v>1085</v>
      </c>
      <c r="I96" s="2"/>
      <c r="J96" s="7">
        <f t="shared" si="45"/>
        <v>3.2850417064050745E-3</v>
      </c>
      <c r="K96" s="2"/>
      <c r="L96" s="6">
        <f t="shared" si="46"/>
        <v>-1085</v>
      </c>
      <c r="M96" s="2"/>
      <c r="N96" s="7">
        <f t="shared" si="47"/>
        <v>-1</v>
      </c>
      <c r="O96" s="11"/>
      <c r="P96" s="6"/>
      <c r="Q96" s="2"/>
      <c r="R96" s="7">
        <f t="shared" si="48"/>
        <v>0</v>
      </c>
      <c r="S96" s="2"/>
      <c r="T96" s="6">
        <v>6510</v>
      </c>
      <c r="U96" s="2"/>
      <c r="V96" s="7">
        <f t="shared" si="49"/>
        <v>4.5239215381055265E-3</v>
      </c>
      <c r="W96" s="2"/>
      <c r="X96" s="6">
        <f t="shared" si="50"/>
        <v>-6510</v>
      </c>
      <c r="Y96" s="2"/>
      <c r="Z96" s="7">
        <f t="shared" si="51"/>
        <v>-1</v>
      </c>
    </row>
    <row r="97" spans="1:26" s="24" customFormat="1" hidden="1" outlineLevel="2" x14ac:dyDescent="0.25">
      <c r="A97" s="26"/>
      <c r="B97" s="11" t="str">
        <f>CONCATENATE("          ", "6253", " - ", "ROYALTY DUE ATHLETICS-LRG")</f>
        <v xml:space="preserve">          6253 - ROYALTY DUE ATHLETICS-LRG</v>
      </c>
      <c r="C97" s="11"/>
      <c r="D97" s="6"/>
      <c r="E97" s="2"/>
      <c r="F97" s="7">
        <f t="shared" si="44"/>
        <v>0</v>
      </c>
      <c r="G97" s="2"/>
      <c r="H97" s="6">
        <v>3700</v>
      </c>
      <c r="I97" s="2"/>
      <c r="J97" s="7">
        <f t="shared" si="45"/>
        <v>1.1202446372072603E-2</v>
      </c>
      <c r="K97" s="2"/>
      <c r="L97" s="6">
        <f t="shared" si="46"/>
        <v>-3700</v>
      </c>
      <c r="M97" s="2"/>
      <c r="N97" s="7">
        <f t="shared" si="47"/>
        <v>-1</v>
      </c>
      <c r="O97" s="11"/>
      <c r="P97" s="6">
        <v>4366.95</v>
      </c>
      <c r="Q97" s="2"/>
      <c r="R97" s="7">
        <f t="shared" si="48"/>
        <v>2.9769002439191056E-3</v>
      </c>
      <c r="S97" s="2"/>
      <c r="T97" s="6">
        <v>22200</v>
      </c>
      <c r="U97" s="2"/>
      <c r="V97" s="7">
        <f t="shared" si="49"/>
        <v>1.5427197871880596E-2</v>
      </c>
      <c r="W97" s="2"/>
      <c r="X97" s="6">
        <f t="shared" si="50"/>
        <v>-17833.05</v>
      </c>
      <c r="Y97" s="2"/>
      <c r="Z97" s="7">
        <f t="shared" si="51"/>
        <v>-0.8032905405405405</v>
      </c>
    </row>
    <row r="98" spans="1:26" s="24" customFormat="1" hidden="1" outlineLevel="2" x14ac:dyDescent="0.25">
      <c r="A98" s="26"/>
      <c r="B98" s="11" t="str">
        <f>CONCATENATE("          ", "6254", " - ", "ROYALTY &amp; COMMISSIONS")</f>
        <v xml:space="preserve">          6254 - ROYALTY &amp; COMMISSIONS</v>
      </c>
      <c r="C98" s="11"/>
      <c r="D98" s="6">
        <v>262.72000000000003</v>
      </c>
      <c r="E98" s="2"/>
      <c r="F98" s="7">
        <f t="shared" si="44"/>
        <v>1.0616387318395609E-3</v>
      </c>
      <c r="G98" s="2"/>
      <c r="H98" s="6">
        <v>700</v>
      </c>
      <c r="I98" s="2"/>
      <c r="J98" s="7">
        <f t="shared" si="45"/>
        <v>2.1193817460677901E-3</v>
      </c>
      <c r="K98" s="2"/>
      <c r="L98" s="6">
        <f t="shared" si="46"/>
        <v>-437.28</v>
      </c>
      <c r="M98" s="2"/>
      <c r="N98" s="7">
        <f t="shared" si="47"/>
        <v>-0.62468571428571429</v>
      </c>
      <c r="O98" s="11"/>
      <c r="P98" s="6">
        <v>2563.84</v>
      </c>
      <c r="Q98" s="2"/>
      <c r="R98" s="7">
        <f t="shared" si="48"/>
        <v>1.7477406247769177E-3</v>
      </c>
      <c r="S98" s="2"/>
      <c r="T98" s="6">
        <v>4200</v>
      </c>
      <c r="U98" s="2"/>
      <c r="V98" s="7">
        <f t="shared" si="49"/>
        <v>2.9186590568422749E-3</v>
      </c>
      <c r="W98" s="2"/>
      <c r="X98" s="6">
        <f t="shared" si="50"/>
        <v>-1636.1599999999999</v>
      </c>
      <c r="Y98" s="2"/>
      <c r="Z98" s="7">
        <f t="shared" si="51"/>
        <v>-0.38956190476190472</v>
      </c>
    </row>
    <row r="99" spans="1:26" s="25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SUM(OSRRefD22_11x_0)</f>
        <v>0</v>
      </c>
      <c r="E99" s="1"/>
      <c r="F99" s="5">
        <f t="shared" ref="F99:F101" si="52">IF(D$12=0,0,D99/D$12)</f>
        <v>0</v>
      </c>
      <c r="G99" s="1"/>
      <c r="H99" s="1">
        <f>SUM(OSRRefH22_11x_0)</f>
        <v>50</v>
      </c>
      <c r="I99" s="1"/>
      <c r="J99" s="5">
        <f t="shared" ref="J99:J101" si="53">IF(H$12=0,0,H99/H$12)</f>
        <v>1.5138441043341356E-4</v>
      </c>
      <c r="K99" s="1"/>
      <c r="L99" s="1">
        <f t="shared" ref="L99:L101" si="54">+D99-H99</f>
        <v>-50</v>
      </c>
      <c r="M99" s="1"/>
      <c r="N99" s="5">
        <f t="shared" ref="N99:N101" si="55">IF(H99=0,0,L99/H99)</f>
        <v>-1</v>
      </c>
      <c r="O99" s="13"/>
      <c r="P99" s="1">
        <f>SUM(OSRRefP22_11x_0)</f>
        <v>296.64</v>
      </c>
      <c r="Q99" s="1"/>
      <c r="R99" s="5">
        <f t="shared" ref="R99:R101" si="56">IF(P$12=0,0,P99/P$12)</f>
        <v>2.0221612071495289E-4</v>
      </c>
      <c r="S99" s="1"/>
      <c r="T99" s="1">
        <f>SUM(OSRRefT22_11x_0)</f>
        <v>2150</v>
      </c>
      <c r="U99" s="1"/>
      <c r="V99" s="5">
        <f t="shared" ref="V99:V101" si="57">IF(T$12=0,0,T99/T$12)</f>
        <v>1.4940754695740217E-3</v>
      </c>
      <c r="W99" s="1"/>
      <c r="X99" s="1">
        <f t="shared" ref="X99:X101" si="58">+P99-T99</f>
        <v>-1853.3600000000001</v>
      </c>
      <c r="Y99" s="1"/>
      <c r="Z99" s="5">
        <f t="shared" ref="Z99:Z101" si="59">IF(T99=0,0,X99/T99)</f>
        <v>-0.86202790697674425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6"/>
      <c r="E100" s="2"/>
      <c r="F100" s="7">
        <f t="shared" si="52"/>
        <v>0</v>
      </c>
      <c r="G100" s="2"/>
      <c r="H100" s="6">
        <v>0</v>
      </c>
      <c r="I100" s="2"/>
      <c r="J100" s="7">
        <f t="shared" si="53"/>
        <v>0</v>
      </c>
      <c r="K100" s="2"/>
      <c r="L100" s="6">
        <f t="shared" si="54"/>
        <v>0</v>
      </c>
      <c r="M100" s="2"/>
      <c r="N100" s="7">
        <f t="shared" si="55"/>
        <v>0</v>
      </c>
      <c r="O100" s="11"/>
      <c r="P100" s="6"/>
      <c r="Q100" s="2"/>
      <c r="R100" s="7">
        <f t="shared" si="56"/>
        <v>0</v>
      </c>
      <c r="S100" s="2"/>
      <c r="T100" s="6">
        <v>1000</v>
      </c>
      <c r="U100" s="2"/>
      <c r="V100" s="7">
        <f t="shared" si="57"/>
        <v>6.949188230576845E-4</v>
      </c>
      <c r="W100" s="2"/>
      <c r="X100" s="6">
        <f t="shared" si="58"/>
        <v>-1000</v>
      </c>
      <c r="Y100" s="2"/>
      <c r="Z100" s="7">
        <f t="shared" si="59"/>
        <v>-1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6"/>
      <c r="E101" s="2"/>
      <c r="F101" s="7">
        <f t="shared" si="52"/>
        <v>0</v>
      </c>
      <c r="G101" s="2"/>
      <c r="H101" s="6">
        <v>50</v>
      </c>
      <c r="I101" s="2"/>
      <c r="J101" s="7">
        <f t="shared" si="53"/>
        <v>1.5138441043341356E-4</v>
      </c>
      <c r="K101" s="2"/>
      <c r="L101" s="6">
        <f t="shared" si="54"/>
        <v>-50</v>
      </c>
      <c r="M101" s="2"/>
      <c r="N101" s="7">
        <f t="shared" si="55"/>
        <v>-1</v>
      </c>
      <c r="O101" s="11"/>
      <c r="P101" s="6">
        <v>296.64</v>
      </c>
      <c r="Q101" s="2"/>
      <c r="R101" s="7">
        <f t="shared" si="56"/>
        <v>2.0221612071495289E-4</v>
      </c>
      <c r="S101" s="2"/>
      <c r="T101" s="6">
        <v>1150</v>
      </c>
      <c r="U101" s="2"/>
      <c r="V101" s="7">
        <f t="shared" si="57"/>
        <v>7.9915664651633719E-4</v>
      </c>
      <c r="W101" s="2"/>
      <c r="X101" s="6">
        <f t="shared" si="58"/>
        <v>-853.36</v>
      </c>
      <c r="Y101" s="2"/>
      <c r="Z101" s="7">
        <f t="shared" si="59"/>
        <v>-0.74205217391304346</v>
      </c>
    </row>
    <row r="102" spans="1:26" s="25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SUM(OSRRefD22_12x_0)</f>
        <v>126.66</v>
      </c>
      <c r="E102" s="1"/>
      <c r="F102" s="5">
        <f t="shared" ref="F102:F107" si="60">IF(D$12=0,0,D102/D$12)</f>
        <v>5.1182689469701109E-4</v>
      </c>
      <c r="G102" s="1"/>
      <c r="H102" s="1">
        <f>SUM(OSRRefH22_12x_0)</f>
        <v>625</v>
      </c>
      <c r="I102" s="1"/>
      <c r="J102" s="5">
        <f t="shared" ref="J102:J107" si="61">IF(H$12=0,0,H102/H$12)</f>
        <v>1.8923051304176697E-3</v>
      </c>
      <c r="K102" s="1"/>
      <c r="L102" s="1">
        <f t="shared" ref="L102:L107" si="62">+D102-H102</f>
        <v>-498.34000000000003</v>
      </c>
      <c r="M102" s="1"/>
      <c r="N102" s="5">
        <f t="shared" ref="N102:N107" si="63">IF(H102=0,0,L102/H102)</f>
        <v>-0.79734400000000005</v>
      </c>
      <c r="O102" s="13"/>
      <c r="P102" s="1">
        <f>SUM(OSRRefP22_12x_0)</f>
        <v>1807.25</v>
      </c>
      <c r="Q102" s="1"/>
      <c r="R102" s="5">
        <f t="shared" ref="R102:R107" si="64">IF(P$12=0,0,P102/P$12)</f>
        <v>1.2319818101473119E-3</v>
      </c>
      <c r="S102" s="1"/>
      <c r="T102" s="1">
        <f>SUM(OSRRefT22_12x_0)</f>
        <v>4750</v>
      </c>
      <c r="U102" s="1"/>
      <c r="V102" s="5">
        <f t="shared" ref="V102:V107" si="65">IF(T$12=0,0,T102/T$12)</f>
        <v>3.3008644095240017E-3</v>
      </c>
      <c r="W102" s="1"/>
      <c r="X102" s="1">
        <f t="shared" ref="X102:X107" si="66">+P102-T102</f>
        <v>-2942.75</v>
      </c>
      <c r="Y102" s="1"/>
      <c r="Z102" s="5">
        <f t="shared" ref="Z102:Z107" si="67">IF(T102=0,0,X102/T102)</f>
        <v>-0.6195263157894737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6"/>
      <c r="E103" s="2"/>
      <c r="F103" s="7">
        <f t="shared" si="60"/>
        <v>0</v>
      </c>
      <c r="G103" s="2"/>
      <c r="H103" s="6">
        <v>200</v>
      </c>
      <c r="I103" s="2"/>
      <c r="J103" s="7">
        <f t="shared" si="61"/>
        <v>6.0553764173365424E-4</v>
      </c>
      <c r="K103" s="2"/>
      <c r="L103" s="6">
        <f t="shared" si="62"/>
        <v>-200</v>
      </c>
      <c r="M103" s="2"/>
      <c r="N103" s="7">
        <f t="shared" si="63"/>
        <v>-1</v>
      </c>
      <c r="O103" s="11"/>
      <c r="P103" s="6">
        <v>20.36</v>
      </c>
      <c r="Q103" s="2"/>
      <c r="R103" s="7">
        <f t="shared" si="64"/>
        <v>1.387918088510127E-5</v>
      </c>
      <c r="S103" s="2"/>
      <c r="T103" s="6">
        <v>2200</v>
      </c>
      <c r="U103" s="2"/>
      <c r="V103" s="7">
        <f t="shared" si="65"/>
        <v>1.5288214107269059E-3</v>
      </c>
      <c r="W103" s="2"/>
      <c r="X103" s="6">
        <f t="shared" si="66"/>
        <v>-2179.64</v>
      </c>
      <c r="Y103" s="2"/>
      <c r="Z103" s="7">
        <f t="shared" si="67"/>
        <v>-0.99074545454545448</v>
      </c>
    </row>
    <row r="104" spans="1:26" s="24" customFormat="1" hidden="1" outlineLevel="2" x14ac:dyDescent="0.25">
      <c r="A104" s="26"/>
      <c r="B104" s="11" t="str">
        <f>CONCATENATE("          ", "6237", " - ", "JANITORIAL SUPPLIES")</f>
        <v xml:space="preserve">          6237 - JANITORIAL SUPPLIES</v>
      </c>
      <c r="C104" s="11"/>
      <c r="D104" s="6"/>
      <c r="E104" s="2"/>
      <c r="F104" s="7">
        <f t="shared" si="60"/>
        <v>0</v>
      </c>
      <c r="G104" s="2"/>
      <c r="H104" s="6">
        <v>25</v>
      </c>
      <c r="I104" s="2"/>
      <c r="J104" s="7">
        <f t="shared" si="61"/>
        <v>7.569220521670678E-5</v>
      </c>
      <c r="K104" s="2"/>
      <c r="L104" s="6">
        <f t="shared" si="62"/>
        <v>-25</v>
      </c>
      <c r="M104" s="2"/>
      <c r="N104" s="7">
        <f t="shared" si="63"/>
        <v>-1</v>
      </c>
      <c r="O104" s="11"/>
      <c r="P104" s="6"/>
      <c r="Q104" s="2"/>
      <c r="R104" s="7">
        <f t="shared" si="64"/>
        <v>0</v>
      </c>
      <c r="S104" s="2"/>
      <c r="T104" s="6">
        <v>150</v>
      </c>
      <c r="U104" s="2"/>
      <c r="V104" s="7">
        <f t="shared" si="65"/>
        <v>1.0423782345865268E-4</v>
      </c>
      <c r="W104" s="2"/>
      <c r="X104" s="6">
        <f t="shared" si="66"/>
        <v>-150</v>
      </c>
      <c r="Y104" s="2"/>
      <c r="Z104" s="7">
        <f t="shared" si="67"/>
        <v>-1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126.66</v>
      </c>
      <c r="E105" s="2"/>
      <c r="F105" s="7">
        <f t="shared" si="60"/>
        <v>5.1182689469701109E-4</v>
      </c>
      <c r="G105" s="2"/>
      <c r="H105" s="6">
        <v>200</v>
      </c>
      <c r="I105" s="2"/>
      <c r="J105" s="7">
        <f t="shared" si="61"/>
        <v>6.0553764173365424E-4</v>
      </c>
      <c r="K105" s="2"/>
      <c r="L105" s="6">
        <f t="shared" si="62"/>
        <v>-73.34</v>
      </c>
      <c r="M105" s="2"/>
      <c r="N105" s="7">
        <f t="shared" si="63"/>
        <v>-0.36670000000000003</v>
      </c>
      <c r="O105" s="11"/>
      <c r="P105" s="6">
        <v>2082.2199999999998</v>
      </c>
      <c r="Q105" s="2"/>
      <c r="R105" s="7">
        <f t="shared" si="64"/>
        <v>1.4194257378475229E-3</v>
      </c>
      <c r="S105" s="2"/>
      <c r="T105" s="6">
        <v>1200</v>
      </c>
      <c r="U105" s="2"/>
      <c r="V105" s="7">
        <f t="shared" si="65"/>
        <v>8.3390258766922142E-4</v>
      </c>
      <c r="W105" s="2"/>
      <c r="X105" s="6">
        <f t="shared" si="66"/>
        <v>882.2199999999998</v>
      </c>
      <c r="Y105" s="2"/>
      <c r="Z105" s="7">
        <f t="shared" si="67"/>
        <v>0.73518333333333319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60"/>
        <v>0</v>
      </c>
      <c r="G106" s="2"/>
      <c r="H106" s="6"/>
      <c r="I106" s="2"/>
      <c r="J106" s="7">
        <f t="shared" si="61"/>
        <v>0</v>
      </c>
      <c r="K106" s="2"/>
      <c r="L106" s="6">
        <f t="shared" si="62"/>
        <v>0</v>
      </c>
      <c r="M106" s="2"/>
      <c r="N106" s="7">
        <f t="shared" si="63"/>
        <v>0</v>
      </c>
      <c r="O106" s="11"/>
      <c r="P106" s="6">
        <v>-617.17999999999995</v>
      </c>
      <c r="Q106" s="2"/>
      <c r="R106" s="7">
        <f t="shared" si="64"/>
        <v>-4.2072460013098238E-4</v>
      </c>
      <c r="S106" s="2"/>
      <c r="T106" s="6"/>
      <c r="U106" s="2"/>
      <c r="V106" s="7">
        <f t="shared" si="65"/>
        <v>0</v>
      </c>
      <c r="W106" s="2"/>
      <c r="X106" s="6">
        <f t="shared" si="66"/>
        <v>-617.17999999999995</v>
      </c>
      <c r="Y106" s="2"/>
      <c r="Z106" s="7">
        <f t="shared" si="67"/>
        <v>0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6"/>
      <c r="E107" s="2"/>
      <c r="F107" s="7">
        <f t="shared" si="60"/>
        <v>0</v>
      </c>
      <c r="G107" s="2"/>
      <c r="H107" s="6">
        <v>200</v>
      </c>
      <c r="I107" s="2"/>
      <c r="J107" s="7">
        <f t="shared" si="61"/>
        <v>6.0553764173365424E-4</v>
      </c>
      <c r="K107" s="2"/>
      <c r="L107" s="6">
        <f t="shared" si="62"/>
        <v>-200</v>
      </c>
      <c r="M107" s="2"/>
      <c r="N107" s="7">
        <f t="shared" si="63"/>
        <v>-1</v>
      </c>
      <c r="O107" s="11"/>
      <c r="P107" s="6">
        <v>321.85000000000002</v>
      </c>
      <c r="Q107" s="2"/>
      <c r="R107" s="7">
        <f t="shared" si="64"/>
        <v>2.1940149154567014E-4</v>
      </c>
      <c r="S107" s="2"/>
      <c r="T107" s="6">
        <v>1200</v>
      </c>
      <c r="U107" s="2"/>
      <c r="V107" s="7">
        <f t="shared" si="65"/>
        <v>8.3390258766922142E-4</v>
      </c>
      <c r="W107" s="2"/>
      <c r="X107" s="6">
        <f t="shared" si="66"/>
        <v>-878.15</v>
      </c>
      <c r="Y107" s="2"/>
      <c r="Z107" s="7">
        <f t="shared" si="67"/>
        <v>-0.73179166666666662</v>
      </c>
    </row>
    <row r="108" spans="1:26" s="25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SUM(OSRRefD22_13x_0)</f>
        <v>324.69</v>
      </c>
      <c r="E108" s="1"/>
      <c r="F108" s="5">
        <f t="shared" ref="F108:F114" si="68">IF(D$12=0,0,D108/D$12)</f>
        <v>1.3120564853874351E-3</v>
      </c>
      <c r="G108" s="1"/>
      <c r="H108" s="1">
        <f>SUM(OSRRefH22_13x_0)</f>
        <v>500</v>
      </c>
      <c r="I108" s="1"/>
      <c r="J108" s="5">
        <f t="shared" ref="J108:J114" si="69">IF(H$12=0,0,H108/H$12)</f>
        <v>1.5138441043341356E-3</v>
      </c>
      <c r="K108" s="1"/>
      <c r="L108" s="1">
        <f t="shared" ref="L108:L114" si="70">+D108-H108</f>
        <v>-175.31</v>
      </c>
      <c r="M108" s="1"/>
      <c r="N108" s="5">
        <f t="shared" ref="N108:N114" si="71">IF(H108=0,0,L108/H108)</f>
        <v>-0.35061999999999999</v>
      </c>
      <c r="O108" s="13"/>
      <c r="P108" s="1">
        <f>SUM(OSRRefP22_13x_0)</f>
        <v>3498.56</v>
      </c>
      <c r="Q108" s="1"/>
      <c r="R108" s="5">
        <f t="shared" ref="R108:R114" si="72">IF(P$12=0,0,P108/P$12)</f>
        <v>2.3849286383781877E-3</v>
      </c>
      <c r="S108" s="1"/>
      <c r="T108" s="1">
        <f>SUM(OSRRefT22_13x_0)</f>
        <v>3500</v>
      </c>
      <c r="U108" s="1"/>
      <c r="V108" s="5">
        <f t="shared" ref="V108:V114" si="73">IF(T$12=0,0,T108/T$12)</f>
        <v>2.4322158807018957E-3</v>
      </c>
      <c r="W108" s="1"/>
      <c r="X108" s="1">
        <f t="shared" ref="X108:X114" si="74">+P108-T108</f>
        <v>-1.4400000000000546</v>
      </c>
      <c r="Y108" s="1"/>
      <c r="Z108" s="5">
        <f t="shared" ref="Z108:Z114" si="75">IF(T108=0,0,X108/T108)</f>
        <v>-4.1142857142858704E-4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6">
        <v>324.69</v>
      </c>
      <c r="E109" s="2"/>
      <c r="F109" s="7">
        <f t="shared" si="68"/>
        <v>1.3120564853874351E-3</v>
      </c>
      <c r="G109" s="2"/>
      <c r="H109" s="6">
        <v>500</v>
      </c>
      <c r="I109" s="2"/>
      <c r="J109" s="7">
        <f t="shared" si="69"/>
        <v>1.5138441043341356E-3</v>
      </c>
      <c r="K109" s="2"/>
      <c r="L109" s="6">
        <f t="shared" si="70"/>
        <v>-175.31</v>
      </c>
      <c r="M109" s="2"/>
      <c r="N109" s="7">
        <f t="shared" si="71"/>
        <v>-0.35061999999999999</v>
      </c>
      <c r="O109" s="11"/>
      <c r="P109" s="6">
        <v>3498.56</v>
      </c>
      <c r="Q109" s="2"/>
      <c r="R109" s="7">
        <f t="shared" si="72"/>
        <v>2.3849286383781877E-3</v>
      </c>
      <c r="S109" s="2"/>
      <c r="T109" s="6">
        <v>3500</v>
      </c>
      <c r="U109" s="2"/>
      <c r="V109" s="7">
        <f t="shared" si="73"/>
        <v>2.4322158807018957E-3</v>
      </c>
      <c r="W109" s="2"/>
      <c r="X109" s="6">
        <f t="shared" si="74"/>
        <v>-1.4400000000000546</v>
      </c>
      <c r="Y109" s="2"/>
      <c r="Z109" s="7">
        <f t="shared" si="75"/>
        <v>-4.1142857142858704E-4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SUM(OSRRefD22_14x_0)</f>
        <v>0</v>
      </c>
      <c r="E110" s="1"/>
      <c r="F110" s="5">
        <f t="shared" si="68"/>
        <v>0</v>
      </c>
      <c r="G110" s="1"/>
      <c r="H110" s="1">
        <f>SUM(OSRRefH22_14x_0)</f>
        <v>800</v>
      </c>
      <c r="I110" s="1"/>
      <c r="J110" s="5">
        <f t="shared" si="69"/>
        <v>2.422150566934617E-3</v>
      </c>
      <c r="K110" s="1"/>
      <c r="L110" s="1">
        <f t="shared" si="70"/>
        <v>-800</v>
      </c>
      <c r="M110" s="1"/>
      <c r="N110" s="5">
        <f t="shared" si="71"/>
        <v>-1</v>
      </c>
      <c r="O110" s="13"/>
      <c r="P110" s="1">
        <f>SUM(OSRRefP22_14x_0)</f>
        <v>1379.18</v>
      </c>
      <c r="Q110" s="1"/>
      <c r="R110" s="5">
        <f t="shared" si="72"/>
        <v>9.4017135034940916E-4</v>
      </c>
      <c r="S110" s="1"/>
      <c r="T110" s="1">
        <f>SUM(OSRRefT22_14x_0)</f>
        <v>2500</v>
      </c>
      <c r="U110" s="1"/>
      <c r="V110" s="5">
        <f t="shared" si="73"/>
        <v>1.7372970576442113E-3</v>
      </c>
      <c r="W110" s="1"/>
      <c r="X110" s="1">
        <f t="shared" si="74"/>
        <v>-1120.82</v>
      </c>
      <c r="Y110" s="1"/>
      <c r="Z110" s="5">
        <f t="shared" si="75"/>
        <v>-0.44832799999999995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68"/>
        <v>0</v>
      </c>
      <c r="G111" s="2"/>
      <c r="H111" s="6">
        <v>800</v>
      </c>
      <c r="I111" s="2"/>
      <c r="J111" s="7">
        <f t="shared" si="69"/>
        <v>2.422150566934617E-3</v>
      </c>
      <c r="K111" s="2"/>
      <c r="L111" s="6">
        <f t="shared" si="70"/>
        <v>-800</v>
      </c>
      <c r="M111" s="2"/>
      <c r="N111" s="7">
        <f t="shared" si="71"/>
        <v>-1</v>
      </c>
      <c r="O111" s="11"/>
      <c r="P111" s="6">
        <v>1379.18</v>
      </c>
      <c r="Q111" s="2"/>
      <c r="R111" s="7">
        <f t="shared" si="72"/>
        <v>9.4017135034940916E-4</v>
      </c>
      <c r="S111" s="2"/>
      <c r="T111" s="6">
        <v>2500</v>
      </c>
      <c r="U111" s="2"/>
      <c r="V111" s="7">
        <f t="shared" si="73"/>
        <v>1.7372970576442113E-3</v>
      </c>
      <c r="W111" s="2"/>
      <c r="X111" s="6">
        <f t="shared" si="74"/>
        <v>-1120.82</v>
      </c>
      <c r="Y111" s="2"/>
      <c r="Z111" s="7">
        <f t="shared" si="75"/>
        <v>-0.44832799999999995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SUM(OSRRefD22_15x_0)</f>
        <v>15.66</v>
      </c>
      <c r="E112" s="1"/>
      <c r="F112" s="5">
        <f t="shared" si="68"/>
        <v>6.3281297733737519E-5</v>
      </c>
      <c r="G112" s="1"/>
      <c r="H112" s="1">
        <f>SUM(OSRRefH22_15x_0)</f>
        <v>50</v>
      </c>
      <c r="I112" s="1"/>
      <c r="J112" s="5">
        <f t="shared" si="69"/>
        <v>1.5138441043341356E-4</v>
      </c>
      <c r="K112" s="1"/>
      <c r="L112" s="1">
        <f t="shared" si="70"/>
        <v>-34.340000000000003</v>
      </c>
      <c r="M112" s="1"/>
      <c r="N112" s="5">
        <f t="shared" si="71"/>
        <v>-0.68680000000000008</v>
      </c>
      <c r="O112" s="13"/>
      <c r="P112" s="1">
        <f>SUM(OSRRefP22_15x_0)</f>
        <v>319.84000000000003</v>
      </c>
      <c r="Q112" s="1"/>
      <c r="R112" s="5">
        <f t="shared" si="72"/>
        <v>2.1803129736202312E-4</v>
      </c>
      <c r="S112" s="1"/>
      <c r="T112" s="1">
        <f>SUM(OSRRefT22_15x_0)</f>
        <v>300</v>
      </c>
      <c r="U112" s="1"/>
      <c r="V112" s="5">
        <f t="shared" si="73"/>
        <v>2.0847564691730535E-4</v>
      </c>
      <c r="W112" s="1"/>
      <c r="X112" s="1">
        <f t="shared" si="74"/>
        <v>19.840000000000032</v>
      </c>
      <c r="Y112" s="1"/>
      <c r="Z112" s="5">
        <f t="shared" si="75"/>
        <v>6.6133333333333433E-2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68"/>
        <v>0</v>
      </c>
      <c r="G113" s="2"/>
      <c r="H113" s="6"/>
      <c r="I113" s="2"/>
      <c r="J113" s="7">
        <f t="shared" si="69"/>
        <v>0</v>
      </c>
      <c r="K113" s="2"/>
      <c r="L113" s="6">
        <f t="shared" si="70"/>
        <v>0</v>
      </c>
      <c r="M113" s="2"/>
      <c r="N113" s="7">
        <f t="shared" si="71"/>
        <v>0</v>
      </c>
      <c r="O113" s="11"/>
      <c r="P113" s="6">
        <v>107.04</v>
      </c>
      <c r="Q113" s="2"/>
      <c r="R113" s="7">
        <f t="shared" si="72"/>
        <v>7.2967952944068769E-5</v>
      </c>
      <c r="S113" s="2"/>
      <c r="T113" s="6"/>
      <c r="U113" s="2"/>
      <c r="V113" s="7">
        <f t="shared" si="73"/>
        <v>0</v>
      </c>
      <c r="W113" s="2"/>
      <c r="X113" s="6">
        <f t="shared" si="74"/>
        <v>107.04</v>
      </c>
      <c r="Y113" s="2"/>
      <c r="Z113" s="7">
        <f t="shared" si="75"/>
        <v>0</v>
      </c>
    </row>
    <row r="114" spans="1:26" s="24" customFormat="1" hidden="1" outlineLevel="2" x14ac:dyDescent="0.25">
      <c r="A114" s="26"/>
      <c r="B114" s="11" t="str">
        <f>CONCATENATE("          ", "6294", " - ", "TRAVEL OPERATIONAL")</f>
        <v xml:space="preserve">          6294 - TRAVEL OPERATIONAL</v>
      </c>
      <c r="C114" s="11"/>
      <c r="D114" s="6">
        <v>15.66</v>
      </c>
      <c r="E114" s="2"/>
      <c r="F114" s="7">
        <f t="shared" si="68"/>
        <v>6.3281297733737519E-5</v>
      </c>
      <c r="G114" s="2"/>
      <c r="H114" s="6">
        <v>50</v>
      </c>
      <c r="I114" s="2"/>
      <c r="J114" s="7">
        <f t="shared" si="69"/>
        <v>1.5138441043341356E-4</v>
      </c>
      <c r="K114" s="2"/>
      <c r="L114" s="6">
        <f t="shared" si="70"/>
        <v>-34.340000000000003</v>
      </c>
      <c r="M114" s="2"/>
      <c r="N114" s="7">
        <f t="shared" si="71"/>
        <v>-0.68680000000000008</v>
      </c>
      <c r="O114" s="11"/>
      <c r="P114" s="6">
        <v>212.8</v>
      </c>
      <c r="Q114" s="2"/>
      <c r="R114" s="7">
        <f t="shared" si="72"/>
        <v>1.4506334441795435E-4</v>
      </c>
      <c r="S114" s="2"/>
      <c r="T114" s="6">
        <v>300</v>
      </c>
      <c r="U114" s="2"/>
      <c r="V114" s="7">
        <f t="shared" si="73"/>
        <v>2.0847564691730535E-4</v>
      </c>
      <c r="W114" s="2"/>
      <c r="X114" s="6">
        <f t="shared" si="74"/>
        <v>-87.199999999999989</v>
      </c>
      <c r="Y114" s="2"/>
      <c r="Z114" s="7">
        <f t="shared" si="75"/>
        <v>-0.29066666666666663</v>
      </c>
    </row>
    <row r="115" spans="1:26" s="53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8" t="s">
        <v>0</v>
      </c>
      <c r="C116" s="10"/>
      <c r="D116" s="4">
        <f>SUM(OSRRefD25x_0)</f>
        <v>0</v>
      </c>
      <c r="E116" s="4"/>
      <c r="F116" s="12">
        <f t="shared" ref="F116:F119" si="76">IF(D$12=0,0,D116/D$12)</f>
        <v>0</v>
      </c>
      <c r="G116" s="4"/>
      <c r="H116" s="4">
        <f>SUM(OSRRefH25x_0)</f>
        <v>8625</v>
      </c>
      <c r="I116" s="4"/>
      <c r="J116" s="12">
        <f t="shared" ref="J116:J119" si="77">IF(H$12=0,0,H116/H$12)</f>
        <v>2.611381079976384E-2</v>
      </c>
      <c r="K116" s="4"/>
      <c r="L116" s="4">
        <f t="shared" ref="L116:L119" si="78">+D116-H116</f>
        <v>-8625</v>
      </c>
      <c r="M116" s="4"/>
      <c r="N116" s="12">
        <f t="shared" ref="N116:N119" si="79">IF(H116=0,0,L116/H116)</f>
        <v>-1</v>
      </c>
      <c r="O116" s="10"/>
      <c r="P116" s="4">
        <f>SUM(OSRRefP25x_0)</f>
        <v>14830.16</v>
      </c>
      <c r="Q116" s="4"/>
      <c r="R116" s="12">
        <f t="shared" ref="R116:R119" si="80">IF(P$12=0,0,P116/P$12)</f>
        <v>1.0109551728634257E-2</v>
      </c>
      <c r="S116" s="4"/>
      <c r="T116" s="4">
        <f>SUM(OSRRefT25x_0)</f>
        <v>51750</v>
      </c>
      <c r="U116" s="4"/>
      <c r="V116" s="12">
        <f t="shared" ref="V116:V119" si="81">IF(T$12=0,0,T116/T$12)</f>
        <v>3.5962049093235172E-2</v>
      </c>
      <c r="W116" s="4"/>
      <c r="X116" s="4">
        <f t="shared" ref="X116:X119" si="82">+P116-T116</f>
        <v>-36919.839999999997</v>
      </c>
      <c r="Y116" s="4"/>
      <c r="Z116" s="12">
        <f t="shared" ref="Z116:Z119" si="83">IF(T116=0,0,X116/T116)</f>
        <v>-0.71342685990338162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 t="shared" ref="D117:D119" si="84">0</f>
        <v>0</v>
      </c>
      <c r="E117" s="2"/>
      <c r="F117" s="19">
        <f t="shared" si="76"/>
        <v>0</v>
      </c>
      <c r="G117" s="2"/>
      <c r="H117" s="2">
        <v>7725</v>
      </c>
      <c r="I117" s="2"/>
      <c r="J117" s="19">
        <f t="shared" si="77"/>
        <v>2.3388891411962397E-2</v>
      </c>
      <c r="K117" s="2"/>
      <c r="L117" s="2">
        <f t="shared" si="78"/>
        <v>-7725</v>
      </c>
      <c r="M117" s="2"/>
      <c r="N117" s="19">
        <f t="shared" si="79"/>
        <v>-1</v>
      </c>
      <c r="O117" s="11"/>
      <c r="P117" s="2">
        <f>--14830.16</f>
        <v>14830.16</v>
      </c>
      <c r="Q117" s="2"/>
      <c r="R117" s="19">
        <f t="shared" si="80"/>
        <v>1.0109551728634257E-2</v>
      </c>
      <c r="S117" s="2"/>
      <c r="T117" s="2">
        <v>46350</v>
      </c>
      <c r="U117" s="2"/>
      <c r="V117" s="19">
        <f t="shared" si="81"/>
        <v>3.2209487448723678E-2</v>
      </c>
      <c r="W117" s="2"/>
      <c r="X117" s="2">
        <f t="shared" si="82"/>
        <v>-31519.84</v>
      </c>
      <c r="Y117" s="2"/>
      <c r="Z117" s="19">
        <f t="shared" si="83"/>
        <v>-0.68003969795037755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 t="shared" si="84"/>
        <v>0</v>
      </c>
      <c r="E118" s="2"/>
      <c r="F118" s="19">
        <f t="shared" si="76"/>
        <v>0</v>
      </c>
      <c r="G118" s="2"/>
      <c r="H118" s="2">
        <v>100</v>
      </c>
      <c r="I118" s="2"/>
      <c r="J118" s="19">
        <f t="shared" si="77"/>
        <v>3.0276882086682712E-4</v>
      </c>
      <c r="K118" s="2"/>
      <c r="L118" s="2">
        <f t="shared" si="78"/>
        <v>-100</v>
      </c>
      <c r="M118" s="2"/>
      <c r="N118" s="19">
        <f t="shared" si="79"/>
        <v>-1</v>
      </c>
      <c r="O118" s="11"/>
      <c r="P118" s="2">
        <f t="shared" ref="P118:P119" si="85">0</f>
        <v>0</v>
      </c>
      <c r="Q118" s="2"/>
      <c r="R118" s="19">
        <f t="shared" si="80"/>
        <v>0</v>
      </c>
      <c r="S118" s="2"/>
      <c r="T118" s="2">
        <v>600</v>
      </c>
      <c r="U118" s="2"/>
      <c r="V118" s="19">
        <f t="shared" si="81"/>
        <v>4.1695129383461071E-4</v>
      </c>
      <c r="W118" s="2"/>
      <c r="X118" s="2">
        <f t="shared" si="82"/>
        <v>-600</v>
      </c>
      <c r="Y118" s="2"/>
      <c r="Z118" s="19">
        <f t="shared" si="83"/>
        <v>-1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 t="shared" si="84"/>
        <v>0</v>
      </c>
      <c r="E119" s="2"/>
      <c r="F119" s="19">
        <f t="shared" si="76"/>
        <v>0</v>
      </c>
      <c r="G119" s="2"/>
      <c r="H119" s="2">
        <v>800</v>
      </c>
      <c r="I119" s="2"/>
      <c r="J119" s="19">
        <f t="shared" si="77"/>
        <v>2.422150566934617E-3</v>
      </c>
      <c r="K119" s="2"/>
      <c r="L119" s="2">
        <f t="shared" si="78"/>
        <v>-800</v>
      </c>
      <c r="M119" s="2"/>
      <c r="N119" s="19">
        <f t="shared" si="79"/>
        <v>-1</v>
      </c>
      <c r="O119" s="11"/>
      <c r="P119" s="2">
        <f t="shared" si="85"/>
        <v>0</v>
      </c>
      <c r="Q119" s="2"/>
      <c r="R119" s="19">
        <f t="shared" si="80"/>
        <v>0</v>
      </c>
      <c r="S119" s="2"/>
      <c r="T119" s="2">
        <v>4800</v>
      </c>
      <c r="U119" s="2"/>
      <c r="V119" s="19">
        <f t="shared" si="81"/>
        <v>3.3356103506768857E-3</v>
      </c>
      <c r="W119" s="2"/>
      <c r="X119" s="2">
        <f t="shared" si="82"/>
        <v>-4800</v>
      </c>
      <c r="Y119" s="2"/>
      <c r="Z119" s="19">
        <f t="shared" si="83"/>
        <v>-1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9" t="s">
        <v>3</v>
      </c>
      <c r="C121" s="29"/>
      <c r="D121" s="22">
        <f>+D53-D55+D116</f>
        <v>74275.649999999994</v>
      </c>
      <c r="E121" s="14"/>
      <c r="F121" s="20">
        <f>IF(D$12=0,0,D121/D$12)</f>
        <v>0.30014428620797451</v>
      </c>
      <c r="G121" s="14"/>
      <c r="H121" s="22">
        <f>+H53-H55+H116</f>
        <v>114105.14241375576</v>
      </c>
      <c r="I121" s="14"/>
      <c r="J121" s="20">
        <f>IF(H$12=0,0,H121/H$12)</f>
        <v>0.34547479423454219</v>
      </c>
      <c r="K121" s="16"/>
      <c r="L121" s="22">
        <f>+D121-H121</f>
        <v>-39829.492413755768</v>
      </c>
      <c r="M121" s="16"/>
      <c r="N121" s="20">
        <f>IF(H121=0,0,L121/H121)</f>
        <v>-0.34905957410166805</v>
      </c>
      <c r="O121" s="28"/>
      <c r="P121" s="22">
        <f>+P53-P55+P116</f>
        <v>436367.97000000003</v>
      </c>
      <c r="Q121" s="14"/>
      <c r="R121" s="20">
        <f>IF(P$12=0,0,P121/P$12)</f>
        <v>0.29746709175316527</v>
      </c>
      <c r="S121" s="14"/>
      <c r="T121" s="22">
        <f>+T53-T55+T116</f>
        <v>476729.10827691248</v>
      </c>
      <c r="U121" s="14"/>
      <c r="V121" s="20">
        <f>IF(T$12=0,0,T121/T$12)</f>
        <v>0.33128803084113145</v>
      </c>
      <c r="W121" s="16"/>
      <c r="X121" s="22">
        <f>+P121-T121</f>
        <v>-40361.138276912447</v>
      </c>
      <c r="Y121" s="16"/>
      <c r="Z121" s="20">
        <f>IF(T121=0,0,X121/T121)</f>
        <v>-8.4662626166867719E-2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14</v>
      </c>
      <c r="C123" s="10"/>
      <c r="D123" s="4">
        <v>29306.84</v>
      </c>
      <c r="E123" s="4"/>
      <c r="F123" s="12">
        <f>IF(D$12=0,0,D123/D$12)</f>
        <v>0.11842751390006437</v>
      </c>
      <c r="G123" s="4"/>
      <c r="H123" s="4">
        <v>44855</v>
      </c>
      <c r="I123" s="4"/>
      <c r="J123" s="12">
        <f>IF(H$12=0,0,H123/H$12)</f>
        <v>0.13580695459981532</v>
      </c>
      <c r="K123" s="4"/>
      <c r="L123" s="4">
        <f>+D123-H123</f>
        <v>-15548.16</v>
      </c>
      <c r="M123" s="4"/>
      <c r="N123" s="12">
        <f>IF(H123=0,0,L123/H123)</f>
        <v>-0.34663159068108351</v>
      </c>
      <c r="O123" s="10"/>
      <c r="P123" s="4">
        <v>158441.4</v>
      </c>
      <c r="Q123" s="4"/>
      <c r="R123" s="12">
        <f>IF(P$12=0,0,P123/P$12)</f>
        <v>0.10800770384522025</v>
      </c>
      <c r="S123" s="4"/>
      <c r="T123" s="4">
        <v>185367</v>
      </c>
      <c r="U123" s="4"/>
      <c r="V123" s="12">
        <f>IF(T$12=0,0,T123/T$12)</f>
        <v>0.12881501747373381</v>
      </c>
      <c r="W123" s="4"/>
      <c r="X123" s="4">
        <f>+P123-T123</f>
        <v>-26925.600000000006</v>
      </c>
      <c r="Y123" s="4"/>
      <c r="Z123" s="12">
        <f>IF(T123=0,0,X123/T123)</f>
        <v>-0.14525562802440567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4</v>
      </c>
      <c r="C125" s="29"/>
      <c r="D125" s="31">
        <f>+D121-D123</f>
        <v>44968.81</v>
      </c>
      <c r="E125" s="14"/>
      <c r="F125" s="32">
        <f>IF(D$12=0,0,D125/D$12)</f>
        <v>0.18171677230791014</v>
      </c>
      <c r="G125" s="14"/>
      <c r="H125" s="31">
        <f>+H121-H123</f>
        <v>69250.142413755762</v>
      </c>
      <c r="I125" s="14"/>
      <c r="J125" s="32">
        <f>IF(H$12=0,0,H125/H$12)</f>
        <v>0.20966783963472688</v>
      </c>
      <c r="K125" s="16"/>
      <c r="L125" s="31">
        <f>D125-H125</f>
        <v>-24281.332413755765</v>
      </c>
      <c r="M125" s="16"/>
      <c r="N125" s="32">
        <f>IF(H125=0,0,L125/H125)</f>
        <v>-0.35063223796248183</v>
      </c>
      <c r="O125" s="28"/>
      <c r="P125" s="31">
        <f>+P121-P123</f>
        <v>277926.57000000007</v>
      </c>
      <c r="Q125" s="14"/>
      <c r="R125" s="32">
        <f>IF(P$12=0,0,P125/P$12)</f>
        <v>0.18945938790794503</v>
      </c>
      <c r="S125" s="14"/>
      <c r="T125" s="31">
        <f>+T121-T123</f>
        <v>291362.10827691248</v>
      </c>
      <c r="U125" s="14"/>
      <c r="V125" s="32">
        <f>IF(T$12=0,0,T125/T$12)</f>
        <v>0.20247301336739765</v>
      </c>
      <c r="W125" s="16"/>
      <c r="X125" s="31">
        <f>P125-T125</f>
        <v>-13435.538276912412</v>
      </c>
      <c r="Y125" s="16"/>
      <c r="Z125" s="32">
        <f>IF(T125=0,0,X125/T125)</f>
        <v>-4.6112853714468549E-2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5</v>
      </c>
      <c r="C128" s="29"/>
      <c r="D128" s="35">
        <f>SUM(D125:D127)</f>
        <v>44968.81</v>
      </c>
      <c r="E128" s="14"/>
      <c r="F128" s="34">
        <f>IF(D$12=0,0,D128/D$12)</f>
        <v>0.18171677230791014</v>
      </c>
      <c r="G128" s="14"/>
      <c r="H128" s="35">
        <f>SUM(H125:H127)</f>
        <v>69250.142413755762</v>
      </c>
      <c r="I128" s="14"/>
      <c r="J128" s="34">
        <f>IF(H$12=0,0,H128/H$12)</f>
        <v>0.20966783963472688</v>
      </c>
      <c r="K128" s="16"/>
      <c r="L128" s="35">
        <f>+D128-H128</f>
        <v>-24281.332413755765</v>
      </c>
      <c r="M128" s="16"/>
      <c r="N128" s="34">
        <f>IF(H128=0,0,L128/H128)</f>
        <v>-0.35063223796248183</v>
      </c>
      <c r="O128" s="28"/>
      <c r="P128" s="35">
        <f>SUM(P125:P127)</f>
        <v>277926.57000000007</v>
      </c>
      <c r="Q128" s="14"/>
      <c r="R128" s="34">
        <f>IF(P$12=0,0,P128/P$12)</f>
        <v>0.18945938790794503</v>
      </c>
      <c r="S128" s="14"/>
      <c r="T128" s="35">
        <f>SUM(T125:T127)</f>
        <v>291362.10827691248</v>
      </c>
      <c r="U128" s="14"/>
      <c r="V128" s="34">
        <f>IF(T$12=0,0,T128/T$12)</f>
        <v>0.20247301336739765</v>
      </c>
      <c r="W128" s="16"/>
      <c r="X128" s="35">
        <f>+P128-T128</f>
        <v>-13435.538276912412</v>
      </c>
      <c r="Y128" s="16"/>
      <c r="Z128" s="34">
        <f>IF(T128=0,0,X128/T128)</f>
        <v>-4.6112853714468549E-2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63">
        <v>43847.445961111109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5" t="s">
        <v>314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A132" s="9"/>
      <c r="B132" s="56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52055.679999999993</v>
      </c>
      <c r="E12" s="4"/>
      <c r="F12" s="12"/>
      <c r="G12" s="4"/>
      <c r="H12" s="4">
        <f>SUM(OSRRefH13x_0)</f>
        <v>60632.023980000005</v>
      </c>
      <c r="I12" s="4"/>
      <c r="J12" s="12"/>
      <c r="K12" s="4"/>
      <c r="L12" s="4">
        <f t="shared" ref="L12:L32" si="0">+D12-H12</f>
        <v>-8576.3439800000124</v>
      </c>
      <c r="M12" s="4"/>
      <c r="N12" s="12">
        <f t="shared" ref="N12:N32" si="1">IF(H12=0,0,L12/H12)</f>
        <v>-0.14144907949681826</v>
      </c>
      <c r="O12" s="10"/>
      <c r="P12" s="4">
        <f>SUM(OSRRefP13x_0)</f>
        <v>284363.12000000005</v>
      </c>
      <c r="Q12" s="4"/>
      <c r="R12" s="12"/>
      <c r="S12" s="4"/>
      <c r="T12" s="4">
        <f>SUM(OSRRefT13x_0)</f>
        <v>298755.46927999996</v>
      </c>
      <c r="U12" s="4"/>
      <c r="V12" s="12"/>
      <c r="W12" s="4"/>
      <c r="X12" s="4">
        <f t="shared" ref="X12:X32" si="2">+P12-T12</f>
        <v>-14392.349279999908</v>
      </c>
      <c r="Y12" s="4"/>
      <c r="Z12" s="12">
        <f t="shared" ref="Z12:Z32" si="3">IF(T12=0,0,X12/T12)</f>
        <v>-4.8174345777452839E-2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60632.023980000005</v>
      </c>
      <c r="I13" s="2"/>
      <c r="J13" s="19"/>
      <c r="K13" s="2"/>
      <c r="L13" s="2">
        <f t="shared" si="0"/>
        <v>-60632.023980000005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298755.46927999996</v>
      </c>
      <c r="U13" s="2"/>
      <c r="V13" s="19"/>
      <c r="W13" s="2"/>
      <c r="X13" s="2">
        <f t="shared" si="2"/>
        <v>-298755.46927999996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--26.46</f>
        <v>26.46</v>
      </c>
      <c r="E14" s="2"/>
      <c r="F14" s="19"/>
      <c r="G14" s="2"/>
      <c r="H14" s="2"/>
      <c r="I14" s="2"/>
      <c r="J14" s="19"/>
      <c r="K14" s="2"/>
      <c r="L14" s="2">
        <f t="shared" si="0"/>
        <v>26.46</v>
      </c>
      <c r="M14" s="2"/>
      <c r="N14" s="19">
        <f t="shared" si="1"/>
        <v>0</v>
      </c>
      <c r="O14" s="11"/>
      <c r="P14" s="2">
        <f>--149.65</f>
        <v>149.65</v>
      </c>
      <c r="Q14" s="2"/>
      <c r="R14" s="19"/>
      <c r="S14" s="2"/>
      <c r="T14" s="2"/>
      <c r="U14" s="2"/>
      <c r="V14" s="19"/>
      <c r="W14" s="2"/>
      <c r="X14" s="2">
        <f t="shared" si="2"/>
        <v>149.65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--41648.03</f>
        <v>41648.03</v>
      </c>
      <c r="E16" s="2"/>
      <c r="F16" s="19"/>
      <c r="G16" s="2"/>
      <c r="H16" s="2"/>
      <c r="I16" s="2"/>
      <c r="J16" s="19"/>
      <c r="K16" s="2"/>
      <c r="L16" s="2">
        <f t="shared" si="0"/>
        <v>41648.03</v>
      </c>
      <c r="M16" s="2"/>
      <c r="N16" s="19">
        <f t="shared" si="1"/>
        <v>0</v>
      </c>
      <c r="O16" s="11"/>
      <c r="P16" s="2">
        <f>--238414.6</f>
        <v>238414.6</v>
      </c>
      <c r="Q16" s="2"/>
      <c r="R16" s="19"/>
      <c r="S16" s="2"/>
      <c r="T16" s="2"/>
      <c r="U16" s="2"/>
      <c r="V16" s="19"/>
      <c r="W16" s="2"/>
      <c r="X16" s="2">
        <f t="shared" si="2"/>
        <v>238414.6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--5926.96</f>
        <v>5926.96</v>
      </c>
      <c r="E17" s="2"/>
      <c r="F17" s="19"/>
      <c r="G17" s="2"/>
      <c r="H17" s="2"/>
      <c r="I17" s="2"/>
      <c r="J17" s="19"/>
      <c r="K17" s="2"/>
      <c r="L17" s="2">
        <f t="shared" si="0"/>
        <v>5926.96</v>
      </c>
      <c r="M17" s="2"/>
      <c r="N17" s="19">
        <f t="shared" si="1"/>
        <v>0</v>
      </c>
      <c r="O17" s="11"/>
      <c r="P17" s="2">
        <f>--30974.74</f>
        <v>30974.74</v>
      </c>
      <c r="Q17" s="2"/>
      <c r="R17" s="19"/>
      <c r="S17" s="2"/>
      <c r="T17" s="2"/>
      <c r="U17" s="2"/>
      <c r="V17" s="19"/>
      <c r="W17" s="2"/>
      <c r="X17" s="2">
        <f t="shared" si="2"/>
        <v>30974.74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--5671.67</f>
        <v>5671.67</v>
      </c>
      <c r="E18" s="2"/>
      <c r="F18" s="19"/>
      <c r="G18" s="2"/>
      <c r="H18" s="2"/>
      <c r="I18" s="2"/>
      <c r="J18" s="19"/>
      <c r="K18" s="2"/>
      <c r="L18" s="2">
        <f t="shared" si="0"/>
        <v>5671.67</v>
      </c>
      <c r="M18" s="2"/>
      <c r="N18" s="19">
        <f t="shared" si="1"/>
        <v>0</v>
      </c>
      <c r="O18" s="11"/>
      <c r="P18" s="2">
        <f>--21578.38</f>
        <v>21578.38</v>
      </c>
      <c r="Q18" s="2"/>
      <c r="R18" s="19"/>
      <c r="S18" s="2"/>
      <c r="T18" s="2"/>
      <c r="U18" s="2"/>
      <c r="V18" s="19"/>
      <c r="W18" s="2"/>
      <c r="X18" s="2">
        <f t="shared" si="2"/>
        <v>21578.38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--247.74</f>
        <v>247.74</v>
      </c>
      <c r="E19" s="2"/>
      <c r="F19" s="19"/>
      <c r="G19" s="2"/>
      <c r="H19" s="2"/>
      <c r="I19" s="2"/>
      <c r="J19" s="19"/>
      <c r="K19" s="2"/>
      <c r="L19" s="2">
        <f t="shared" si="0"/>
        <v>247.74</v>
      </c>
      <c r="M19" s="2"/>
      <c r="N19" s="19">
        <f t="shared" si="1"/>
        <v>0</v>
      </c>
      <c r="O19" s="11"/>
      <c r="P19" s="2">
        <f>--279.72</f>
        <v>279.72000000000003</v>
      </c>
      <c r="Q19" s="2"/>
      <c r="R19" s="19"/>
      <c r="S19" s="2"/>
      <c r="T19" s="2"/>
      <c r="U19" s="2"/>
      <c r="V19" s="19"/>
      <c r="W19" s="2"/>
      <c r="X19" s="2">
        <f t="shared" si="2"/>
        <v>279.72000000000003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--601.71</f>
        <v>601.71</v>
      </c>
      <c r="E20" s="2"/>
      <c r="F20" s="19"/>
      <c r="G20" s="2"/>
      <c r="H20" s="2"/>
      <c r="I20" s="2"/>
      <c r="J20" s="19"/>
      <c r="K20" s="2"/>
      <c r="L20" s="2">
        <f t="shared" si="0"/>
        <v>601.71</v>
      </c>
      <c r="M20" s="2"/>
      <c r="N20" s="19">
        <f t="shared" si="1"/>
        <v>0</v>
      </c>
      <c r="O20" s="11"/>
      <c r="P20" s="2">
        <f>--2539.05</f>
        <v>2539.0500000000002</v>
      </c>
      <c r="Q20" s="2"/>
      <c r="R20" s="19"/>
      <c r="S20" s="2"/>
      <c r="T20" s="2"/>
      <c r="U20" s="2"/>
      <c r="V20" s="19"/>
      <c r="W20" s="2"/>
      <c r="X20" s="2">
        <f t="shared" si="2"/>
        <v>2539.0500000000002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 t="shared" ref="D21:D22" si="4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--457.61</f>
        <v>457.61</v>
      </c>
      <c r="Q21" s="2"/>
      <c r="R21" s="19"/>
      <c r="S21" s="2"/>
      <c r="T21" s="2"/>
      <c r="U21" s="2"/>
      <c r="V21" s="19"/>
      <c r="W21" s="2"/>
      <c r="X21" s="2">
        <f t="shared" si="2"/>
        <v>457.61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--0.99</f>
        <v>0.99</v>
      </c>
      <c r="E23" s="2"/>
      <c r="F23" s="19"/>
      <c r="G23" s="2"/>
      <c r="H23" s="2"/>
      <c r="I23" s="2"/>
      <c r="J23" s="19"/>
      <c r="K23" s="2"/>
      <c r="L23" s="2">
        <f t="shared" si="0"/>
        <v>0.99</v>
      </c>
      <c r="M23" s="2"/>
      <c r="N23" s="19">
        <f t="shared" si="1"/>
        <v>0</v>
      </c>
      <c r="O23" s="11"/>
      <c r="P23" s="2">
        <f>--28.71</f>
        <v>28.71</v>
      </c>
      <c r="Q23" s="2"/>
      <c r="R23" s="19"/>
      <c r="S23" s="2"/>
      <c r="T23" s="2"/>
      <c r="U23" s="2"/>
      <c r="V23" s="19"/>
      <c r="W23" s="2"/>
      <c r="X23" s="2">
        <f t="shared" si="2"/>
        <v>28.71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--6</f>
        <v>6</v>
      </c>
      <c r="E24" s="2"/>
      <c r="F24" s="19"/>
      <c r="G24" s="2"/>
      <c r="H24" s="2"/>
      <c r="I24" s="2"/>
      <c r="J24" s="19"/>
      <c r="K24" s="2"/>
      <c r="L24" s="2">
        <f t="shared" si="0"/>
        <v>6</v>
      </c>
      <c r="M24" s="2"/>
      <c r="N24" s="19">
        <f t="shared" si="1"/>
        <v>0</v>
      </c>
      <c r="O24" s="11"/>
      <c r="P24" s="2">
        <f>--93</f>
        <v>93</v>
      </c>
      <c r="Q24" s="2"/>
      <c r="R24" s="19"/>
      <c r="S24" s="2"/>
      <c r="T24" s="2"/>
      <c r="U24" s="2"/>
      <c r="V24" s="19"/>
      <c r="W24" s="2"/>
      <c r="X24" s="2">
        <f t="shared" si="2"/>
        <v>93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"4142", " - ", "NON-TAXABLE SALES-EVERYDAY GIF")</f>
        <v xml:space="preserve">          4142 - NON-TAXABLE SALES-EVERYDAY GIF</v>
      </c>
      <c r="C25" s="11"/>
      <c r="D25" s="2">
        <f>--134.2</f>
        <v>134.19999999999999</v>
      </c>
      <c r="E25" s="2"/>
      <c r="F25" s="19"/>
      <c r="G25" s="2"/>
      <c r="H25" s="2"/>
      <c r="I25" s="2"/>
      <c r="J25" s="19"/>
      <c r="K25" s="2"/>
      <c r="L25" s="2">
        <f t="shared" si="0"/>
        <v>134.19999999999999</v>
      </c>
      <c r="M25" s="2"/>
      <c r="N25" s="19">
        <f t="shared" si="1"/>
        <v>0</v>
      </c>
      <c r="O25" s="11"/>
      <c r="P25" s="2">
        <f>--293.03</f>
        <v>293.02999999999997</v>
      </c>
      <c r="Q25" s="2"/>
      <c r="R25" s="19"/>
      <c r="S25" s="2"/>
      <c r="T25" s="2"/>
      <c r="U25" s="2"/>
      <c r="V25" s="19"/>
      <c r="W25" s="2"/>
      <c r="X25" s="2">
        <f t="shared" si="2"/>
        <v>293.02999999999997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"4226", " - ", "SALES RETURN TAXABLE-WRITING I")</f>
        <v xml:space="preserve">          4226 - SALES RETURN TAXABLE-WRITING I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-134.8</f>
        <v>-134.80000000000001</v>
      </c>
      <c r="Q26" s="2"/>
      <c r="R26" s="19"/>
      <c r="S26" s="2"/>
      <c r="T26" s="2"/>
      <c r="U26" s="2"/>
      <c r="V26" s="19"/>
      <c r="W26" s="2"/>
      <c r="X26" s="2">
        <f t="shared" si="2"/>
        <v>-134.80000000000001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"4240", " - ", "SALES RETURN TAXABLE-LOGO CLOT")</f>
        <v xml:space="preserve">          4240 - SALES RETURN TAXABLE-LOGO CLOT</v>
      </c>
      <c r="C27" s="11"/>
      <c r="D27" s="2">
        <f>-1800.06</f>
        <v>-1800.06</v>
      </c>
      <c r="E27" s="2"/>
      <c r="F27" s="19"/>
      <c r="G27" s="2"/>
      <c r="H27" s="2"/>
      <c r="I27" s="2"/>
      <c r="J27" s="19"/>
      <c r="K27" s="2"/>
      <c r="L27" s="2">
        <f t="shared" si="0"/>
        <v>-1800.06</v>
      </c>
      <c r="M27" s="2"/>
      <c r="N27" s="19">
        <f t="shared" si="1"/>
        <v>0</v>
      </c>
      <c r="O27" s="11"/>
      <c r="P27" s="2">
        <f>-8451.16</f>
        <v>-8451.16</v>
      </c>
      <c r="Q27" s="2"/>
      <c r="R27" s="19"/>
      <c r="S27" s="2"/>
      <c r="T27" s="2"/>
      <c r="U27" s="2"/>
      <c r="V27" s="19"/>
      <c r="W27" s="2"/>
      <c r="X27" s="2">
        <f t="shared" si="2"/>
        <v>-8451.16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"4241", " - ", "SALES RETURN TAXABLE-LOGO GIFT")</f>
        <v xml:space="preserve">          4241 - SALES RETURN TAXABLE-LOGO GIFT</v>
      </c>
      <c r="C28" s="11"/>
      <c r="D28" s="2">
        <f>-99.7</f>
        <v>-99.7</v>
      </c>
      <c r="E28" s="2"/>
      <c r="F28" s="19"/>
      <c r="G28" s="2"/>
      <c r="H28" s="2"/>
      <c r="I28" s="2"/>
      <c r="J28" s="19"/>
      <c r="K28" s="2"/>
      <c r="L28" s="2">
        <f t="shared" si="0"/>
        <v>-99.7</v>
      </c>
      <c r="M28" s="2"/>
      <c r="N28" s="19">
        <f t="shared" si="1"/>
        <v>0</v>
      </c>
      <c r="O28" s="11"/>
      <c r="P28" s="2">
        <f>-969.11</f>
        <v>-969.11</v>
      </c>
      <c r="Q28" s="2"/>
      <c r="R28" s="19"/>
      <c r="S28" s="2"/>
      <c r="T28" s="2"/>
      <c r="U28" s="2"/>
      <c r="V28" s="19"/>
      <c r="W28" s="2"/>
      <c r="X28" s="2">
        <f t="shared" si="2"/>
        <v>-969.11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"4242", " - ", "SALES RETURN TAXABLE-EVERYDAY")</f>
        <v xml:space="preserve">          4242 - SALES RETURN TAXABLE-EVERYDAY</v>
      </c>
      <c r="C29" s="11"/>
      <c r="D29" s="2">
        <f>-243.37</f>
        <v>-243.37</v>
      </c>
      <c r="E29" s="2"/>
      <c r="F29" s="19"/>
      <c r="G29" s="2"/>
      <c r="H29" s="2"/>
      <c r="I29" s="2"/>
      <c r="J29" s="19"/>
      <c r="K29" s="2"/>
      <c r="L29" s="2">
        <f t="shared" si="0"/>
        <v>-243.37</v>
      </c>
      <c r="M29" s="2"/>
      <c r="N29" s="19">
        <f t="shared" si="1"/>
        <v>0</v>
      </c>
      <c r="O29" s="11"/>
      <c r="P29" s="2">
        <f>-758.46</f>
        <v>-758.46</v>
      </c>
      <c r="Q29" s="2"/>
      <c r="R29" s="19"/>
      <c r="S29" s="2"/>
      <c r="T29" s="2"/>
      <c r="U29" s="2"/>
      <c r="V29" s="19"/>
      <c r="W29" s="2"/>
      <c r="X29" s="2">
        <f t="shared" si="2"/>
        <v>-758.46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-64.95</f>
        <v>-64.95</v>
      </c>
      <c r="E30" s="2"/>
      <c r="F30" s="19"/>
      <c r="G30" s="2"/>
      <c r="H30" s="2"/>
      <c r="I30" s="2"/>
      <c r="J30" s="19"/>
      <c r="K30" s="2"/>
      <c r="L30" s="2">
        <f t="shared" si="0"/>
        <v>-64.95</v>
      </c>
      <c r="M30" s="2"/>
      <c r="N30" s="19">
        <f t="shared" si="1"/>
        <v>0</v>
      </c>
      <c r="O30" s="11"/>
      <c r="P30" s="2">
        <f>-130.8</f>
        <v>-130.80000000000001</v>
      </c>
      <c r="Q30" s="2"/>
      <c r="R30" s="19"/>
      <c r="S30" s="2"/>
      <c r="T30" s="2"/>
      <c r="U30" s="2"/>
      <c r="V30" s="19"/>
      <c r="W30" s="2"/>
      <c r="X30" s="2">
        <f t="shared" si="2"/>
        <v>-130.80000000000001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 t="shared" ref="D31:D32" si="5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-9.99</f>
        <v>-9.99</v>
      </c>
      <c r="Q31" s="2"/>
      <c r="R31" s="19"/>
      <c r="S31" s="2"/>
      <c r="T31" s="2"/>
      <c r="U31" s="2"/>
      <c r="V31" s="19"/>
      <c r="W31" s="2"/>
      <c r="X31" s="2">
        <f t="shared" si="2"/>
        <v>-9.99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"4295", " - ", "SALES RETURN TAXABLE-CUSTOMER")</f>
        <v xml:space="preserve">          4295 - SALES RETURN TAXABLE-CUSTOMER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--0.99</f>
        <v>0.99</v>
      </c>
      <c r="Q32" s="2"/>
      <c r="R32" s="19"/>
      <c r="S32" s="2"/>
      <c r="T32" s="2"/>
      <c r="U32" s="2"/>
      <c r="V32" s="19"/>
      <c r="W32" s="2"/>
      <c r="X32" s="2">
        <f t="shared" si="2"/>
        <v>0.99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22460.799999999996</v>
      </c>
      <c r="E34" s="4"/>
      <c r="F34" s="12">
        <f t="shared" ref="F34:F49" si="6">IF(D$12=0,0,D34/D$12)</f>
        <v>0.4314764498321797</v>
      </c>
      <c r="G34" s="4"/>
      <c r="H34" s="4">
        <f>SUM(OSRRefH16x_0)</f>
        <v>26293.327669999999</v>
      </c>
      <c r="I34" s="4"/>
      <c r="J34" s="12">
        <f t="shared" ref="J34:J49" si="7">IF(H$12=0,0,H34/H$12)</f>
        <v>0.43365413100300065</v>
      </c>
      <c r="K34" s="4"/>
      <c r="L34" s="4">
        <f t="shared" ref="L34:L49" si="8">+D34-H34</f>
        <v>-3832.5276700000031</v>
      </c>
      <c r="M34" s="4"/>
      <c r="N34" s="12">
        <f t="shared" ref="N34:N49" si="9">IF(H34=0,0,L34/H34)</f>
        <v>-0.14576046509216928</v>
      </c>
      <c r="O34" s="10"/>
      <c r="P34" s="4">
        <f>SUM(OSRRefP16x_0)</f>
        <v>121022.86999999997</v>
      </c>
      <c r="Q34" s="4"/>
      <c r="R34" s="12">
        <f t="shared" ref="R34:R49" si="10">IF(P$12=0,0,P34/P$12)</f>
        <v>0.42559270695862367</v>
      </c>
      <c r="S34" s="4"/>
      <c r="T34" s="4">
        <f>SUM(OSRRefT16x_0)</f>
        <v>127656.60786</v>
      </c>
      <c r="U34" s="4"/>
      <c r="V34" s="12">
        <f t="shared" ref="V34:V49" si="11">IF(T$12=0,0,T34/T$12)</f>
        <v>0.42729463051388533</v>
      </c>
      <c r="W34" s="4"/>
      <c r="X34" s="4">
        <f t="shared" ref="X34:X49" si="12">+P34-T34</f>
        <v>-6633.7378600000375</v>
      </c>
      <c r="Y34" s="4"/>
      <c r="Z34" s="12">
        <f t="shared" ref="Z34:Z49" si="13">IF(T34=0,0,X34/T34)</f>
        <v>-5.1965487499677304E-2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19">
        <f t="shared" si="6"/>
        <v>0</v>
      </c>
      <c r="G35" s="2"/>
      <c r="H35" s="2">
        <v>26293.327669999999</v>
      </c>
      <c r="I35" s="2"/>
      <c r="J35" s="19">
        <f t="shared" si="7"/>
        <v>0.43365413100300065</v>
      </c>
      <c r="K35" s="2"/>
      <c r="L35" s="2">
        <f t="shared" si="8"/>
        <v>-26293.327669999999</v>
      </c>
      <c r="M35" s="2"/>
      <c r="N35" s="19">
        <f t="shared" si="9"/>
        <v>-1</v>
      </c>
      <c r="O35" s="11"/>
      <c r="P35" s="2"/>
      <c r="Q35" s="2"/>
      <c r="R35" s="19">
        <f t="shared" si="10"/>
        <v>0</v>
      </c>
      <c r="S35" s="2"/>
      <c r="T35" s="2">
        <v>127656.60786</v>
      </c>
      <c r="U35" s="2"/>
      <c r="V35" s="19">
        <f t="shared" si="11"/>
        <v>0.42729463051388533</v>
      </c>
      <c r="W35" s="2"/>
      <c r="X35" s="2">
        <f t="shared" si="12"/>
        <v>-127656.60786</v>
      </c>
      <c r="Y35" s="2"/>
      <c r="Z35" s="19">
        <f t="shared" si="13"/>
        <v>-1</v>
      </c>
    </row>
    <row r="36" spans="1:26" s="24" customFormat="1" hidden="1" outlineLevel="1" x14ac:dyDescent="0.25">
      <c r="A36" s="44"/>
      <c r="B36" s="11" t="str">
        <f>CONCATENATE("          ", "5026", " - ", "PURCHASES @ COST-WRITING INSTR")</f>
        <v xml:space="preserve">          5026 - PURCHASES @ COST-WRITING INSTR</v>
      </c>
      <c r="C36" s="11"/>
      <c r="D36" s="2">
        <v>16.03</v>
      </c>
      <c r="E36" s="2"/>
      <c r="F36" s="19">
        <f t="shared" si="6"/>
        <v>3.0793949862916023E-4</v>
      </c>
      <c r="G36" s="2"/>
      <c r="H36" s="2"/>
      <c r="I36" s="2"/>
      <c r="J36" s="19">
        <f t="shared" si="7"/>
        <v>0</v>
      </c>
      <c r="K36" s="2"/>
      <c r="L36" s="2">
        <f t="shared" si="8"/>
        <v>16.03</v>
      </c>
      <c r="M36" s="2"/>
      <c r="N36" s="19">
        <f t="shared" si="9"/>
        <v>0</v>
      </c>
      <c r="O36" s="11"/>
      <c r="P36" s="2">
        <v>-21.24</v>
      </c>
      <c r="Q36" s="2"/>
      <c r="R36" s="19">
        <f t="shared" si="10"/>
        <v>-7.469323026136439E-5</v>
      </c>
      <c r="S36" s="2"/>
      <c r="T36" s="2"/>
      <c r="U36" s="2"/>
      <c r="V36" s="19">
        <f t="shared" si="11"/>
        <v>0</v>
      </c>
      <c r="W36" s="2"/>
      <c r="X36" s="2">
        <f t="shared" si="12"/>
        <v>-21.24</v>
      </c>
      <c r="Y36" s="2"/>
      <c r="Z36" s="19">
        <f t="shared" si="13"/>
        <v>0</v>
      </c>
    </row>
    <row r="37" spans="1:26" s="24" customFormat="1" hidden="1" outlineLevel="1" x14ac:dyDescent="0.25">
      <c r="A37" s="44"/>
      <c r="B37" s="11" t="str">
        <f>CONCATENATE("          ", "5027", " - ", "PURCHASES @ COST-SCHOOL SUPPLI")</f>
        <v xml:space="preserve">          5027 - PURCHASES @ COST-SCHOOL SUPPLI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51.29</v>
      </c>
      <c r="Q37" s="2"/>
      <c r="R37" s="19">
        <f t="shared" si="10"/>
        <v>1.8036797458123257E-4</v>
      </c>
      <c r="S37" s="2"/>
      <c r="T37" s="2"/>
      <c r="U37" s="2"/>
      <c r="V37" s="19">
        <f t="shared" si="11"/>
        <v>0</v>
      </c>
      <c r="W37" s="2"/>
      <c r="X37" s="2">
        <f t="shared" si="12"/>
        <v>51.29</v>
      </c>
      <c r="Y37" s="2"/>
      <c r="Z37" s="19">
        <f t="shared" si="13"/>
        <v>0</v>
      </c>
    </row>
    <row r="38" spans="1:26" s="24" customFormat="1" hidden="1" outlineLevel="1" x14ac:dyDescent="0.25">
      <c r="A38" s="44"/>
      <c r="B38" s="11" t="str">
        <f>CONCATENATE("          ", "5037", " - ", "PURCHASES @ COST-WATER")</f>
        <v xml:space="preserve">          5037 - PURCHASES @ COST-WATER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29.76</v>
      </c>
      <c r="Q38" s="2"/>
      <c r="R38" s="19">
        <f t="shared" si="10"/>
        <v>1.0465492149614899E-4</v>
      </c>
      <c r="S38" s="2"/>
      <c r="T38" s="2"/>
      <c r="U38" s="2"/>
      <c r="V38" s="19">
        <f t="shared" si="11"/>
        <v>0</v>
      </c>
      <c r="W38" s="2"/>
      <c r="X38" s="2">
        <f t="shared" si="12"/>
        <v>29.76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"5040", " - ", "PURCHASES @ COST-LOGO CLOTHING")</f>
        <v xml:space="preserve">          5040 - PURCHASES @ COST-LOGO CLOTHING</v>
      </c>
      <c r="C39" s="11"/>
      <c r="D39" s="2">
        <v>30675.16</v>
      </c>
      <c r="E39" s="2"/>
      <c r="F39" s="19">
        <f t="shared" si="6"/>
        <v>0.58927594452709109</v>
      </c>
      <c r="G39" s="2"/>
      <c r="H39" s="2"/>
      <c r="I39" s="2"/>
      <c r="J39" s="19">
        <f t="shared" si="7"/>
        <v>0</v>
      </c>
      <c r="K39" s="2"/>
      <c r="L39" s="2">
        <f t="shared" si="8"/>
        <v>30675.16</v>
      </c>
      <c r="M39" s="2"/>
      <c r="N39" s="19">
        <f t="shared" si="9"/>
        <v>0</v>
      </c>
      <c r="O39" s="11"/>
      <c r="P39" s="2">
        <v>156047.34999999998</v>
      </c>
      <c r="Q39" s="2"/>
      <c r="R39" s="19">
        <f t="shared" si="10"/>
        <v>0.54876085900309413</v>
      </c>
      <c r="S39" s="2"/>
      <c r="T39" s="2"/>
      <c r="U39" s="2"/>
      <c r="V39" s="19">
        <f t="shared" si="11"/>
        <v>0</v>
      </c>
      <c r="W39" s="2"/>
      <c r="X39" s="2">
        <f t="shared" si="12"/>
        <v>156047.34999999998</v>
      </c>
      <c r="Y39" s="2"/>
      <c r="Z39" s="19">
        <f t="shared" si="13"/>
        <v>0</v>
      </c>
    </row>
    <row r="40" spans="1:26" s="24" customFormat="1" hidden="1" outlineLevel="1" x14ac:dyDescent="0.25">
      <c r="A40" s="44"/>
      <c r="B40" s="11" t="str">
        <f>CONCATENATE("          ", "5041", " - ", "PURCHASES @ COST-LOGO GIFTS")</f>
        <v xml:space="preserve">          5041 - PURCHASES @ COST-LOGO GIFTS</v>
      </c>
      <c r="C40" s="11"/>
      <c r="D40" s="2">
        <v>5065.1099999999997</v>
      </c>
      <c r="E40" s="2"/>
      <c r="F40" s="19">
        <f t="shared" si="6"/>
        <v>9.7301773792984755E-2</v>
      </c>
      <c r="G40" s="2"/>
      <c r="H40" s="2"/>
      <c r="I40" s="2"/>
      <c r="J40" s="19">
        <f t="shared" si="7"/>
        <v>0</v>
      </c>
      <c r="K40" s="2"/>
      <c r="L40" s="2">
        <f t="shared" si="8"/>
        <v>5065.1099999999997</v>
      </c>
      <c r="M40" s="2"/>
      <c r="N40" s="19">
        <f t="shared" si="9"/>
        <v>0</v>
      </c>
      <c r="O40" s="11"/>
      <c r="P40" s="2">
        <v>19779.47</v>
      </c>
      <c r="Q40" s="2"/>
      <c r="R40" s="19">
        <f t="shared" si="10"/>
        <v>6.9557086024376144E-2</v>
      </c>
      <c r="S40" s="2"/>
      <c r="T40" s="2"/>
      <c r="U40" s="2"/>
      <c r="V40" s="19">
        <f t="shared" si="11"/>
        <v>0</v>
      </c>
      <c r="W40" s="2"/>
      <c r="X40" s="2">
        <f t="shared" si="12"/>
        <v>19779.47</v>
      </c>
      <c r="Y40" s="2"/>
      <c r="Z40" s="19">
        <f t="shared" si="13"/>
        <v>0</v>
      </c>
    </row>
    <row r="41" spans="1:26" s="24" customFormat="1" hidden="1" outlineLevel="1" x14ac:dyDescent="0.25">
      <c r="A41" s="44"/>
      <c r="B41" s="11" t="str">
        <f>CONCATENATE("          ", "5042", " - ", "PURCHASES @ COST-EVERYDAY GIFT")</f>
        <v xml:space="preserve">          5042 - PURCHASES @ COST-EVERYDAY GIFT</v>
      </c>
      <c r="C41" s="11"/>
      <c r="D41" s="2">
        <v>2694.09</v>
      </c>
      <c r="E41" s="2"/>
      <c r="F41" s="19">
        <f t="shared" si="6"/>
        <v>5.1754006479216109E-2</v>
      </c>
      <c r="G41" s="2"/>
      <c r="H41" s="2"/>
      <c r="I41" s="2"/>
      <c r="J41" s="19">
        <f t="shared" si="7"/>
        <v>0</v>
      </c>
      <c r="K41" s="2"/>
      <c r="L41" s="2">
        <f t="shared" si="8"/>
        <v>2694.09</v>
      </c>
      <c r="M41" s="2"/>
      <c r="N41" s="19">
        <f t="shared" si="9"/>
        <v>0</v>
      </c>
      <c r="O41" s="11"/>
      <c r="P41" s="2">
        <v>16563.04</v>
      </c>
      <c r="Q41" s="2"/>
      <c r="R41" s="19">
        <f t="shared" si="10"/>
        <v>5.8246090421289504E-2</v>
      </c>
      <c r="S41" s="2"/>
      <c r="T41" s="2"/>
      <c r="U41" s="2"/>
      <c r="V41" s="19">
        <f t="shared" si="11"/>
        <v>0</v>
      </c>
      <c r="W41" s="2"/>
      <c r="X41" s="2">
        <f t="shared" si="12"/>
        <v>16563.04</v>
      </c>
      <c r="Y41" s="2"/>
      <c r="Z41" s="19">
        <f t="shared" si="13"/>
        <v>0</v>
      </c>
    </row>
    <row r="42" spans="1:26" s="24" customFormat="1" hidden="1" outlineLevel="1" x14ac:dyDescent="0.25">
      <c r="A42" s="44"/>
      <c r="B42" s="11" t="str">
        <f>CONCATENATE("          ", "5043", " - ", "PURCHASES @ COST-CARDS")</f>
        <v xml:space="preserve">          5043 - PURCHASES @ COST-CARDS</v>
      </c>
      <c r="C42" s="11"/>
      <c r="D42" s="2">
        <v>245.92</v>
      </c>
      <c r="E42" s="2"/>
      <c r="F42" s="19">
        <f t="shared" si="6"/>
        <v>4.7241722709222131E-3</v>
      </c>
      <c r="G42" s="2"/>
      <c r="H42" s="2"/>
      <c r="I42" s="2"/>
      <c r="J42" s="19">
        <f t="shared" si="7"/>
        <v>0</v>
      </c>
      <c r="K42" s="2"/>
      <c r="L42" s="2">
        <f t="shared" si="8"/>
        <v>245.92</v>
      </c>
      <c r="M42" s="2"/>
      <c r="N42" s="19">
        <f t="shared" si="9"/>
        <v>0</v>
      </c>
      <c r="O42" s="11"/>
      <c r="P42" s="2">
        <v>339.32</v>
      </c>
      <c r="Q42" s="2"/>
      <c r="R42" s="19">
        <f t="shared" si="10"/>
        <v>1.193263036359989E-3</v>
      </c>
      <c r="S42" s="2"/>
      <c r="T42" s="2"/>
      <c r="U42" s="2"/>
      <c r="V42" s="19">
        <f t="shared" si="11"/>
        <v>0</v>
      </c>
      <c r="W42" s="2"/>
      <c r="X42" s="2">
        <f t="shared" si="12"/>
        <v>339.32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"5044", " - ", "PURCHASES @ COST-ACCESSORIES")</f>
        <v xml:space="preserve">          5044 - PURCHASES @ COST-ACCESSORIES</v>
      </c>
      <c r="C43" s="11"/>
      <c r="D43" s="2">
        <v>-589.26</v>
      </c>
      <c r="E43" s="2"/>
      <c r="F43" s="19">
        <f t="shared" si="6"/>
        <v>-1.1319802181049216E-2</v>
      </c>
      <c r="G43" s="2"/>
      <c r="H43" s="2"/>
      <c r="I43" s="2"/>
      <c r="J43" s="19">
        <f t="shared" si="7"/>
        <v>0</v>
      </c>
      <c r="K43" s="2"/>
      <c r="L43" s="2">
        <f t="shared" si="8"/>
        <v>-589.26</v>
      </c>
      <c r="M43" s="2"/>
      <c r="N43" s="19">
        <f t="shared" si="9"/>
        <v>0</v>
      </c>
      <c r="O43" s="11"/>
      <c r="P43" s="2">
        <v>-5954.42</v>
      </c>
      <c r="Q43" s="2"/>
      <c r="R43" s="19">
        <f t="shared" si="10"/>
        <v>-2.0939494544862214E-2</v>
      </c>
      <c r="S43" s="2"/>
      <c r="T43" s="2"/>
      <c r="U43" s="2"/>
      <c r="V43" s="19">
        <f t="shared" si="11"/>
        <v>0</v>
      </c>
      <c r="W43" s="2"/>
      <c r="X43" s="2">
        <f t="shared" si="12"/>
        <v>-5954.42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"5045", " - ", "PURCHASES @ COST-SPECIAL ORDER")</f>
        <v xml:space="preserve">          5045 - PURCHASES @ COST-SPECIAL ORDER</v>
      </c>
      <c r="C44" s="11"/>
      <c r="D44" s="2">
        <v>11.75</v>
      </c>
      <c r="E44" s="2"/>
      <c r="F44" s="19">
        <f t="shared" si="6"/>
        <v>2.2571984459716983E-4</v>
      </c>
      <c r="G44" s="2"/>
      <c r="H44" s="2"/>
      <c r="I44" s="2"/>
      <c r="J44" s="19">
        <f t="shared" si="7"/>
        <v>0</v>
      </c>
      <c r="K44" s="2"/>
      <c r="L44" s="2">
        <f t="shared" si="8"/>
        <v>11.75</v>
      </c>
      <c r="M44" s="2"/>
      <c r="N44" s="19">
        <f t="shared" si="9"/>
        <v>0</v>
      </c>
      <c r="O44" s="11"/>
      <c r="P44" s="2">
        <v>-971.45</v>
      </c>
      <c r="Q44" s="2"/>
      <c r="R44" s="19">
        <f t="shared" si="10"/>
        <v>-3.4162306279379683E-3</v>
      </c>
      <c r="S44" s="2"/>
      <c r="T44" s="2"/>
      <c r="U44" s="2"/>
      <c r="V44" s="19">
        <f t="shared" si="11"/>
        <v>0</v>
      </c>
      <c r="W44" s="2"/>
      <c r="X44" s="2">
        <f t="shared" si="12"/>
        <v>-971.45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"5083", " - ", "PURCHASES @ COST-COMPUTER EQUI")</f>
        <v xml:space="preserve">          5083 - PURCHASES @ COST-COMPUTER EQUI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39.950000000000003</v>
      </c>
      <c r="Q45" s="2"/>
      <c r="R45" s="19">
        <f t="shared" si="10"/>
        <v>1.4048938554338551E-4</v>
      </c>
      <c r="S45" s="2"/>
      <c r="T45" s="2"/>
      <c r="U45" s="2"/>
      <c r="V45" s="19">
        <f t="shared" si="11"/>
        <v>0</v>
      </c>
      <c r="W45" s="2"/>
      <c r="X45" s="2">
        <f t="shared" si="12"/>
        <v>39.950000000000003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"5092", " - ", "PURCHASES @ COST-GRAD MERCH")</f>
        <v xml:space="preserve">          5092 - PURCHASES @ COST-GRAD MERCH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-60.35</v>
      </c>
      <c r="Q46" s="2"/>
      <c r="R46" s="19">
        <f t="shared" si="10"/>
        <v>-2.1222864624639083E-4</v>
      </c>
      <c r="S46" s="2"/>
      <c r="T46" s="2"/>
      <c r="U46" s="2"/>
      <c r="V46" s="19">
        <f t="shared" si="11"/>
        <v>0</v>
      </c>
      <c r="W46" s="2"/>
      <c r="X46" s="2">
        <f t="shared" si="12"/>
        <v>-60.35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"5095", " - ", "PURCHASES @ COST-CUSTOMER SERV")</f>
        <v xml:space="preserve">          5095 - PURCHASES @ COST-CUSTOMER SERV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-11.85</v>
      </c>
      <c r="Q47" s="2"/>
      <c r="R47" s="19">
        <f t="shared" si="10"/>
        <v>-4.1672070555422226E-5</v>
      </c>
      <c r="S47" s="2"/>
      <c r="T47" s="2"/>
      <c r="U47" s="2"/>
      <c r="V47" s="19">
        <f t="shared" si="11"/>
        <v>0</v>
      </c>
      <c r="W47" s="2"/>
      <c r="X47" s="2">
        <f t="shared" si="12"/>
        <v>-11.85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"5200", " - ", "PURCHASES OFFSET")</f>
        <v xml:space="preserve">          5200 - PURCHASES OFFSET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-147712</v>
      </c>
      <c r="Q48" s="2"/>
      <c r="R48" s="19">
        <f t="shared" si="10"/>
        <v>-0.51944851357658461</v>
      </c>
      <c r="S48" s="2"/>
      <c r="T48" s="2"/>
      <c r="U48" s="2"/>
      <c r="V48" s="19">
        <f t="shared" si="11"/>
        <v>0</v>
      </c>
      <c r="W48" s="2"/>
      <c r="X48" s="2">
        <f t="shared" si="12"/>
        <v>-147712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"5300", " - ", "COG$ OFFSET")</f>
        <v xml:space="preserve">          5300 - COG$ OFFSET</v>
      </c>
      <c r="C49" s="11"/>
      <c r="D49" s="2">
        <v>-15658</v>
      </c>
      <c r="E49" s="2"/>
      <c r="F49" s="19">
        <f t="shared" si="6"/>
        <v>-0.30079330440021151</v>
      </c>
      <c r="G49" s="2"/>
      <c r="H49" s="2"/>
      <c r="I49" s="2"/>
      <c r="J49" s="19">
        <f t="shared" si="7"/>
        <v>0</v>
      </c>
      <c r="K49" s="2"/>
      <c r="L49" s="2">
        <f t="shared" si="8"/>
        <v>-15658</v>
      </c>
      <c r="M49" s="2"/>
      <c r="N49" s="19">
        <f t="shared" si="9"/>
        <v>0</v>
      </c>
      <c r="O49" s="11"/>
      <c r="P49" s="2">
        <v>82904</v>
      </c>
      <c r="Q49" s="2"/>
      <c r="R49" s="19">
        <f t="shared" si="10"/>
        <v>0.29154272888833116</v>
      </c>
      <c r="S49" s="2"/>
      <c r="T49" s="2"/>
      <c r="U49" s="2"/>
      <c r="V49" s="19">
        <f t="shared" si="11"/>
        <v>0</v>
      </c>
      <c r="W49" s="2"/>
      <c r="X49" s="2">
        <f t="shared" si="12"/>
        <v>82904</v>
      </c>
      <c r="Y49" s="2"/>
      <c r="Z49" s="19">
        <f t="shared" si="13"/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6</v>
      </c>
      <c r="C51" s="29"/>
      <c r="D51" s="22">
        <f>D12-D34</f>
        <v>29594.879999999997</v>
      </c>
      <c r="E51" s="14"/>
      <c r="F51" s="20">
        <f>IF(D$12=0,0,D51/D$12)</f>
        <v>0.5685235501678203</v>
      </c>
      <c r="G51" s="14"/>
      <c r="H51" s="22">
        <f>H12-H34</f>
        <v>34338.696310000007</v>
      </c>
      <c r="I51" s="14"/>
      <c r="J51" s="20">
        <f>IF(H$12=0,0,H51/H$12)</f>
        <v>0.56634586899699935</v>
      </c>
      <c r="K51" s="16"/>
      <c r="L51" s="22">
        <f>+D51-H51</f>
        <v>-4743.8163100000093</v>
      </c>
      <c r="M51" s="16"/>
      <c r="N51" s="20">
        <f>IF(H51=0,0,L51/H51)</f>
        <v>-0.13814782795404293</v>
      </c>
      <c r="O51" s="28"/>
      <c r="P51" s="22">
        <f>P12-P34</f>
        <v>163340.25000000009</v>
      </c>
      <c r="Q51" s="14"/>
      <c r="R51" s="20">
        <f>IF(P$12=0,0,P51/P$12)</f>
        <v>0.57440729304137628</v>
      </c>
      <c r="S51" s="14"/>
      <c r="T51" s="22">
        <f>T12-T34</f>
        <v>171098.86141999997</v>
      </c>
      <c r="U51" s="14"/>
      <c r="V51" s="20">
        <f>IF(T$12=0,0,T51/T$12)</f>
        <v>0.57270536948611472</v>
      </c>
      <c r="W51" s="16"/>
      <c r="X51" s="22">
        <f>+P51-T51</f>
        <v>-7758.6114199998847</v>
      </c>
      <c r="Y51" s="16"/>
      <c r="Z51" s="20">
        <f>IF(T51=0,0,X51/T51)</f>
        <v>-4.5345780536520684E-2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8" t="s">
        <v>9</v>
      </c>
      <c r="C53" s="10"/>
      <c r="D53" s="21">
        <f>SUM(OSRRefD22x_0)</f>
        <v>35034.880000000005</v>
      </c>
      <c r="E53" s="21"/>
      <c r="F53" s="30">
        <f t="shared" ref="F53:F63" si="14">IF(D$12=0,0,D53/D$12)</f>
        <v>0.67302703566642508</v>
      </c>
      <c r="G53" s="21"/>
      <c r="H53" s="21">
        <f>SUM(OSRRefH22x_0)</f>
        <v>31224.18201333077</v>
      </c>
      <c r="I53" s="21"/>
      <c r="J53" s="30">
        <f t="shared" ref="J53:J63" si="15">IF(H$12=0,0,H53/H$12)</f>
        <v>0.51497838870809154</v>
      </c>
      <c r="K53" s="4"/>
      <c r="L53" s="21">
        <f t="shared" ref="L53:L63" si="16">+D53-H53</f>
        <v>3810.6979866692345</v>
      </c>
      <c r="M53" s="4"/>
      <c r="N53" s="30">
        <f t="shared" ref="N53:N63" si="17">IF(H53=0,0,L53/H53)</f>
        <v>0.12204316465495574</v>
      </c>
      <c r="O53" s="10"/>
      <c r="P53" s="21">
        <f>SUM(OSRRefP22x_0)</f>
        <v>187718.76</v>
      </c>
      <c r="Q53" s="21"/>
      <c r="R53" s="30">
        <f t="shared" ref="R53:R63" si="18">IF(P$12=0,0,P53/P$12)</f>
        <v>0.66013750306298502</v>
      </c>
      <c r="S53" s="21"/>
      <c r="T53" s="21">
        <f>SUM(OSRRefT22x_0)</f>
        <v>163984.10670164999</v>
      </c>
      <c r="U53" s="21"/>
      <c r="V53" s="30">
        <f t="shared" ref="V53:V63" si="19">IF(T$12=0,0,T53/T$12)</f>
        <v>0.54889072691071172</v>
      </c>
      <c r="W53" s="4"/>
      <c r="X53" s="21">
        <f t="shared" ref="X53:X63" si="20">+P53-T53</f>
        <v>23734.653298350022</v>
      </c>
      <c r="Y53" s="4"/>
      <c r="Z53" s="30">
        <f t="shared" ref="Z53:Z63" si="21">IF(T53=0,0,X53/T53)</f>
        <v>0.14473752228642781</v>
      </c>
    </row>
    <row r="54" spans="1:26" s="25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2002.93</v>
      </c>
      <c r="E54" s="1"/>
      <c r="F54" s="5">
        <f t="shared" si="14"/>
        <v>3.8476684965022073E-2</v>
      </c>
      <c r="G54" s="1"/>
      <c r="H54" s="1">
        <f>SUM(OSRRefH22_0x_0)</f>
        <v>1793.6562440999999</v>
      </c>
      <c r="I54" s="1"/>
      <c r="J54" s="5">
        <f t="shared" si="15"/>
        <v>2.9582654946363869E-2</v>
      </c>
      <c r="K54" s="1"/>
      <c r="L54" s="1">
        <f t="shared" si="16"/>
        <v>209.2737559000002</v>
      </c>
      <c r="M54" s="1"/>
      <c r="N54" s="5">
        <f t="shared" si="17"/>
        <v>0.11667439432075077</v>
      </c>
      <c r="O54" s="13"/>
      <c r="P54" s="1">
        <f>SUM(OSRRefP22_0x_0)</f>
        <v>12671.240000000002</v>
      </c>
      <c r="Q54" s="1"/>
      <c r="R54" s="5">
        <f t="shared" si="18"/>
        <v>4.4560068126977929E-2</v>
      </c>
      <c r="S54" s="1"/>
      <c r="T54" s="1">
        <f>SUM(OSRRefT22_0x_0)</f>
        <v>12255.439201649997</v>
      </c>
      <c r="U54" s="1"/>
      <c r="V54" s="5">
        <f t="shared" si="19"/>
        <v>4.1021639641227584E-2</v>
      </c>
      <c r="W54" s="1"/>
      <c r="X54" s="1">
        <f t="shared" si="20"/>
        <v>415.8007983500047</v>
      </c>
      <c r="Y54" s="1"/>
      <c r="Z54" s="5">
        <f t="shared" si="21"/>
        <v>3.3927857786934627E-2</v>
      </c>
    </row>
    <row r="55" spans="1:26" s="24" customFormat="1" hidden="1" outlineLevel="2" x14ac:dyDescent="0.25">
      <c r="A55" s="26"/>
      <c r="B55" s="11" t="str">
        <f>CONCATENATE("          ", "6111", " - ", "F.I.C.A.")</f>
        <v xml:space="preserve">          6111 - F.I.C.A.</v>
      </c>
      <c r="C55" s="11"/>
      <c r="D55" s="6">
        <v>316.92</v>
      </c>
      <c r="E55" s="2"/>
      <c r="F55" s="7">
        <f t="shared" si="14"/>
        <v>6.0880964382753252E-3</v>
      </c>
      <c r="G55" s="2"/>
      <c r="H55" s="6">
        <v>292.98280133076901</v>
      </c>
      <c r="I55" s="2"/>
      <c r="J55" s="7">
        <f t="shared" si="15"/>
        <v>4.832146151469591E-3</v>
      </c>
      <c r="K55" s="2"/>
      <c r="L55" s="6">
        <f t="shared" si="16"/>
        <v>23.937198669231009</v>
      </c>
      <c r="M55" s="2"/>
      <c r="N55" s="7">
        <f t="shared" si="17"/>
        <v>8.1701719556591348E-2</v>
      </c>
      <c r="O55" s="11"/>
      <c r="P55" s="6">
        <v>2823.02</v>
      </c>
      <c r="Q55" s="2"/>
      <c r="R55" s="7">
        <f t="shared" si="18"/>
        <v>9.9275180269508909E-3</v>
      </c>
      <c r="S55" s="2"/>
      <c r="T55" s="6">
        <v>2900.4644236499989</v>
      </c>
      <c r="U55" s="2"/>
      <c r="V55" s="7">
        <f t="shared" si="19"/>
        <v>9.708489791467623E-3</v>
      </c>
      <c r="W55" s="2"/>
      <c r="X55" s="6">
        <f t="shared" si="20"/>
        <v>-77.444423649998953</v>
      </c>
      <c r="Y55" s="2"/>
      <c r="Z55" s="7">
        <f t="shared" si="21"/>
        <v>-2.670069766018417E-2</v>
      </c>
    </row>
    <row r="56" spans="1:26" s="24" customFormat="1" hidden="1" outlineLevel="2" x14ac:dyDescent="0.25">
      <c r="A56" s="26"/>
      <c r="B56" s="11" t="str">
        <f>CONCATENATE("          ", "6112", " - ", "COMPENSATION INSURANCE")</f>
        <v xml:space="preserve">          6112 - COMPENSATION INSURANCE</v>
      </c>
      <c r="C56" s="11"/>
      <c r="D56" s="6">
        <v>304.49</v>
      </c>
      <c r="E56" s="2"/>
      <c r="F56" s="7">
        <f t="shared" si="14"/>
        <v>5.8493136579908294E-3</v>
      </c>
      <c r="G56" s="2"/>
      <c r="H56" s="6">
        <v>155.95844538461498</v>
      </c>
      <c r="I56" s="2"/>
      <c r="J56" s="7">
        <f t="shared" si="15"/>
        <v>2.5722124241813072E-3</v>
      </c>
      <c r="K56" s="2"/>
      <c r="L56" s="6">
        <f t="shared" si="16"/>
        <v>148.53155461538503</v>
      </c>
      <c r="M56" s="2"/>
      <c r="N56" s="7">
        <f t="shared" si="17"/>
        <v>0.95237904077003199</v>
      </c>
      <c r="O56" s="11"/>
      <c r="P56" s="6">
        <v>1002.17</v>
      </c>
      <c r="Q56" s="2"/>
      <c r="R56" s="7">
        <f t="shared" si="18"/>
        <v>3.5242615146436704E-3</v>
      </c>
      <c r="S56" s="2"/>
      <c r="T56" s="6">
        <v>1070.758394999998</v>
      </c>
      <c r="U56" s="2"/>
      <c r="V56" s="7">
        <f t="shared" si="19"/>
        <v>3.5840629046240509E-3</v>
      </c>
      <c r="W56" s="2"/>
      <c r="X56" s="6">
        <f t="shared" si="20"/>
        <v>-68.588394999998059</v>
      </c>
      <c r="Y56" s="2"/>
      <c r="Z56" s="7">
        <f t="shared" si="21"/>
        <v>-6.4055902172028445E-2</v>
      </c>
    </row>
    <row r="57" spans="1:26" s="24" customFormat="1" hidden="1" outlineLevel="2" x14ac:dyDescent="0.25">
      <c r="A57" s="26"/>
      <c r="B57" s="11" t="str">
        <f>CONCATENATE("          ", "6113", " - ", "GROUP INSURANCE")</f>
        <v xml:space="preserve">          6113 - GROUP INSURANCE</v>
      </c>
      <c r="C57" s="11"/>
      <c r="D57" s="6">
        <v>935.3</v>
      </c>
      <c r="E57" s="2"/>
      <c r="F57" s="7">
        <f t="shared" si="14"/>
        <v>1.7967299629934718E-2</v>
      </c>
      <c r="G57" s="2"/>
      <c r="H57" s="6">
        <v>988.5</v>
      </c>
      <c r="I57" s="2"/>
      <c r="J57" s="7">
        <f t="shared" si="15"/>
        <v>1.6303265751545178E-2</v>
      </c>
      <c r="K57" s="2"/>
      <c r="L57" s="6">
        <f t="shared" si="16"/>
        <v>-53.200000000000045</v>
      </c>
      <c r="M57" s="2"/>
      <c r="N57" s="7">
        <f t="shared" si="17"/>
        <v>-5.3818917551846278E-2</v>
      </c>
      <c r="O57" s="11"/>
      <c r="P57" s="6">
        <v>5343.76</v>
      </c>
      <c r="Q57" s="2"/>
      <c r="R57" s="7">
        <f t="shared" si="18"/>
        <v>1.879202900854372E-2</v>
      </c>
      <c r="S57" s="2"/>
      <c r="T57" s="6">
        <v>5931</v>
      </c>
      <c r="U57" s="2"/>
      <c r="V57" s="7">
        <f t="shared" si="19"/>
        <v>1.9852356223950301E-2</v>
      </c>
      <c r="W57" s="2"/>
      <c r="X57" s="6">
        <f t="shared" si="20"/>
        <v>-587.23999999999978</v>
      </c>
      <c r="Y57" s="2"/>
      <c r="Z57" s="7">
        <f t="shared" si="21"/>
        <v>-9.9011970999831361E-2</v>
      </c>
    </row>
    <row r="58" spans="1:26" s="24" customFormat="1" hidden="1" outlineLevel="2" x14ac:dyDescent="0.25">
      <c r="A58" s="26"/>
      <c r="B58" s="11" t="str">
        <f>CONCATENATE("          ", "6114", " - ", "STATE UNEMPLOYMENT INSURANCE")</f>
        <v xml:space="preserve">          6114 - STATE UNEMPLOYMENT INSURANCE</v>
      </c>
      <c r="C58" s="11"/>
      <c r="D58" s="6">
        <v>41.67</v>
      </c>
      <c r="E58" s="2"/>
      <c r="F58" s="7">
        <f t="shared" si="14"/>
        <v>8.0048901483949512E-4</v>
      </c>
      <c r="G58" s="2"/>
      <c r="H58" s="6">
        <v>21.341681999999999</v>
      </c>
      <c r="I58" s="2"/>
      <c r="J58" s="7">
        <f t="shared" si="15"/>
        <v>3.5198696330902189E-4</v>
      </c>
      <c r="K58" s="2"/>
      <c r="L58" s="6">
        <f t="shared" si="16"/>
        <v>20.328318000000003</v>
      </c>
      <c r="M58" s="2"/>
      <c r="N58" s="7">
        <f t="shared" si="17"/>
        <v>0.95251714461868586</v>
      </c>
      <c r="O58" s="11"/>
      <c r="P58" s="6">
        <v>169.85</v>
      </c>
      <c r="Q58" s="2"/>
      <c r="R58" s="7">
        <f t="shared" si="18"/>
        <v>5.9729967796105191E-4</v>
      </c>
      <c r="S58" s="2"/>
      <c r="T58" s="6">
        <v>146.524833</v>
      </c>
      <c r="U58" s="2"/>
      <c r="V58" s="7">
        <f t="shared" si="19"/>
        <v>4.9045071326434474E-4</v>
      </c>
      <c r="W58" s="2"/>
      <c r="X58" s="6">
        <f t="shared" si="20"/>
        <v>23.325166999999993</v>
      </c>
      <c r="Y58" s="2"/>
      <c r="Z58" s="7">
        <f t="shared" si="21"/>
        <v>0.15918917307348163</v>
      </c>
    </row>
    <row r="59" spans="1:26" s="24" customFormat="1" hidden="1" outlineLevel="2" x14ac:dyDescent="0.25">
      <c r="A59" s="26"/>
      <c r="B59" s="11" t="str">
        <f>CONCATENATE("          ", "6115", " - ", "P.E.R.S.")</f>
        <v xml:space="preserve">          6115 - P.E.R.S.</v>
      </c>
      <c r="C59" s="11"/>
      <c r="D59" s="6">
        <v>155.82</v>
      </c>
      <c r="E59" s="2"/>
      <c r="F59" s="7">
        <f t="shared" si="14"/>
        <v>2.9933332923515747E-3</v>
      </c>
      <c r="G59" s="2"/>
      <c r="H59" s="6">
        <v>172.53915384615402</v>
      </c>
      <c r="I59" s="2"/>
      <c r="J59" s="7">
        <f t="shared" si="15"/>
        <v>2.8456769627724708E-3</v>
      </c>
      <c r="K59" s="2"/>
      <c r="L59" s="6">
        <f t="shared" si="16"/>
        <v>-16.719153846154029</v>
      </c>
      <c r="M59" s="2"/>
      <c r="N59" s="7">
        <f t="shared" si="17"/>
        <v>-9.6900636600210768E-2</v>
      </c>
      <c r="O59" s="11"/>
      <c r="P59" s="6">
        <v>1153.75</v>
      </c>
      <c r="Q59" s="2"/>
      <c r="R59" s="7">
        <f t="shared" si="18"/>
        <v>4.0573123547104134E-3</v>
      </c>
      <c r="S59" s="2"/>
      <c r="T59" s="6">
        <v>1121.5045</v>
      </c>
      <c r="U59" s="2"/>
      <c r="V59" s="7">
        <f t="shared" si="19"/>
        <v>3.7539212343219138E-3</v>
      </c>
      <c r="W59" s="2"/>
      <c r="X59" s="6">
        <f t="shared" si="20"/>
        <v>32.245499999999993</v>
      </c>
      <c r="Y59" s="2"/>
      <c r="Z59" s="7">
        <f t="shared" si="21"/>
        <v>2.8752002332580916E-2</v>
      </c>
    </row>
    <row r="60" spans="1:26" s="24" customFormat="1" hidden="1" outlineLevel="2" x14ac:dyDescent="0.25">
      <c r="A60" s="26"/>
      <c r="B60" s="11" t="str">
        <f>CONCATENATE("          ", "6116", " - ", "EDUCATIONAL BENEFITS")</f>
        <v xml:space="preserve">          6116 - EDUCATIONAL BENEFITS</v>
      </c>
      <c r="C60" s="11"/>
      <c r="D60" s="6"/>
      <c r="E60" s="2"/>
      <c r="F60" s="7">
        <f t="shared" si="14"/>
        <v>0</v>
      </c>
      <c r="G60" s="2"/>
      <c r="H60" s="6">
        <v>0</v>
      </c>
      <c r="I60" s="2"/>
      <c r="J60" s="7">
        <f t="shared" si="15"/>
        <v>0</v>
      </c>
      <c r="K60" s="2"/>
      <c r="L60" s="6">
        <f t="shared" si="16"/>
        <v>0</v>
      </c>
      <c r="M60" s="2"/>
      <c r="N60" s="7">
        <f t="shared" si="17"/>
        <v>0</v>
      </c>
      <c r="O60" s="11"/>
      <c r="P60" s="6"/>
      <c r="Q60" s="2"/>
      <c r="R60" s="7">
        <f t="shared" si="18"/>
        <v>0</v>
      </c>
      <c r="S60" s="2"/>
      <c r="T60" s="6">
        <v>0</v>
      </c>
      <c r="U60" s="2"/>
      <c r="V60" s="7">
        <f t="shared" si="19"/>
        <v>0</v>
      </c>
      <c r="W60" s="2"/>
      <c r="X60" s="6">
        <f t="shared" si="20"/>
        <v>0</v>
      </c>
      <c r="Y60" s="2"/>
      <c r="Z60" s="7">
        <f t="shared" si="21"/>
        <v>0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145.84</v>
      </c>
      <c r="E61" s="2"/>
      <c r="F61" s="7">
        <f t="shared" si="14"/>
        <v>2.8016155009405316E-3</v>
      </c>
      <c r="G61" s="2"/>
      <c r="H61" s="6">
        <v>60.188076923076899</v>
      </c>
      <c r="I61" s="2"/>
      <c r="J61" s="7">
        <f t="shared" si="15"/>
        <v>9.9267801026946506E-4</v>
      </c>
      <c r="K61" s="2"/>
      <c r="L61" s="6">
        <f t="shared" si="16"/>
        <v>85.651923076923111</v>
      </c>
      <c r="M61" s="2"/>
      <c r="N61" s="7">
        <f t="shared" si="17"/>
        <v>1.423071270185126</v>
      </c>
      <c r="O61" s="11"/>
      <c r="P61" s="6">
        <v>1305.1600000000001</v>
      </c>
      <c r="Q61" s="2"/>
      <c r="R61" s="7">
        <f t="shared" si="18"/>
        <v>4.5897653676046308E-3</v>
      </c>
      <c r="S61" s="2"/>
      <c r="T61" s="6">
        <v>391.22250000000003</v>
      </c>
      <c r="U61" s="2"/>
      <c r="V61" s="7">
        <f t="shared" si="19"/>
        <v>1.3095074073215978E-3</v>
      </c>
      <c r="W61" s="2"/>
      <c r="X61" s="6">
        <f t="shared" si="20"/>
        <v>913.9375</v>
      </c>
      <c r="Y61" s="2"/>
      <c r="Z61" s="7">
        <f t="shared" si="21"/>
        <v>2.3361066912051327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102.89</v>
      </c>
      <c r="E62" s="2"/>
      <c r="F62" s="7">
        <f t="shared" si="14"/>
        <v>1.9765374306896003E-3</v>
      </c>
      <c r="G62" s="2"/>
      <c r="H62" s="6">
        <v>102.14608461538499</v>
      </c>
      <c r="I62" s="2"/>
      <c r="J62" s="7">
        <f t="shared" si="15"/>
        <v>1.6846886828168356E-3</v>
      </c>
      <c r="K62" s="2"/>
      <c r="L62" s="6">
        <f t="shared" si="16"/>
        <v>0.74391538461500772</v>
      </c>
      <c r="M62" s="2"/>
      <c r="N62" s="7">
        <f t="shared" si="17"/>
        <v>7.2828575604841246E-3</v>
      </c>
      <c r="O62" s="11"/>
      <c r="P62" s="6">
        <v>384.03</v>
      </c>
      <c r="Q62" s="2"/>
      <c r="R62" s="7">
        <f t="shared" si="18"/>
        <v>1.3504915827340757E-3</v>
      </c>
      <c r="S62" s="2"/>
      <c r="T62" s="6">
        <v>693.96455000000208</v>
      </c>
      <c r="U62" s="2"/>
      <c r="V62" s="7">
        <f t="shared" si="19"/>
        <v>2.3228513662777628E-3</v>
      </c>
      <c r="W62" s="2"/>
      <c r="X62" s="6">
        <f t="shared" si="20"/>
        <v>-309.9345500000021</v>
      </c>
      <c r="Y62" s="2"/>
      <c r="Z62" s="7">
        <f t="shared" si="21"/>
        <v>-0.44661438397682013</v>
      </c>
    </row>
    <row r="63" spans="1:26" s="24" customFormat="1" hidden="1" outlineLevel="2" x14ac:dyDescent="0.25">
      <c r="A63" s="26"/>
      <c r="B63" s="11" t="str">
        <f>CONCATENATE("          ", "6156", " - ", "EMPLOYEE MEALS")</f>
        <v xml:space="preserve">          6156 - EMPLOYEE MEALS</v>
      </c>
      <c r="C63" s="11"/>
      <c r="D63" s="6"/>
      <c r="E63" s="2"/>
      <c r="F63" s="7">
        <f t="shared" si="14"/>
        <v>0</v>
      </c>
      <c r="G63" s="2"/>
      <c r="H63" s="6"/>
      <c r="I63" s="2"/>
      <c r="J63" s="7">
        <f t="shared" si="15"/>
        <v>0</v>
      </c>
      <c r="K63" s="2"/>
      <c r="L63" s="6">
        <f t="shared" si="16"/>
        <v>0</v>
      </c>
      <c r="M63" s="2"/>
      <c r="N63" s="7">
        <f t="shared" si="17"/>
        <v>0</v>
      </c>
      <c r="O63" s="11"/>
      <c r="P63" s="6">
        <v>489.5</v>
      </c>
      <c r="Q63" s="2"/>
      <c r="R63" s="7">
        <f t="shared" si="18"/>
        <v>1.7213905938294667E-3</v>
      </c>
      <c r="S63" s="2"/>
      <c r="T63" s="6"/>
      <c r="U63" s="2"/>
      <c r="V63" s="7">
        <f t="shared" si="19"/>
        <v>0</v>
      </c>
      <c r="W63" s="2"/>
      <c r="X63" s="6">
        <f t="shared" si="20"/>
        <v>489.5</v>
      </c>
      <c r="Y63" s="2"/>
      <c r="Z63" s="7">
        <f t="shared" si="21"/>
        <v>0</v>
      </c>
    </row>
    <row r="64" spans="1:26" s="25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10739.71</v>
      </c>
      <c r="E64" s="1"/>
      <c r="F64" s="5">
        <f t="shared" ref="F64:F74" si="22">IF(D$12=0,0,D64/D$12)</f>
        <v>0.20631197210371666</v>
      </c>
      <c r="G64" s="1"/>
      <c r="H64" s="1">
        <f>SUM(OSRRefH22_1x_0)</f>
        <v>8108.0257692307696</v>
      </c>
      <c r="I64" s="1"/>
      <c r="J64" s="5">
        <f t="shared" ref="J64:J74" si="23">IF(H$12=0,0,H64/H$12)</f>
        <v>0.13372513792225163</v>
      </c>
      <c r="K64" s="1"/>
      <c r="L64" s="1">
        <f t="shared" ref="L64:L74" si="24">+D64-H64</f>
        <v>2631.6842307692295</v>
      </c>
      <c r="M64" s="1"/>
      <c r="N64" s="5">
        <f t="shared" ref="N64:N74" si="25">IF(H64=0,0,L64/H64)</f>
        <v>0.32457768458953784</v>
      </c>
      <c r="O64" s="13"/>
      <c r="P64" s="1">
        <f>SUM(OSRRefP22_1x_0)</f>
        <v>66128.95</v>
      </c>
      <c r="Q64" s="1"/>
      <c r="R64" s="5">
        <f t="shared" ref="R64:R74" si="26">IF(P$12=0,0,P64/P$12)</f>
        <v>0.2325510776502944</v>
      </c>
      <c r="S64" s="1"/>
      <c r="T64" s="1">
        <f>SUM(OSRRefT22_1x_0)</f>
        <v>55703.667499999996</v>
      </c>
      <c r="U64" s="1"/>
      <c r="V64" s="5">
        <f t="shared" ref="V64:V74" si="27">IF(T$12=0,0,T64/T$12)</f>
        <v>0.18645237737151965</v>
      </c>
      <c r="W64" s="1"/>
      <c r="X64" s="1">
        <f t="shared" ref="X64:X74" si="28">+P64-T64</f>
        <v>10425.282500000001</v>
      </c>
      <c r="Y64" s="1"/>
      <c r="Z64" s="5">
        <f t="shared" ref="Z64:Z74" si="29">IF(T64=0,0,X64/T64)</f>
        <v>0.18715612396616438</v>
      </c>
    </row>
    <row r="65" spans="1:26" s="24" customFormat="1" hidden="1" outlineLevel="2" x14ac:dyDescent="0.25">
      <c r="A65" s="26"/>
      <c r="B65" s="11" t="str">
        <f>CONCATENATE("          ", "6001", " - ", "ADMINISTRATIVE SALARIES")</f>
        <v xml:space="preserve">          6001 - ADMINISTRATIVE SALARIES</v>
      </c>
      <c r="C65" s="11"/>
      <c r="D65" s="6"/>
      <c r="E65" s="2"/>
      <c r="F65" s="7">
        <f t="shared" si="22"/>
        <v>0</v>
      </c>
      <c r="G65" s="2"/>
      <c r="H65" s="6">
        <v>0</v>
      </c>
      <c r="I65" s="2"/>
      <c r="J65" s="7">
        <f t="shared" si="23"/>
        <v>0</v>
      </c>
      <c r="K65" s="2"/>
      <c r="L65" s="6">
        <f t="shared" si="24"/>
        <v>0</v>
      </c>
      <c r="M65" s="2"/>
      <c r="N65" s="7">
        <f t="shared" si="25"/>
        <v>0</v>
      </c>
      <c r="O65" s="11"/>
      <c r="P65" s="6"/>
      <c r="Q65" s="2"/>
      <c r="R65" s="7">
        <f t="shared" si="26"/>
        <v>0</v>
      </c>
      <c r="S65" s="2"/>
      <c r="T65" s="6">
        <v>0</v>
      </c>
      <c r="U65" s="2"/>
      <c r="V65" s="7">
        <f t="shared" si="27"/>
        <v>0</v>
      </c>
      <c r="W65" s="2"/>
      <c r="X65" s="6">
        <f t="shared" si="28"/>
        <v>0</v>
      </c>
      <c r="Y65" s="2"/>
      <c r="Z65" s="7">
        <f t="shared" si="29"/>
        <v>0</v>
      </c>
    </row>
    <row r="66" spans="1:26" s="24" customFormat="1" hidden="1" outlineLevel="2" x14ac:dyDescent="0.25">
      <c r="A66" s="26"/>
      <c r="B66" s="11" t="str">
        <f>CONCATENATE("          ", "6002", " - ", "STAFF SALARIES")</f>
        <v xml:space="preserve">          6002 - STAFF SALARIES</v>
      </c>
      <c r="C66" s="11"/>
      <c r="D66" s="6">
        <v>2230.7600000000002</v>
      </c>
      <c r="E66" s="2"/>
      <c r="F66" s="7">
        <f t="shared" si="22"/>
        <v>4.285334472626235E-2</v>
      </c>
      <c r="G66" s="2"/>
      <c r="H66" s="6">
        <v>1905.9557692307701</v>
      </c>
      <c r="I66" s="2"/>
      <c r="J66" s="7">
        <f t="shared" si="23"/>
        <v>3.1434803658533086E-2</v>
      </c>
      <c r="K66" s="2"/>
      <c r="L66" s="6">
        <f t="shared" si="24"/>
        <v>324.80423076923012</v>
      </c>
      <c r="M66" s="2"/>
      <c r="N66" s="7">
        <f t="shared" si="25"/>
        <v>0.17041540838081398</v>
      </c>
      <c r="O66" s="11"/>
      <c r="P66" s="6">
        <v>11656.5</v>
      </c>
      <c r="Q66" s="2"/>
      <c r="R66" s="7">
        <f t="shared" si="26"/>
        <v>4.0991602567871661E-2</v>
      </c>
      <c r="S66" s="2"/>
      <c r="T66" s="6">
        <v>12388.7125</v>
      </c>
      <c r="U66" s="2"/>
      <c r="V66" s="7">
        <f t="shared" si="27"/>
        <v>4.1467734565183927E-2</v>
      </c>
      <c r="W66" s="2"/>
      <c r="X66" s="6">
        <f t="shared" si="28"/>
        <v>-732.21249999999964</v>
      </c>
      <c r="Y66" s="2"/>
      <c r="Z66" s="7">
        <f t="shared" si="29"/>
        <v>-5.9103195751778054E-2</v>
      </c>
    </row>
    <row r="67" spans="1:26" s="24" customFormat="1" hidden="1" outlineLevel="2" x14ac:dyDescent="0.25">
      <c r="A67" s="26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2"/>
        <v>0</v>
      </c>
      <c r="G67" s="2"/>
      <c r="H67" s="6">
        <v>0</v>
      </c>
      <c r="I67" s="2"/>
      <c r="J67" s="7">
        <f t="shared" si="23"/>
        <v>0</v>
      </c>
      <c r="K67" s="2"/>
      <c r="L67" s="6">
        <f t="shared" si="24"/>
        <v>0</v>
      </c>
      <c r="M67" s="2"/>
      <c r="N67" s="7">
        <f t="shared" si="25"/>
        <v>0</v>
      </c>
      <c r="O67" s="11"/>
      <c r="P67" s="6"/>
      <c r="Q67" s="2"/>
      <c r="R67" s="7">
        <f t="shared" si="26"/>
        <v>0</v>
      </c>
      <c r="S67" s="2"/>
      <c r="T67" s="6">
        <v>0</v>
      </c>
      <c r="U67" s="2"/>
      <c r="V67" s="7">
        <f t="shared" si="27"/>
        <v>0</v>
      </c>
      <c r="W67" s="2"/>
      <c r="X67" s="6">
        <f t="shared" si="28"/>
        <v>0</v>
      </c>
      <c r="Y67" s="2"/>
      <c r="Z67" s="7">
        <f t="shared" si="29"/>
        <v>0</v>
      </c>
    </row>
    <row r="68" spans="1:26" s="24" customFormat="1" hidden="1" outlineLevel="2" x14ac:dyDescent="0.25">
      <c r="A68" s="26"/>
      <c r="B68" s="11" t="str">
        <f>CONCATENATE("          ", "6004", " - ", "STAFF HOURLY")</f>
        <v xml:space="preserve">          6004 - STAFF HOURLY</v>
      </c>
      <c r="C68" s="11"/>
      <c r="D68" s="6"/>
      <c r="E68" s="2"/>
      <c r="F68" s="7">
        <f t="shared" si="22"/>
        <v>0</v>
      </c>
      <c r="G68" s="2"/>
      <c r="H68" s="6">
        <v>1822.07</v>
      </c>
      <c r="I68" s="2"/>
      <c r="J68" s="7">
        <f t="shared" si="23"/>
        <v>3.0051281161272553E-2</v>
      </c>
      <c r="K68" s="2"/>
      <c r="L68" s="6">
        <f t="shared" si="24"/>
        <v>-1822.07</v>
      </c>
      <c r="M68" s="2"/>
      <c r="N68" s="7">
        <f t="shared" si="25"/>
        <v>-1</v>
      </c>
      <c r="O68" s="11"/>
      <c r="P68" s="6"/>
      <c r="Q68" s="2"/>
      <c r="R68" s="7">
        <f t="shared" si="26"/>
        <v>0</v>
      </c>
      <c r="S68" s="2"/>
      <c r="T68" s="6">
        <v>11843.455</v>
      </c>
      <c r="U68" s="2"/>
      <c r="V68" s="7">
        <f t="shared" si="27"/>
        <v>3.9642638270498277E-2</v>
      </c>
      <c r="W68" s="2"/>
      <c r="X68" s="6">
        <f t="shared" si="28"/>
        <v>-11843.455</v>
      </c>
      <c r="Y68" s="2"/>
      <c r="Z68" s="7">
        <f t="shared" si="29"/>
        <v>-1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1912.5</v>
      </c>
      <c r="E69" s="2"/>
      <c r="F69" s="7">
        <f t="shared" si="22"/>
        <v>3.6739506620603171E-2</v>
      </c>
      <c r="G69" s="2"/>
      <c r="H69" s="6">
        <v>0</v>
      </c>
      <c r="I69" s="2"/>
      <c r="J69" s="7">
        <f t="shared" si="23"/>
        <v>0</v>
      </c>
      <c r="K69" s="2"/>
      <c r="L69" s="6">
        <f t="shared" si="24"/>
        <v>1912.5</v>
      </c>
      <c r="M69" s="2"/>
      <c r="N69" s="7">
        <f t="shared" si="25"/>
        <v>0</v>
      </c>
      <c r="O69" s="11"/>
      <c r="P69" s="6">
        <v>4357.0200000000004</v>
      </c>
      <c r="Q69" s="2"/>
      <c r="R69" s="7">
        <f t="shared" si="26"/>
        <v>1.5322029101382766E-2</v>
      </c>
      <c r="S69" s="2"/>
      <c r="T69" s="6">
        <v>0</v>
      </c>
      <c r="U69" s="2"/>
      <c r="V69" s="7">
        <f t="shared" si="27"/>
        <v>0</v>
      </c>
      <c r="W69" s="2"/>
      <c r="X69" s="6">
        <f t="shared" si="28"/>
        <v>4357.0200000000004</v>
      </c>
      <c r="Y69" s="2"/>
      <c r="Z69" s="7">
        <f t="shared" si="29"/>
        <v>0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2"/>
        <v>0</v>
      </c>
      <c r="G70" s="2"/>
      <c r="H70" s="6">
        <v>0</v>
      </c>
      <c r="I70" s="2"/>
      <c r="J70" s="7">
        <f t="shared" si="23"/>
        <v>0</v>
      </c>
      <c r="K70" s="2"/>
      <c r="L70" s="6">
        <f t="shared" si="24"/>
        <v>0</v>
      </c>
      <c r="M70" s="2"/>
      <c r="N70" s="7">
        <f t="shared" si="25"/>
        <v>0</v>
      </c>
      <c r="O70" s="11"/>
      <c r="P70" s="6"/>
      <c r="Q70" s="2"/>
      <c r="R70" s="7">
        <f t="shared" si="26"/>
        <v>0</v>
      </c>
      <c r="S70" s="2"/>
      <c r="T70" s="6">
        <v>0</v>
      </c>
      <c r="U70" s="2"/>
      <c r="V70" s="7">
        <f t="shared" si="27"/>
        <v>0</v>
      </c>
      <c r="W70" s="2"/>
      <c r="X70" s="6">
        <f t="shared" si="28"/>
        <v>0</v>
      </c>
      <c r="Y70" s="2"/>
      <c r="Z70" s="7">
        <f t="shared" si="29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6596.45</v>
      </c>
      <c r="E71" s="2"/>
      <c r="F71" s="7">
        <f t="shared" si="22"/>
        <v>0.12671912075685113</v>
      </c>
      <c r="G71" s="2"/>
      <c r="H71" s="6">
        <v>0</v>
      </c>
      <c r="I71" s="2"/>
      <c r="J71" s="7">
        <f t="shared" si="23"/>
        <v>0</v>
      </c>
      <c r="K71" s="2"/>
      <c r="L71" s="6">
        <f t="shared" si="24"/>
        <v>6596.45</v>
      </c>
      <c r="M71" s="2"/>
      <c r="N71" s="7">
        <f t="shared" si="25"/>
        <v>0</v>
      </c>
      <c r="O71" s="11"/>
      <c r="P71" s="6">
        <v>50115.43</v>
      </c>
      <c r="Q71" s="2"/>
      <c r="R71" s="7">
        <f t="shared" si="26"/>
        <v>0.17623744598103999</v>
      </c>
      <c r="S71" s="2"/>
      <c r="T71" s="6">
        <v>13015.5</v>
      </c>
      <c r="U71" s="2"/>
      <c r="V71" s="7">
        <f t="shared" si="27"/>
        <v>4.3565729629543942E-2</v>
      </c>
      <c r="W71" s="2"/>
      <c r="X71" s="6">
        <f t="shared" si="28"/>
        <v>37099.93</v>
      </c>
      <c r="Y71" s="2"/>
      <c r="Z71" s="7">
        <f t="shared" si="29"/>
        <v>2.8504421651108296</v>
      </c>
    </row>
    <row r="72" spans="1:26" s="24" customFormat="1" hidden="1" outlineLevel="2" x14ac:dyDescent="0.25">
      <c r="A72" s="26"/>
      <c r="B72" s="11" t="str">
        <f>CONCATENATE("          ", "6008", " - ", "STUDENT HOURLY-FICA EXEMPT")</f>
        <v xml:space="preserve">          6008 - STUDENT HOURLY-FICA EXEMPT</v>
      </c>
      <c r="C72" s="11"/>
      <c r="D72" s="6"/>
      <c r="E72" s="2"/>
      <c r="F72" s="7">
        <f t="shared" si="22"/>
        <v>0</v>
      </c>
      <c r="G72" s="2"/>
      <c r="H72" s="6">
        <v>4380</v>
      </c>
      <c r="I72" s="2"/>
      <c r="J72" s="7">
        <f t="shared" si="23"/>
        <v>7.2239053102446008E-2</v>
      </c>
      <c r="K72" s="2"/>
      <c r="L72" s="6">
        <f t="shared" si="24"/>
        <v>-4380</v>
      </c>
      <c r="M72" s="2"/>
      <c r="N72" s="7">
        <f t="shared" si="25"/>
        <v>-1</v>
      </c>
      <c r="O72" s="11"/>
      <c r="P72" s="6"/>
      <c r="Q72" s="2"/>
      <c r="R72" s="7">
        <f t="shared" si="26"/>
        <v>0</v>
      </c>
      <c r="S72" s="2"/>
      <c r="T72" s="6">
        <v>18456</v>
      </c>
      <c r="U72" s="2"/>
      <c r="V72" s="7">
        <f t="shared" si="27"/>
        <v>6.1776274906293498E-2</v>
      </c>
      <c r="W72" s="2"/>
      <c r="X72" s="6">
        <f t="shared" si="28"/>
        <v>-18456</v>
      </c>
      <c r="Y72" s="2"/>
      <c r="Z72" s="7">
        <f t="shared" si="29"/>
        <v>-1</v>
      </c>
    </row>
    <row r="73" spans="1:26" s="24" customFormat="1" hidden="1" outlineLevel="2" x14ac:dyDescent="0.25">
      <c r="A73" s="26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25">
      <c r="A74" s="26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2"/>
        <v>0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0</v>
      </c>
      <c r="M74" s="2"/>
      <c r="N74" s="7">
        <f t="shared" si="25"/>
        <v>0</v>
      </c>
      <c r="O74" s="11"/>
      <c r="P74" s="6"/>
      <c r="Q74" s="2"/>
      <c r="R74" s="7">
        <f t="shared" si="26"/>
        <v>0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0</v>
      </c>
      <c r="Y74" s="2"/>
      <c r="Z74" s="7">
        <f t="shared" si="29"/>
        <v>0</v>
      </c>
    </row>
    <row r="75" spans="1:26" s="25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579.15</v>
      </c>
      <c r="E75" s="1"/>
      <c r="F75" s="5">
        <f t="shared" ref="F75:F79" si="30">IF(D$12=0,0,D75/D$12)</f>
        <v>1.1125587063697949E-2</v>
      </c>
      <c r="G75" s="1"/>
      <c r="H75" s="1">
        <f>SUM(OSRRefH22_2x_0)</f>
        <v>750</v>
      </c>
      <c r="I75" s="1"/>
      <c r="J75" s="5">
        <f t="shared" ref="J75:J79" si="31">IF(H$12=0,0,H75/H$12)</f>
        <v>1.2369700873706507E-2</v>
      </c>
      <c r="K75" s="1"/>
      <c r="L75" s="1">
        <f t="shared" ref="L75:L79" si="32">+D75-H75</f>
        <v>-170.85000000000002</v>
      </c>
      <c r="M75" s="1"/>
      <c r="N75" s="5">
        <f t="shared" ref="N75:N79" si="33">IF(H75=0,0,L75/H75)</f>
        <v>-0.22780000000000003</v>
      </c>
      <c r="O75" s="13"/>
      <c r="P75" s="1">
        <f>SUM(OSRRefP22_2x_0)</f>
        <v>2345.38</v>
      </c>
      <c r="Q75" s="1"/>
      <c r="R75" s="5">
        <f t="shared" ref="R75:R79" si="34">IF(P$12=0,0,P75/P$12)</f>
        <v>8.247834669981113E-3</v>
      </c>
      <c r="S75" s="1"/>
      <c r="T75" s="1">
        <f>SUM(OSRRefT22_2x_0)</f>
        <v>3400</v>
      </c>
      <c r="U75" s="1"/>
      <c r="V75" s="5">
        <f t="shared" ref="V75:V79" si="35">IF(T$12=0,0,T75/T$12)</f>
        <v>1.1380544792013324E-2</v>
      </c>
      <c r="W75" s="1"/>
      <c r="X75" s="1">
        <f t="shared" ref="X75:X79" si="36">+P75-T75</f>
        <v>-1054.6199999999999</v>
      </c>
      <c r="Y75" s="1"/>
      <c r="Z75" s="5">
        <f t="shared" ref="Z75:Z79" si="37">IF(T75=0,0,X75/T75)</f>
        <v>-0.31018235294117646</v>
      </c>
    </row>
    <row r="76" spans="1:26" s="24" customFormat="1" hidden="1" outlineLevel="2" x14ac:dyDescent="0.25">
      <c r="A76" s="26"/>
      <c r="B76" s="11" t="str">
        <f>CONCATENATE("          ", "6362", " - ", "ADVERTISING EXPENSE")</f>
        <v xml:space="preserve">          6362 - ADVERTISING EXPENSE</v>
      </c>
      <c r="C76" s="11"/>
      <c r="D76" s="6">
        <v>579.15</v>
      </c>
      <c r="E76" s="2"/>
      <c r="F76" s="7">
        <f t="shared" si="30"/>
        <v>1.1125587063697949E-2</v>
      </c>
      <c r="G76" s="2"/>
      <c r="H76" s="6">
        <v>750</v>
      </c>
      <c r="I76" s="2"/>
      <c r="J76" s="7">
        <f t="shared" si="31"/>
        <v>1.2369700873706507E-2</v>
      </c>
      <c r="K76" s="2"/>
      <c r="L76" s="6">
        <f t="shared" si="32"/>
        <v>-170.85000000000002</v>
      </c>
      <c r="M76" s="2"/>
      <c r="N76" s="7">
        <f t="shared" si="33"/>
        <v>-0.22780000000000003</v>
      </c>
      <c r="O76" s="11"/>
      <c r="P76" s="6">
        <v>2345.38</v>
      </c>
      <c r="Q76" s="2"/>
      <c r="R76" s="7">
        <f t="shared" si="34"/>
        <v>8.247834669981113E-3</v>
      </c>
      <c r="S76" s="2"/>
      <c r="T76" s="6">
        <v>3400</v>
      </c>
      <c r="U76" s="2"/>
      <c r="V76" s="7">
        <f t="shared" si="35"/>
        <v>1.1380544792013324E-2</v>
      </c>
      <c r="W76" s="2"/>
      <c r="X76" s="6">
        <f t="shared" si="36"/>
        <v>-1054.6199999999999</v>
      </c>
      <c r="Y76" s="2"/>
      <c r="Z76" s="7">
        <f t="shared" si="37"/>
        <v>-0.31018235294117646</v>
      </c>
    </row>
    <row r="77" spans="1:26" s="25" customFormat="1" outlineLevel="1" collapsed="1" x14ac:dyDescent="0.25">
      <c r="A77" s="27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18.809999999999999</v>
      </c>
      <c r="E77" s="1"/>
      <c r="F77" s="5">
        <f t="shared" si="30"/>
        <v>3.6134385335087355E-4</v>
      </c>
      <c r="G77" s="1"/>
      <c r="H77" s="1">
        <f>SUM(OSRRefH22_3x_0)</f>
        <v>10</v>
      </c>
      <c r="I77" s="1"/>
      <c r="J77" s="5">
        <f t="shared" si="31"/>
        <v>1.6492934498275343E-4</v>
      </c>
      <c r="K77" s="1"/>
      <c r="L77" s="1">
        <f t="shared" si="32"/>
        <v>8.8099999999999987</v>
      </c>
      <c r="M77" s="1"/>
      <c r="N77" s="5">
        <f t="shared" si="33"/>
        <v>0.88099999999999989</v>
      </c>
      <c r="O77" s="13"/>
      <c r="P77" s="1">
        <f>SUM(OSRRefP22_3x_0)</f>
        <v>45.94</v>
      </c>
      <c r="Q77" s="1"/>
      <c r="R77" s="5">
        <f t="shared" si="34"/>
        <v>1.6155400179882675E-4</v>
      </c>
      <c r="S77" s="1"/>
      <c r="T77" s="1">
        <f>SUM(OSRRefT22_3x_0)</f>
        <v>60</v>
      </c>
      <c r="U77" s="1"/>
      <c r="V77" s="5">
        <f t="shared" si="35"/>
        <v>2.008331433884704E-4</v>
      </c>
      <c r="W77" s="1"/>
      <c r="X77" s="1">
        <f t="shared" si="36"/>
        <v>-14.060000000000002</v>
      </c>
      <c r="Y77" s="1"/>
      <c r="Z77" s="5">
        <f t="shared" si="37"/>
        <v>-0.23433333333333337</v>
      </c>
    </row>
    <row r="78" spans="1:26" s="24" customFormat="1" hidden="1" outlineLevel="2" x14ac:dyDescent="0.25">
      <c r="A78" s="26"/>
      <c r="B78" s="11" t="str">
        <f>CONCATENATE("          ", "6272", " - ", "CASH (OVER/SHORT)")</f>
        <v xml:space="preserve">          6272 - CASH (OVER/SHORT)</v>
      </c>
      <c r="C78" s="11"/>
      <c r="D78" s="6">
        <v>18.809999999999999</v>
      </c>
      <c r="E78" s="2"/>
      <c r="F78" s="7">
        <f t="shared" si="30"/>
        <v>3.6134385335087355E-4</v>
      </c>
      <c r="G78" s="2"/>
      <c r="H78" s="6"/>
      <c r="I78" s="2"/>
      <c r="J78" s="7">
        <f t="shared" si="31"/>
        <v>0</v>
      </c>
      <c r="K78" s="2"/>
      <c r="L78" s="6">
        <f t="shared" si="32"/>
        <v>18.809999999999999</v>
      </c>
      <c r="M78" s="2"/>
      <c r="N78" s="7">
        <f t="shared" si="33"/>
        <v>0</v>
      </c>
      <c r="O78" s="11"/>
      <c r="P78" s="6">
        <v>45.94</v>
      </c>
      <c r="Q78" s="2"/>
      <c r="R78" s="7">
        <f t="shared" si="34"/>
        <v>1.6155400179882675E-4</v>
      </c>
      <c r="S78" s="2"/>
      <c r="T78" s="6"/>
      <c r="U78" s="2"/>
      <c r="V78" s="7">
        <f t="shared" si="35"/>
        <v>0</v>
      </c>
      <c r="W78" s="2"/>
      <c r="X78" s="6">
        <f t="shared" si="36"/>
        <v>45.94</v>
      </c>
      <c r="Y78" s="2"/>
      <c r="Z78" s="7">
        <f t="shared" si="37"/>
        <v>0</v>
      </c>
    </row>
    <row r="79" spans="1:26" s="24" customFormat="1" hidden="1" outlineLevel="2" x14ac:dyDescent="0.25">
      <c r="A79" s="26"/>
      <c r="B79" s="11" t="str">
        <f>CONCATENATE("          ", "6342", " - ", "BAD DEBT")</f>
        <v xml:space="preserve">          6342 - BAD DEBT</v>
      </c>
      <c r="C79" s="11"/>
      <c r="D79" s="6"/>
      <c r="E79" s="2"/>
      <c r="F79" s="7">
        <f t="shared" si="30"/>
        <v>0</v>
      </c>
      <c r="G79" s="2"/>
      <c r="H79" s="6">
        <v>10</v>
      </c>
      <c r="I79" s="2"/>
      <c r="J79" s="7">
        <f t="shared" si="31"/>
        <v>1.6492934498275343E-4</v>
      </c>
      <c r="K79" s="2"/>
      <c r="L79" s="6">
        <f t="shared" si="32"/>
        <v>-10</v>
      </c>
      <c r="M79" s="2"/>
      <c r="N79" s="7">
        <f t="shared" si="33"/>
        <v>-1</v>
      </c>
      <c r="O79" s="11"/>
      <c r="P79" s="6"/>
      <c r="Q79" s="2"/>
      <c r="R79" s="7">
        <f t="shared" si="34"/>
        <v>0</v>
      </c>
      <c r="S79" s="2"/>
      <c r="T79" s="6">
        <v>60</v>
      </c>
      <c r="U79" s="2"/>
      <c r="V79" s="7">
        <f t="shared" si="35"/>
        <v>2.008331433884704E-4</v>
      </c>
      <c r="W79" s="2"/>
      <c r="X79" s="6">
        <f t="shared" si="36"/>
        <v>-60</v>
      </c>
      <c r="Y79" s="2"/>
      <c r="Z79" s="7">
        <f t="shared" si="37"/>
        <v>-1</v>
      </c>
    </row>
    <row r="80" spans="1:26" s="25" customFormat="1" outlineLevel="1" collapsed="1" x14ac:dyDescent="0.25">
      <c r="A80" s="27"/>
      <c r="B80" s="13" t="str">
        <f>CONCATENATE("     ","Bank/card Fees                                    ")</f>
        <v xml:space="preserve">     Bank/card Fees                                    </v>
      </c>
      <c r="C80" s="13"/>
      <c r="D80" s="1">
        <f>SUM(OSRRefD22_4x_0)</f>
        <v>1503.49</v>
      </c>
      <c r="E80" s="1"/>
      <c r="F80" s="5">
        <f t="shared" ref="F80:F100" si="38">IF(D$12=0,0,D80/D$12)</f>
        <v>2.8882342906672243E-2</v>
      </c>
      <c r="G80" s="1"/>
      <c r="H80" s="1">
        <f>SUM(OSRRefH22_4x_0)</f>
        <v>1650</v>
      </c>
      <c r="I80" s="1"/>
      <c r="J80" s="5">
        <f t="shared" ref="J80:J100" si="39">IF(H$12=0,0,H80/H$12)</f>
        <v>2.7213341922154317E-2</v>
      </c>
      <c r="K80" s="1"/>
      <c r="L80" s="1">
        <f t="shared" ref="L80:L100" si="40">+D80-H80</f>
        <v>-146.51</v>
      </c>
      <c r="M80" s="1"/>
      <c r="N80" s="5">
        <f t="shared" ref="N80:N100" si="41">IF(H80=0,0,L80/H80)</f>
        <v>-8.8793939393939383E-2</v>
      </c>
      <c r="O80" s="13"/>
      <c r="P80" s="1">
        <f>SUM(OSRRefP22_4x_0)</f>
        <v>4684.47</v>
      </c>
      <c r="Q80" s="1"/>
      <c r="R80" s="5">
        <f t="shared" ref="R80:R100" si="42">IF(P$12=0,0,P80/P$12)</f>
        <v>1.6473549734578801E-2</v>
      </c>
      <c r="S80" s="1"/>
      <c r="T80" s="1">
        <f>SUM(OSRRefT22_4x_0)</f>
        <v>4495</v>
      </c>
      <c r="U80" s="1"/>
      <c r="V80" s="5">
        <f t="shared" ref="V80:V100" si="43">IF(T$12=0,0,T80/T$12)</f>
        <v>1.5045749658852909E-2</v>
      </c>
      <c r="W80" s="1"/>
      <c r="X80" s="1">
        <f t="shared" ref="X80:X100" si="44">+P80-T80</f>
        <v>189.47000000000025</v>
      </c>
      <c r="Y80" s="1"/>
      <c r="Z80" s="5">
        <f t="shared" ref="Z80:Z100" si="45">IF(T80=0,0,X80/T80)</f>
        <v>4.215127919911018E-2</v>
      </c>
    </row>
    <row r="81" spans="1:26" s="24" customFormat="1" hidden="1" outlineLevel="2" x14ac:dyDescent="0.25">
      <c r="A81" s="26"/>
      <c r="B81" s="11" t="str">
        <f>CONCATENATE("          ", "6381", " - ", "BANK/CREDIT CARD FEES")</f>
        <v xml:space="preserve">          6381 - BANK/CREDIT CARD FEES</v>
      </c>
      <c r="C81" s="11"/>
      <c r="D81" s="6">
        <v>1503.49</v>
      </c>
      <c r="E81" s="2"/>
      <c r="F81" s="7">
        <f t="shared" si="38"/>
        <v>2.8882342906672243E-2</v>
      </c>
      <c r="G81" s="2"/>
      <c r="H81" s="6">
        <v>1650</v>
      </c>
      <c r="I81" s="2"/>
      <c r="J81" s="7">
        <f t="shared" si="39"/>
        <v>2.7213341922154317E-2</v>
      </c>
      <c r="K81" s="2"/>
      <c r="L81" s="6">
        <f t="shared" si="40"/>
        <v>-146.51</v>
      </c>
      <c r="M81" s="2"/>
      <c r="N81" s="7">
        <f t="shared" si="41"/>
        <v>-8.8793939393939383E-2</v>
      </c>
      <c r="O81" s="11"/>
      <c r="P81" s="6">
        <v>4684.47</v>
      </c>
      <c r="Q81" s="2"/>
      <c r="R81" s="7">
        <f t="shared" si="42"/>
        <v>1.6473549734578801E-2</v>
      </c>
      <c r="S81" s="2"/>
      <c r="T81" s="6">
        <v>4495</v>
      </c>
      <c r="U81" s="2"/>
      <c r="V81" s="7">
        <f t="shared" si="43"/>
        <v>1.5045749658852909E-2</v>
      </c>
      <c r="W81" s="2"/>
      <c r="X81" s="6">
        <f t="shared" si="44"/>
        <v>189.47000000000025</v>
      </c>
      <c r="Y81" s="2"/>
      <c r="Z81" s="7">
        <f t="shared" si="45"/>
        <v>4.215127919911018E-2</v>
      </c>
    </row>
    <row r="82" spans="1:26" s="25" customFormat="1" outlineLevel="1" collapsed="1" x14ac:dyDescent="0.25">
      <c r="A82" s="27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SUM(OSRRefD22_5x_0)</f>
        <v>11230.78</v>
      </c>
      <c r="E82" s="1"/>
      <c r="F82" s="5">
        <f t="shared" si="38"/>
        <v>0.21574552479191517</v>
      </c>
      <c r="G82" s="1"/>
      <c r="H82" s="1">
        <f>SUM(OSRRefH22_5x_0)</f>
        <v>9000</v>
      </c>
      <c r="I82" s="1"/>
      <c r="J82" s="5">
        <f t="shared" si="39"/>
        <v>0.14843641048447809</v>
      </c>
      <c r="K82" s="1"/>
      <c r="L82" s="1">
        <f t="shared" si="40"/>
        <v>2230.7800000000007</v>
      </c>
      <c r="M82" s="1"/>
      <c r="N82" s="5">
        <f t="shared" si="41"/>
        <v>0.24786444444444453</v>
      </c>
      <c r="O82" s="13"/>
      <c r="P82" s="1">
        <f>SUM(OSRRefP22_5x_0)</f>
        <v>48429.36</v>
      </c>
      <c r="Q82" s="1"/>
      <c r="R82" s="5">
        <f t="shared" si="42"/>
        <v>0.17030816091763232</v>
      </c>
      <c r="S82" s="1"/>
      <c r="T82" s="1">
        <f>SUM(OSRRefT22_5x_0)</f>
        <v>28000</v>
      </c>
      <c r="U82" s="1"/>
      <c r="V82" s="5">
        <f t="shared" si="43"/>
        <v>9.3722133581286199E-2</v>
      </c>
      <c r="W82" s="1"/>
      <c r="X82" s="1">
        <f t="shared" si="44"/>
        <v>20429.36</v>
      </c>
      <c r="Y82" s="1"/>
      <c r="Z82" s="5">
        <f t="shared" si="45"/>
        <v>0.72962000000000005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6">
        <v>11230.78</v>
      </c>
      <c r="E83" s="2"/>
      <c r="F83" s="7">
        <f t="shared" si="38"/>
        <v>0.21574552479191517</v>
      </c>
      <c r="G83" s="2"/>
      <c r="H83" s="6">
        <v>9000</v>
      </c>
      <c r="I83" s="2"/>
      <c r="J83" s="7">
        <f t="shared" si="39"/>
        <v>0.14843641048447809</v>
      </c>
      <c r="K83" s="2"/>
      <c r="L83" s="6">
        <f t="shared" si="40"/>
        <v>2230.7800000000007</v>
      </c>
      <c r="M83" s="2"/>
      <c r="N83" s="7">
        <f t="shared" si="41"/>
        <v>0.24786444444444453</v>
      </c>
      <c r="O83" s="11"/>
      <c r="P83" s="6">
        <v>48429.36</v>
      </c>
      <c r="Q83" s="2"/>
      <c r="R83" s="7">
        <f t="shared" si="42"/>
        <v>0.17030816091763232</v>
      </c>
      <c r="S83" s="2"/>
      <c r="T83" s="6">
        <v>28000</v>
      </c>
      <c r="U83" s="2"/>
      <c r="V83" s="7">
        <f t="shared" si="43"/>
        <v>9.3722133581286199E-2</v>
      </c>
      <c r="W83" s="2"/>
      <c r="X83" s="6">
        <f t="shared" si="44"/>
        <v>20429.36</v>
      </c>
      <c r="Y83" s="2"/>
      <c r="Z83" s="7">
        <f t="shared" si="45"/>
        <v>0.72962000000000005</v>
      </c>
    </row>
    <row r="84" spans="1:26" s="25" customFormat="1" outlineLevel="1" collapsed="1" x14ac:dyDescent="0.25">
      <c r="A84" s="27"/>
      <c r="B84" s="13" t="str">
        <f>CONCATENATE("     ","Donations                                         ")</f>
        <v xml:space="preserve">     Donations                                         </v>
      </c>
      <c r="C84" s="13"/>
      <c r="D84" s="1">
        <f>SUM(OSRRefD22_6x_0)</f>
        <v>0</v>
      </c>
      <c r="E84" s="1"/>
      <c r="F84" s="5">
        <f t="shared" si="38"/>
        <v>0</v>
      </c>
      <c r="G84" s="1"/>
      <c r="H84" s="1">
        <f>SUM(OSRRefH22_6x_0)</f>
        <v>25</v>
      </c>
      <c r="I84" s="1"/>
      <c r="J84" s="5">
        <f t="shared" si="39"/>
        <v>4.123233624568836E-4</v>
      </c>
      <c r="K84" s="1"/>
      <c r="L84" s="1">
        <f t="shared" si="40"/>
        <v>-25</v>
      </c>
      <c r="M84" s="1"/>
      <c r="N84" s="5">
        <f t="shared" si="41"/>
        <v>-1</v>
      </c>
      <c r="O84" s="13"/>
      <c r="P84" s="1">
        <f>SUM(OSRRefP22_6x_0)</f>
        <v>0</v>
      </c>
      <c r="Q84" s="1"/>
      <c r="R84" s="5">
        <f t="shared" si="42"/>
        <v>0</v>
      </c>
      <c r="S84" s="1"/>
      <c r="T84" s="1">
        <f>SUM(OSRRefT22_6x_0)</f>
        <v>225</v>
      </c>
      <c r="U84" s="1"/>
      <c r="V84" s="5">
        <f t="shared" si="43"/>
        <v>7.531242877067641E-4</v>
      </c>
      <c r="W84" s="1"/>
      <c r="X84" s="1">
        <f t="shared" si="44"/>
        <v>-225</v>
      </c>
      <c r="Y84" s="1"/>
      <c r="Z84" s="5">
        <f t="shared" si="45"/>
        <v>-1</v>
      </c>
    </row>
    <row r="85" spans="1:26" s="24" customFormat="1" hidden="1" outlineLevel="2" x14ac:dyDescent="0.25">
      <c r="A85" s="26"/>
      <c r="B85" s="11" t="str">
        <f>CONCATENATE("          ", "6395", " - ", "DONATION-OFF CAMPUS")</f>
        <v xml:space="preserve">          6395 - DONATION-OFF CAMPUS</v>
      </c>
      <c r="C85" s="11"/>
      <c r="D85" s="6"/>
      <c r="E85" s="2"/>
      <c r="F85" s="7">
        <f t="shared" si="38"/>
        <v>0</v>
      </c>
      <c r="G85" s="2"/>
      <c r="H85" s="6">
        <v>25</v>
      </c>
      <c r="I85" s="2"/>
      <c r="J85" s="7">
        <f t="shared" si="39"/>
        <v>4.123233624568836E-4</v>
      </c>
      <c r="K85" s="2"/>
      <c r="L85" s="6">
        <f t="shared" si="40"/>
        <v>-25</v>
      </c>
      <c r="M85" s="2"/>
      <c r="N85" s="7">
        <f t="shared" si="41"/>
        <v>-1</v>
      </c>
      <c r="O85" s="11"/>
      <c r="P85" s="6"/>
      <c r="Q85" s="2"/>
      <c r="R85" s="7">
        <f t="shared" si="42"/>
        <v>0</v>
      </c>
      <c r="S85" s="2"/>
      <c r="T85" s="6">
        <v>225</v>
      </c>
      <c r="U85" s="2"/>
      <c r="V85" s="7">
        <f t="shared" si="43"/>
        <v>7.531242877067641E-4</v>
      </c>
      <c r="W85" s="2"/>
      <c r="X85" s="6">
        <f t="shared" si="44"/>
        <v>-225</v>
      </c>
      <c r="Y85" s="2"/>
      <c r="Z85" s="7">
        <f t="shared" si="45"/>
        <v>-1</v>
      </c>
    </row>
    <row r="86" spans="1:26" s="25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SUM(OSRRefD22_7x_0)</f>
        <v>0</v>
      </c>
      <c r="E86" s="1"/>
      <c r="F86" s="5">
        <f t="shared" si="38"/>
        <v>0</v>
      </c>
      <c r="G86" s="1"/>
      <c r="H86" s="1">
        <f>SUM(OSRRefH22_7x_0)</f>
        <v>50</v>
      </c>
      <c r="I86" s="1"/>
      <c r="J86" s="5">
        <f t="shared" si="39"/>
        <v>8.246467249137672E-4</v>
      </c>
      <c r="K86" s="1"/>
      <c r="L86" s="1">
        <f t="shared" si="40"/>
        <v>-50</v>
      </c>
      <c r="M86" s="1"/>
      <c r="N86" s="5">
        <f t="shared" si="41"/>
        <v>-1</v>
      </c>
      <c r="O86" s="13"/>
      <c r="P86" s="1">
        <f>SUM(OSRRefP22_7x_0)</f>
        <v>120.93</v>
      </c>
      <c r="Q86" s="1"/>
      <c r="R86" s="5">
        <f t="shared" si="42"/>
        <v>4.2526611749090382E-4</v>
      </c>
      <c r="S86" s="1"/>
      <c r="T86" s="1">
        <f>SUM(OSRRefT22_7x_0)</f>
        <v>300</v>
      </c>
      <c r="U86" s="1"/>
      <c r="V86" s="5">
        <f t="shared" si="43"/>
        <v>1.0041657169423521E-3</v>
      </c>
      <c r="W86" s="1"/>
      <c r="X86" s="1">
        <f t="shared" si="44"/>
        <v>-179.07</v>
      </c>
      <c r="Y86" s="1"/>
      <c r="Z86" s="5">
        <f t="shared" si="45"/>
        <v>-0.59689999999999999</v>
      </c>
    </row>
    <row r="87" spans="1:26" s="24" customFormat="1" hidden="1" outlineLevel="2" x14ac:dyDescent="0.25">
      <c r="A87" s="26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38"/>
        <v>0</v>
      </c>
      <c r="G87" s="2"/>
      <c r="H87" s="6">
        <v>50</v>
      </c>
      <c r="I87" s="2"/>
      <c r="J87" s="7">
        <f t="shared" si="39"/>
        <v>8.246467249137672E-4</v>
      </c>
      <c r="K87" s="2"/>
      <c r="L87" s="6">
        <f t="shared" si="40"/>
        <v>-50</v>
      </c>
      <c r="M87" s="2"/>
      <c r="N87" s="7">
        <f t="shared" si="41"/>
        <v>-1</v>
      </c>
      <c r="O87" s="11"/>
      <c r="P87" s="6">
        <v>120.93</v>
      </c>
      <c r="Q87" s="2"/>
      <c r="R87" s="7">
        <f t="shared" si="42"/>
        <v>4.2526611749090382E-4</v>
      </c>
      <c r="S87" s="2"/>
      <c r="T87" s="6">
        <v>300</v>
      </c>
      <c r="U87" s="2"/>
      <c r="V87" s="7">
        <f t="shared" si="43"/>
        <v>1.0041657169423521E-3</v>
      </c>
      <c r="W87" s="2"/>
      <c r="X87" s="6">
        <f t="shared" si="44"/>
        <v>-179.07</v>
      </c>
      <c r="Y87" s="2"/>
      <c r="Z87" s="7">
        <f t="shared" si="45"/>
        <v>-0.59689999999999999</v>
      </c>
    </row>
    <row r="88" spans="1:26" s="25" customFormat="1" outlineLevel="1" collapsed="1" x14ac:dyDescent="0.25">
      <c r="A88" s="27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SUM(OSRRefD22_8x_0)</f>
        <v>160</v>
      </c>
      <c r="E88" s="1"/>
      <c r="F88" s="5">
        <f t="shared" si="38"/>
        <v>3.0736319264295466E-3</v>
      </c>
      <c r="G88" s="1"/>
      <c r="H88" s="1">
        <f>SUM(OSRRefH22_8x_0)</f>
        <v>175</v>
      </c>
      <c r="I88" s="1"/>
      <c r="J88" s="5">
        <f t="shared" si="39"/>
        <v>2.8862635371981853E-3</v>
      </c>
      <c r="K88" s="1"/>
      <c r="L88" s="1">
        <f t="shared" si="40"/>
        <v>-15</v>
      </c>
      <c r="M88" s="1"/>
      <c r="N88" s="5">
        <f t="shared" si="41"/>
        <v>-8.5714285714285715E-2</v>
      </c>
      <c r="O88" s="13"/>
      <c r="P88" s="1">
        <f>SUM(OSRRefP22_8x_0)</f>
        <v>1271.44</v>
      </c>
      <c r="Q88" s="1"/>
      <c r="R88" s="5">
        <f t="shared" si="42"/>
        <v>4.4711845896190754E-3</v>
      </c>
      <c r="S88" s="1"/>
      <c r="T88" s="1">
        <f>SUM(OSRRefT22_8x_0)</f>
        <v>1015</v>
      </c>
      <c r="U88" s="1"/>
      <c r="V88" s="5">
        <f t="shared" si="43"/>
        <v>3.3974273423216243E-3</v>
      </c>
      <c r="W88" s="1"/>
      <c r="X88" s="1">
        <f t="shared" si="44"/>
        <v>256.44000000000005</v>
      </c>
      <c r="Y88" s="1"/>
      <c r="Z88" s="5">
        <f t="shared" si="45"/>
        <v>0.25265024630541877</v>
      </c>
    </row>
    <row r="89" spans="1:26" s="24" customFormat="1" hidden="1" outlineLevel="2" x14ac:dyDescent="0.25">
      <c r="A89" s="26"/>
      <c r="B89" s="11" t="str">
        <f>CONCATENATE("          ", "6279", " - ", "GENERAL EXPENSE")</f>
        <v xml:space="preserve">          6279 - GENERAL EXPENSE</v>
      </c>
      <c r="C89" s="11"/>
      <c r="D89" s="6">
        <v>160</v>
      </c>
      <c r="E89" s="2"/>
      <c r="F89" s="7">
        <f t="shared" si="38"/>
        <v>3.0736319264295466E-3</v>
      </c>
      <c r="G89" s="2"/>
      <c r="H89" s="6">
        <v>175</v>
      </c>
      <c r="I89" s="2"/>
      <c r="J89" s="7">
        <f t="shared" si="39"/>
        <v>2.8862635371981853E-3</v>
      </c>
      <c r="K89" s="2"/>
      <c r="L89" s="6">
        <f t="shared" si="40"/>
        <v>-15</v>
      </c>
      <c r="M89" s="2"/>
      <c r="N89" s="7">
        <f t="shared" si="41"/>
        <v>-8.5714285714285715E-2</v>
      </c>
      <c r="O89" s="11"/>
      <c r="P89" s="6">
        <v>1271.44</v>
      </c>
      <c r="Q89" s="2"/>
      <c r="R89" s="7">
        <f t="shared" si="42"/>
        <v>4.4711845896190754E-3</v>
      </c>
      <c r="S89" s="2"/>
      <c r="T89" s="6">
        <v>1015</v>
      </c>
      <c r="U89" s="2"/>
      <c r="V89" s="7">
        <f t="shared" si="43"/>
        <v>3.3974273423216243E-3</v>
      </c>
      <c r="W89" s="2"/>
      <c r="X89" s="6">
        <f t="shared" si="44"/>
        <v>256.44000000000005</v>
      </c>
      <c r="Y89" s="2"/>
      <c r="Z89" s="7">
        <f t="shared" si="45"/>
        <v>0.25265024630541877</v>
      </c>
    </row>
    <row r="90" spans="1:26" s="25" customFormat="1" outlineLevel="1" collapsed="1" x14ac:dyDescent="0.25">
      <c r="A90" s="27"/>
      <c r="B90" s="13" t="str">
        <f>CONCATENATE("     ","Insurance                                         ")</f>
        <v xml:space="preserve">     Insurance                                         </v>
      </c>
      <c r="C90" s="13"/>
      <c r="D90" s="1">
        <f>SUM(OSRRefD22_9x_0)</f>
        <v>161.18</v>
      </c>
      <c r="E90" s="1"/>
      <c r="F90" s="5">
        <f t="shared" si="38"/>
        <v>3.0962999618869644E-3</v>
      </c>
      <c r="G90" s="1"/>
      <c r="H90" s="1">
        <f>SUM(OSRRefH22_9x_0)</f>
        <v>155</v>
      </c>
      <c r="I90" s="1"/>
      <c r="J90" s="5">
        <f t="shared" si="39"/>
        <v>2.5564048472326781E-3</v>
      </c>
      <c r="K90" s="1"/>
      <c r="L90" s="1">
        <f t="shared" si="40"/>
        <v>6.1800000000000068</v>
      </c>
      <c r="M90" s="1"/>
      <c r="N90" s="5">
        <f t="shared" si="41"/>
        <v>3.9870967741935527E-2</v>
      </c>
      <c r="O90" s="13"/>
      <c r="P90" s="1">
        <f>SUM(OSRRefP22_9x_0)</f>
        <v>967.08</v>
      </c>
      <c r="Q90" s="1"/>
      <c r="R90" s="5">
        <f t="shared" si="42"/>
        <v>3.4008629529736481E-3</v>
      </c>
      <c r="S90" s="1"/>
      <c r="T90" s="1">
        <f>SUM(OSRRefT22_9x_0)</f>
        <v>930</v>
      </c>
      <c r="U90" s="1"/>
      <c r="V90" s="5">
        <f t="shared" si="43"/>
        <v>3.1129137225212912E-3</v>
      </c>
      <c r="W90" s="1"/>
      <c r="X90" s="1">
        <f t="shared" si="44"/>
        <v>37.080000000000041</v>
      </c>
      <c r="Y90" s="1"/>
      <c r="Z90" s="5">
        <f t="shared" si="45"/>
        <v>3.9870967741935527E-2</v>
      </c>
    </row>
    <row r="91" spans="1:26" s="24" customFormat="1" hidden="1" outlineLevel="2" x14ac:dyDescent="0.25">
      <c r="A91" s="26"/>
      <c r="B91" s="11" t="str">
        <f>CONCATENATE("          ", "6314", " - ", "LIABILITY INSURANCE")</f>
        <v xml:space="preserve">          6314 - LIABILITY INSURANCE</v>
      </c>
      <c r="C91" s="11"/>
      <c r="D91" s="6">
        <v>161.18</v>
      </c>
      <c r="E91" s="2"/>
      <c r="F91" s="7">
        <f t="shared" si="38"/>
        <v>3.0962999618869644E-3</v>
      </c>
      <c r="G91" s="2"/>
      <c r="H91" s="6">
        <v>155</v>
      </c>
      <c r="I91" s="2"/>
      <c r="J91" s="7">
        <f t="shared" si="39"/>
        <v>2.5564048472326781E-3</v>
      </c>
      <c r="K91" s="2"/>
      <c r="L91" s="6">
        <f t="shared" si="40"/>
        <v>6.1800000000000068</v>
      </c>
      <c r="M91" s="2"/>
      <c r="N91" s="7">
        <f t="shared" si="41"/>
        <v>3.9870967741935527E-2</v>
      </c>
      <c r="O91" s="11"/>
      <c r="P91" s="6">
        <v>967.08</v>
      </c>
      <c r="Q91" s="2"/>
      <c r="R91" s="7">
        <f t="shared" si="42"/>
        <v>3.4008629529736481E-3</v>
      </c>
      <c r="S91" s="2"/>
      <c r="T91" s="6">
        <v>930</v>
      </c>
      <c r="U91" s="2"/>
      <c r="V91" s="7">
        <f t="shared" si="43"/>
        <v>3.1129137225212912E-3</v>
      </c>
      <c r="W91" s="2"/>
      <c r="X91" s="6">
        <f t="shared" si="44"/>
        <v>37.080000000000041</v>
      </c>
      <c r="Y91" s="2"/>
      <c r="Z91" s="7">
        <f t="shared" si="45"/>
        <v>3.9870967741935527E-2</v>
      </c>
    </row>
    <row r="92" spans="1:26" s="25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SUM(OSRRefD22_10x_0)</f>
        <v>300</v>
      </c>
      <c r="E92" s="1"/>
      <c r="F92" s="5">
        <f t="shared" si="38"/>
        <v>5.7630598620554002E-3</v>
      </c>
      <c r="G92" s="1"/>
      <c r="H92" s="1">
        <f>SUM(OSRRefH22_10x_0)</f>
        <v>300</v>
      </c>
      <c r="I92" s="1"/>
      <c r="J92" s="5">
        <f t="shared" si="39"/>
        <v>4.9478803494826034E-3</v>
      </c>
      <c r="K92" s="1"/>
      <c r="L92" s="1">
        <f t="shared" si="40"/>
        <v>0</v>
      </c>
      <c r="M92" s="1"/>
      <c r="N92" s="5">
        <f t="shared" si="41"/>
        <v>0</v>
      </c>
      <c r="O92" s="13"/>
      <c r="P92" s="1">
        <f>SUM(OSRRefP22_10x_0)</f>
        <v>1800</v>
      </c>
      <c r="Q92" s="1"/>
      <c r="R92" s="5">
        <f t="shared" si="42"/>
        <v>6.329934767912237E-3</v>
      </c>
      <c r="S92" s="1"/>
      <c r="T92" s="1">
        <f>SUM(OSRRefT22_10x_0)</f>
        <v>1800</v>
      </c>
      <c r="U92" s="1"/>
      <c r="V92" s="5">
        <f t="shared" si="43"/>
        <v>6.0249943016541128E-3</v>
      </c>
      <c r="W92" s="1"/>
      <c r="X92" s="1">
        <f t="shared" si="44"/>
        <v>0</v>
      </c>
      <c r="Y92" s="1"/>
      <c r="Z92" s="5">
        <f t="shared" si="45"/>
        <v>0</v>
      </c>
    </row>
    <row r="93" spans="1:26" s="24" customFormat="1" hidden="1" outlineLevel="2" x14ac:dyDescent="0.25">
      <c r="A93" s="26"/>
      <c r="B93" s="11" t="str">
        <f>CONCATENATE("          ", "6408", " - ", "INVENTORY ADJUSTMENT")</f>
        <v xml:space="preserve">          6408 - INVENTORY ADJUSTMENT</v>
      </c>
      <c r="C93" s="11"/>
      <c r="D93" s="6">
        <v>300</v>
      </c>
      <c r="E93" s="2"/>
      <c r="F93" s="7">
        <f t="shared" si="38"/>
        <v>5.7630598620554002E-3</v>
      </c>
      <c r="G93" s="2"/>
      <c r="H93" s="6">
        <v>300</v>
      </c>
      <c r="I93" s="2"/>
      <c r="J93" s="7">
        <f t="shared" si="39"/>
        <v>4.9478803494826034E-3</v>
      </c>
      <c r="K93" s="2"/>
      <c r="L93" s="6">
        <f t="shared" si="40"/>
        <v>0</v>
      </c>
      <c r="M93" s="2"/>
      <c r="N93" s="7">
        <f t="shared" si="41"/>
        <v>0</v>
      </c>
      <c r="O93" s="11"/>
      <c r="P93" s="6">
        <v>1800</v>
      </c>
      <c r="Q93" s="2"/>
      <c r="R93" s="7">
        <f t="shared" si="42"/>
        <v>6.329934767912237E-3</v>
      </c>
      <c r="S93" s="2"/>
      <c r="T93" s="6">
        <v>1800</v>
      </c>
      <c r="U93" s="2"/>
      <c r="V93" s="7">
        <f t="shared" si="43"/>
        <v>6.0249943016541128E-3</v>
      </c>
      <c r="W93" s="2"/>
      <c r="X93" s="6">
        <f t="shared" si="44"/>
        <v>0</v>
      </c>
      <c r="Y93" s="2"/>
      <c r="Z93" s="7">
        <f t="shared" si="45"/>
        <v>0</v>
      </c>
    </row>
    <row r="94" spans="1:26" s="25" customFormat="1" outlineLevel="1" collapsed="1" x14ac:dyDescent="0.25">
      <c r="A94" s="27"/>
      <c r="B94" s="13" t="str">
        <f>CONCATENATE("     ","Professional Services                             ")</f>
        <v xml:space="preserve">     Professional Services                             </v>
      </c>
      <c r="C94" s="13"/>
      <c r="D94" s="1">
        <f>SUM(OSRRefD22_11x_0)</f>
        <v>0</v>
      </c>
      <c r="E94" s="1"/>
      <c r="F94" s="5">
        <f t="shared" si="38"/>
        <v>0</v>
      </c>
      <c r="G94" s="1"/>
      <c r="H94" s="1">
        <f>SUM(OSRRefH22_11x_0)</f>
        <v>0</v>
      </c>
      <c r="I94" s="1"/>
      <c r="J94" s="5">
        <f t="shared" si="39"/>
        <v>0</v>
      </c>
      <c r="K94" s="1"/>
      <c r="L94" s="1">
        <f t="shared" si="40"/>
        <v>0</v>
      </c>
      <c r="M94" s="1"/>
      <c r="N94" s="5">
        <f t="shared" si="41"/>
        <v>0</v>
      </c>
      <c r="O94" s="13"/>
      <c r="P94" s="1">
        <f>SUM(OSRRefP22_11x_0)</f>
        <v>750</v>
      </c>
      <c r="Q94" s="1"/>
      <c r="R94" s="5">
        <f t="shared" si="42"/>
        <v>2.6374728199634323E-3</v>
      </c>
      <c r="S94" s="1"/>
      <c r="T94" s="1">
        <f>SUM(OSRRefT22_11x_0)</f>
        <v>900</v>
      </c>
      <c r="U94" s="1"/>
      <c r="V94" s="5">
        <f t="shared" si="43"/>
        <v>3.0124971508270564E-3</v>
      </c>
      <c r="W94" s="1"/>
      <c r="X94" s="1">
        <f t="shared" si="44"/>
        <v>-150</v>
      </c>
      <c r="Y94" s="1"/>
      <c r="Z94" s="5">
        <f t="shared" si="45"/>
        <v>-0.16666666666666666</v>
      </c>
    </row>
    <row r="95" spans="1:26" s="24" customFormat="1" hidden="1" outlineLevel="2" x14ac:dyDescent="0.25">
      <c r="A95" s="26"/>
      <c r="B95" s="11" t="str">
        <f>CONCATENATE("          ", "6336", " - ", "PROFESSIONAL SERVICES")</f>
        <v xml:space="preserve">          6336 - PROFESSIONAL SERVICES</v>
      </c>
      <c r="C95" s="11"/>
      <c r="D95" s="6"/>
      <c r="E95" s="2"/>
      <c r="F95" s="7">
        <f t="shared" si="38"/>
        <v>0</v>
      </c>
      <c r="G95" s="2"/>
      <c r="H95" s="6">
        <v>0</v>
      </c>
      <c r="I95" s="2"/>
      <c r="J95" s="7">
        <f t="shared" si="39"/>
        <v>0</v>
      </c>
      <c r="K95" s="2"/>
      <c r="L95" s="6">
        <f t="shared" si="40"/>
        <v>0</v>
      </c>
      <c r="M95" s="2"/>
      <c r="N95" s="7">
        <f t="shared" si="41"/>
        <v>0</v>
      </c>
      <c r="O95" s="11"/>
      <c r="P95" s="6">
        <v>750</v>
      </c>
      <c r="Q95" s="2"/>
      <c r="R95" s="7">
        <f t="shared" si="42"/>
        <v>2.6374728199634323E-3</v>
      </c>
      <c r="S95" s="2"/>
      <c r="T95" s="6">
        <v>900</v>
      </c>
      <c r="U95" s="2"/>
      <c r="V95" s="7">
        <f t="shared" si="43"/>
        <v>3.0124971508270564E-3</v>
      </c>
      <c r="W95" s="2"/>
      <c r="X95" s="6">
        <f t="shared" si="44"/>
        <v>-150</v>
      </c>
      <c r="Y95" s="2"/>
      <c r="Z95" s="7">
        <f t="shared" si="45"/>
        <v>-0.16666666666666666</v>
      </c>
    </row>
    <row r="96" spans="1:26" s="25" customFormat="1" outlineLevel="1" collapsed="1" x14ac:dyDescent="0.25">
      <c r="A96" s="27"/>
      <c r="B96" s="13" t="str">
        <f>CONCATENATE("     ","Rent                                              ")</f>
        <v xml:space="preserve">     Rent                                              </v>
      </c>
      <c r="C96" s="13"/>
      <c r="D96" s="1">
        <f>SUM(OSRRefD22_12x_0)</f>
        <v>6900</v>
      </c>
      <c r="E96" s="1"/>
      <c r="F96" s="5">
        <f t="shared" si="38"/>
        <v>0.13255037682727419</v>
      </c>
      <c r="G96" s="1"/>
      <c r="H96" s="1">
        <f>SUM(OSRRefH22_12x_0)</f>
        <v>7200</v>
      </c>
      <c r="I96" s="1"/>
      <c r="J96" s="5">
        <f t="shared" si="39"/>
        <v>0.11874912838758248</v>
      </c>
      <c r="K96" s="1"/>
      <c r="L96" s="1">
        <f t="shared" si="40"/>
        <v>-300</v>
      </c>
      <c r="M96" s="1"/>
      <c r="N96" s="5">
        <f t="shared" si="41"/>
        <v>-4.1666666666666664E-2</v>
      </c>
      <c r="O96" s="13"/>
      <c r="P96" s="1">
        <f>SUM(OSRRefP22_12x_0)</f>
        <v>41400</v>
      </c>
      <c r="Q96" s="1"/>
      <c r="R96" s="5">
        <f t="shared" si="42"/>
        <v>0.14558849966198145</v>
      </c>
      <c r="S96" s="1"/>
      <c r="T96" s="1">
        <f>SUM(OSRRefT22_12x_0)</f>
        <v>43200</v>
      </c>
      <c r="U96" s="1"/>
      <c r="V96" s="5">
        <f t="shared" si="43"/>
        <v>0.1445998632396987</v>
      </c>
      <c r="W96" s="1"/>
      <c r="X96" s="1">
        <f t="shared" si="44"/>
        <v>-1800</v>
      </c>
      <c r="Y96" s="1"/>
      <c r="Z96" s="5">
        <f t="shared" si="45"/>
        <v>-4.1666666666666664E-2</v>
      </c>
    </row>
    <row r="97" spans="1:26" s="24" customFormat="1" hidden="1" outlineLevel="2" x14ac:dyDescent="0.25">
      <c r="A97" s="26"/>
      <c r="B97" s="11" t="str">
        <f>CONCATENATE("          ", "6273", " - ", "RENT")</f>
        <v xml:space="preserve">          6273 - RENT</v>
      </c>
      <c r="C97" s="11"/>
      <c r="D97" s="6">
        <v>6900</v>
      </c>
      <c r="E97" s="2"/>
      <c r="F97" s="7">
        <f t="shared" si="38"/>
        <v>0.13255037682727419</v>
      </c>
      <c r="G97" s="2"/>
      <c r="H97" s="6">
        <v>7200</v>
      </c>
      <c r="I97" s="2"/>
      <c r="J97" s="7">
        <f t="shared" si="39"/>
        <v>0.11874912838758248</v>
      </c>
      <c r="K97" s="2"/>
      <c r="L97" s="6">
        <f t="shared" si="40"/>
        <v>-300</v>
      </c>
      <c r="M97" s="2"/>
      <c r="N97" s="7">
        <f t="shared" si="41"/>
        <v>-4.1666666666666664E-2</v>
      </c>
      <c r="O97" s="11"/>
      <c r="P97" s="6">
        <v>41400</v>
      </c>
      <c r="Q97" s="2"/>
      <c r="R97" s="7">
        <f t="shared" si="42"/>
        <v>0.14558849966198145</v>
      </c>
      <c r="S97" s="2"/>
      <c r="T97" s="6">
        <v>43200</v>
      </c>
      <c r="U97" s="2"/>
      <c r="V97" s="7">
        <f t="shared" si="43"/>
        <v>0.1445998632396987</v>
      </c>
      <c r="W97" s="2"/>
      <c r="X97" s="6">
        <f t="shared" si="44"/>
        <v>-1800</v>
      </c>
      <c r="Y97" s="2"/>
      <c r="Z97" s="7">
        <f t="shared" si="45"/>
        <v>-4.1666666666666664E-2</v>
      </c>
    </row>
    <row r="98" spans="1:26" s="25" customFormat="1" outlineLevel="1" collapsed="1" x14ac:dyDescent="0.25">
      <c r="A98" s="27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SUM(OSRRefD22_13x_0)</f>
        <v>171.46</v>
      </c>
      <c r="E98" s="1"/>
      <c r="F98" s="5">
        <f t="shared" si="38"/>
        <v>3.2937808131600632E-3</v>
      </c>
      <c r="G98" s="1"/>
      <c r="H98" s="1">
        <f>SUM(OSRRefH22_13x_0)</f>
        <v>100</v>
      </c>
      <c r="I98" s="1"/>
      <c r="J98" s="5">
        <f t="shared" si="39"/>
        <v>1.6492934498275344E-3</v>
      </c>
      <c r="K98" s="1"/>
      <c r="L98" s="1">
        <f t="shared" si="40"/>
        <v>71.460000000000008</v>
      </c>
      <c r="M98" s="1"/>
      <c r="N98" s="5">
        <f t="shared" si="41"/>
        <v>0.71460000000000012</v>
      </c>
      <c r="O98" s="13"/>
      <c r="P98" s="1">
        <f>SUM(OSRRefP22_13x_0)</f>
        <v>275.75</v>
      </c>
      <c r="Q98" s="1"/>
      <c r="R98" s="5">
        <f t="shared" si="42"/>
        <v>9.6971084013988858E-4</v>
      </c>
      <c r="S98" s="1"/>
      <c r="T98" s="1">
        <f>SUM(OSRRefT22_13x_0)</f>
        <v>950</v>
      </c>
      <c r="U98" s="1"/>
      <c r="V98" s="5">
        <f t="shared" si="43"/>
        <v>3.1798581036507814E-3</v>
      </c>
      <c r="W98" s="1"/>
      <c r="X98" s="1">
        <f t="shared" si="44"/>
        <v>-674.25</v>
      </c>
      <c r="Y98" s="1"/>
      <c r="Z98" s="5">
        <f t="shared" si="45"/>
        <v>-0.70973684210526311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>
        <v>47.57</v>
      </c>
      <c r="E99" s="2"/>
      <c r="F99" s="7">
        <f t="shared" si="38"/>
        <v>9.1382919212658462E-4</v>
      </c>
      <c r="G99" s="2"/>
      <c r="H99" s="6">
        <v>0</v>
      </c>
      <c r="I99" s="2"/>
      <c r="J99" s="7">
        <f t="shared" si="39"/>
        <v>0</v>
      </c>
      <c r="K99" s="2"/>
      <c r="L99" s="6">
        <f t="shared" si="40"/>
        <v>47.57</v>
      </c>
      <c r="M99" s="2"/>
      <c r="N99" s="7">
        <f t="shared" si="41"/>
        <v>0</v>
      </c>
      <c r="O99" s="11"/>
      <c r="P99" s="6">
        <v>93.22</v>
      </c>
      <c r="Q99" s="2"/>
      <c r="R99" s="7">
        <f t="shared" si="42"/>
        <v>3.2782028836932152E-4</v>
      </c>
      <c r="S99" s="2"/>
      <c r="T99" s="6">
        <v>75</v>
      </c>
      <c r="U99" s="2"/>
      <c r="V99" s="7">
        <f t="shared" si="43"/>
        <v>2.5104142923558802E-4</v>
      </c>
      <c r="W99" s="2"/>
      <c r="X99" s="6">
        <f t="shared" si="44"/>
        <v>18.22</v>
      </c>
      <c r="Y99" s="2"/>
      <c r="Z99" s="7">
        <f t="shared" si="45"/>
        <v>0.24293333333333331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>
        <v>123.89</v>
      </c>
      <c r="E100" s="2"/>
      <c r="F100" s="7">
        <f t="shared" si="38"/>
        <v>2.3799516210334785E-3</v>
      </c>
      <c r="G100" s="2"/>
      <c r="H100" s="6">
        <v>100</v>
      </c>
      <c r="I100" s="2"/>
      <c r="J100" s="7">
        <f t="shared" si="39"/>
        <v>1.6492934498275344E-3</v>
      </c>
      <c r="K100" s="2"/>
      <c r="L100" s="6">
        <f t="shared" si="40"/>
        <v>23.89</v>
      </c>
      <c r="M100" s="2"/>
      <c r="N100" s="7">
        <f t="shared" si="41"/>
        <v>0.2389</v>
      </c>
      <c r="O100" s="11"/>
      <c r="P100" s="6">
        <v>182.53</v>
      </c>
      <c r="Q100" s="2"/>
      <c r="R100" s="7">
        <f t="shared" si="42"/>
        <v>6.4189055177056706E-4</v>
      </c>
      <c r="S100" s="2"/>
      <c r="T100" s="6">
        <v>875</v>
      </c>
      <c r="U100" s="2"/>
      <c r="V100" s="7">
        <f t="shared" si="43"/>
        <v>2.9288166744151937E-3</v>
      </c>
      <c r="W100" s="2"/>
      <c r="X100" s="6">
        <f t="shared" si="44"/>
        <v>-692.47</v>
      </c>
      <c r="Y100" s="2"/>
      <c r="Z100" s="7">
        <f t="shared" si="45"/>
        <v>-0.79139428571428572</v>
      </c>
    </row>
    <row r="101" spans="1:26" s="25" customFormat="1" outlineLevel="1" collapsed="1" x14ac:dyDescent="0.25">
      <c r="A101" s="27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SUM(OSRRefD22_14x_0)</f>
        <v>181.82</v>
      </c>
      <c r="E101" s="1"/>
      <c r="F101" s="5">
        <f t="shared" ref="F101:F104" si="46">IF(D$12=0,0,D101/D$12)</f>
        <v>3.492798480396376E-3</v>
      </c>
      <c r="G101" s="1"/>
      <c r="H101" s="1">
        <f>SUM(OSRRefH22_14x_0)</f>
        <v>232.5</v>
      </c>
      <c r="I101" s="1"/>
      <c r="J101" s="5">
        <f t="shared" ref="J101:J104" si="47">IF(H$12=0,0,H101/H$12)</f>
        <v>3.8346072708490176E-3</v>
      </c>
      <c r="K101" s="1"/>
      <c r="L101" s="1">
        <f t="shared" ref="L101:L104" si="48">+D101-H101</f>
        <v>-50.680000000000007</v>
      </c>
      <c r="M101" s="1"/>
      <c r="N101" s="5">
        <f t="shared" ref="N101:N104" si="49">IF(H101=0,0,L101/H101)</f>
        <v>-0.21797849462365596</v>
      </c>
      <c r="O101" s="13"/>
      <c r="P101" s="1">
        <f>SUM(OSRRefP22_14x_0)</f>
        <v>2002.28</v>
      </c>
      <c r="Q101" s="1"/>
      <c r="R101" s="5">
        <f t="shared" ref="R101:R104" si="50">IF(P$12=0,0,P101/P$12)</f>
        <v>7.0412787706085082E-3</v>
      </c>
      <c r="S101" s="1"/>
      <c r="T101" s="1">
        <f>SUM(OSRRefT22_14x_0)</f>
        <v>1395</v>
      </c>
      <c r="U101" s="1"/>
      <c r="V101" s="5">
        <f t="shared" ref="V101:V104" si="51">IF(T$12=0,0,T101/T$12)</f>
        <v>4.6693705837819368E-3</v>
      </c>
      <c r="W101" s="1"/>
      <c r="X101" s="1">
        <f t="shared" ref="X101:X104" si="52">+P101-T101</f>
        <v>607.28</v>
      </c>
      <c r="Y101" s="1"/>
      <c r="Z101" s="5">
        <f t="shared" ref="Z101:Z104" si="53">IF(T101=0,0,X101/T101)</f>
        <v>0.43532616487455195</v>
      </c>
    </row>
    <row r="102" spans="1:26" s="24" customFormat="1" hidden="1" outlineLevel="2" x14ac:dyDescent="0.25">
      <c r="A102" s="26"/>
      <c r="B102" s="11" t="str">
        <f>CONCATENATE("          ", "6283", " - ", "PLANT SERVICE")</f>
        <v xml:space="preserve">          6283 - PLANT SERVICE</v>
      </c>
      <c r="C102" s="11"/>
      <c r="D102" s="6"/>
      <c r="E102" s="2"/>
      <c r="F102" s="7">
        <f t="shared" si="46"/>
        <v>0</v>
      </c>
      <c r="G102" s="2"/>
      <c r="H102" s="6">
        <v>60</v>
      </c>
      <c r="I102" s="2"/>
      <c r="J102" s="7">
        <f t="shared" si="47"/>
        <v>9.8957606989652069E-4</v>
      </c>
      <c r="K102" s="2"/>
      <c r="L102" s="6">
        <f t="shared" si="48"/>
        <v>-60</v>
      </c>
      <c r="M102" s="2"/>
      <c r="N102" s="7">
        <f t="shared" si="49"/>
        <v>-1</v>
      </c>
      <c r="O102" s="11"/>
      <c r="P102" s="6">
        <v>178.65</v>
      </c>
      <c r="Q102" s="2"/>
      <c r="R102" s="7">
        <f t="shared" si="50"/>
        <v>6.2824602571528955E-4</v>
      </c>
      <c r="S102" s="2"/>
      <c r="T102" s="6">
        <v>360</v>
      </c>
      <c r="U102" s="2"/>
      <c r="V102" s="7">
        <f t="shared" si="51"/>
        <v>1.2049988603308225E-3</v>
      </c>
      <c r="W102" s="2"/>
      <c r="X102" s="6">
        <f t="shared" si="52"/>
        <v>-181.35</v>
      </c>
      <c r="Y102" s="2"/>
      <c r="Z102" s="7">
        <f t="shared" si="53"/>
        <v>-0.50375000000000003</v>
      </c>
    </row>
    <row r="103" spans="1:26" s="24" customFormat="1" hidden="1" outlineLevel="2" x14ac:dyDescent="0.25">
      <c r="A103" s="26"/>
      <c r="B103" s="11" t="str">
        <f>CONCATENATE("          ", "6284", " - ", "TRASH REMOVAL EXPENSE")</f>
        <v xml:space="preserve">          6284 - TRASH REMOVAL EXPENSE</v>
      </c>
      <c r="C103" s="11"/>
      <c r="D103" s="6">
        <v>134.82</v>
      </c>
      <c r="E103" s="2"/>
      <c r="F103" s="7">
        <f t="shared" si="46"/>
        <v>2.5899191020076965E-3</v>
      </c>
      <c r="G103" s="2"/>
      <c r="H103" s="6">
        <v>62.5</v>
      </c>
      <c r="I103" s="2"/>
      <c r="J103" s="7">
        <f t="shared" si="47"/>
        <v>1.0308084061422091E-3</v>
      </c>
      <c r="K103" s="2"/>
      <c r="L103" s="6">
        <f t="shared" si="48"/>
        <v>72.319999999999993</v>
      </c>
      <c r="M103" s="2"/>
      <c r="N103" s="7">
        <f t="shared" si="49"/>
        <v>1.1571199999999999</v>
      </c>
      <c r="O103" s="11"/>
      <c r="P103" s="6">
        <v>808.92</v>
      </c>
      <c r="Q103" s="2"/>
      <c r="R103" s="7">
        <f t="shared" si="50"/>
        <v>2.8446726846997595E-3</v>
      </c>
      <c r="S103" s="2"/>
      <c r="T103" s="6">
        <v>375</v>
      </c>
      <c r="U103" s="2"/>
      <c r="V103" s="7">
        <f t="shared" si="51"/>
        <v>1.2552071461779401E-3</v>
      </c>
      <c r="W103" s="2"/>
      <c r="X103" s="6">
        <f t="shared" si="52"/>
        <v>433.91999999999996</v>
      </c>
      <c r="Y103" s="2"/>
      <c r="Z103" s="7">
        <f t="shared" si="53"/>
        <v>1.1571199999999999</v>
      </c>
    </row>
    <row r="104" spans="1:26" s="24" customFormat="1" hidden="1" outlineLevel="2" x14ac:dyDescent="0.25">
      <c r="A104" s="26"/>
      <c r="B104" s="11" t="str">
        <f>CONCATENATE("          ", "6285", " - ", "JANITORIAL SERVICES")</f>
        <v xml:space="preserve">          6285 - JANITORIAL SERVICES</v>
      </c>
      <c r="C104" s="11"/>
      <c r="D104" s="6">
        <v>47</v>
      </c>
      <c r="E104" s="2"/>
      <c r="F104" s="7">
        <f t="shared" si="46"/>
        <v>9.0287937838867932E-4</v>
      </c>
      <c r="G104" s="2"/>
      <c r="H104" s="6">
        <v>110</v>
      </c>
      <c r="I104" s="2"/>
      <c r="J104" s="7">
        <f t="shared" si="47"/>
        <v>1.8142227948102878E-3</v>
      </c>
      <c r="K104" s="2"/>
      <c r="L104" s="6">
        <f t="shared" si="48"/>
        <v>-63</v>
      </c>
      <c r="M104" s="2"/>
      <c r="N104" s="7">
        <f t="shared" si="49"/>
        <v>-0.57272727272727275</v>
      </c>
      <c r="O104" s="11"/>
      <c r="P104" s="6">
        <v>1014.71</v>
      </c>
      <c r="Q104" s="2"/>
      <c r="R104" s="7">
        <f t="shared" si="50"/>
        <v>3.5683600601934592E-3</v>
      </c>
      <c r="S104" s="2"/>
      <c r="T104" s="6">
        <v>660</v>
      </c>
      <c r="U104" s="2"/>
      <c r="V104" s="7">
        <f t="shared" si="51"/>
        <v>2.2091645772731746E-3</v>
      </c>
      <c r="W104" s="2"/>
      <c r="X104" s="6">
        <f t="shared" si="52"/>
        <v>354.71000000000004</v>
      </c>
      <c r="Y104" s="2"/>
      <c r="Z104" s="7">
        <f t="shared" si="53"/>
        <v>0.53743939393939399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SUM(OSRRefD22_15x_0)</f>
        <v>0</v>
      </c>
      <c r="E105" s="1"/>
      <c r="F105" s="5">
        <f t="shared" ref="F105:F107" si="54">IF(D$12=0,0,D105/D$12)</f>
        <v>0</v>
      </c>
      <c r="G105" s="1"/>
      <c r="H105" s="1">
        <f>SUM(OSRRefH22_15x_0)</f>
        <v>215</v>
      </c>
      <c r="I105" s="1"/>
      <c r="J105" s="5">
        <f t="shared" ref="J105:J107" si="55">IF(H$12=0,0,H105/H$12)</f>
        <v>3.5459809171291988E-3</v>
      </c>
      <c r="K105" s="1"/>
      <c r="L105" s="1">
        <f t="shared" ref="L105:L107" si="56">+D105-H105</f>
        <v>-215</v>
      </c>
      <c r="M105" s="1"/>
      <c r="N105" s="5">
        <f t="shared" ref="N105:N107" si="57">IF(H105=0,0,L105/H105)</f>
        <v>-1</v>
      </c>
      <c r="O105" s="13"/>
      <c r="P105" s="1">
        <f>SUM(OSRRefP22_15x_0)</f>
        <v>88.42</v>
      </c>
      <c r="Q105" s="1"/>
      <c r="R105" s="5">
        <f t="shared" ref="R105:R107" si="58">IF(P$12=0,0,P105/P$12)</f>
        <v>3.1094046232155555E-4</v>
      </c>
      <c r="S105" s="1"/>
      <c r="T105" s="1">
        <f>SUM(OSRRefT22_15x_0)</f>
        <v>1835</v>
      </c>
      <c r="U105" s="1"/>
      <c r="V105" s="5">
        <f t="shared" ref="V105:V107" si="59">IF(T$12=0,0,T105/T$12)</f>
        <v>6.1421469686307201E-3</v>
      </c>
      <c r="W105" s="1"/>
      <c r="X105" s="1">
        <f t="shared" ref="X105:X107" si="60">+P105-T105</f>
        <v>-1746.58</v>
      </c>
      <c r="Y105" s="1"/>
      <c r="Z105" s="5">
        <f t="shared" ref="Z105:Z107" si="61">IF(T105=0,0,X105/T105)</f>
        <v>-0.95181471389645778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/>
      <c r="E106" s="2"/>
      <c r="F106" s="7">
        <f t="shared" si="54"/>
        <v>0</v>
      </c>
      <c r="G106" s="2"/>
      <c r="H106" s="6">
        <v>0</v>
      </c>
      <c r="I106" s="2"/>
      <c r="J106" s="7">
        <f t="shared" si="55"/>
        <v>0</v>
      </c>
      <c r="K106" s="2"/>
      <c r="L106" s="6">
        <f t="shared" si="56"/>
        <v>0</v>
      </c>
      <c r="M106" s="2"/>
      <c r="N106" s="7">
        <f t="shared" si="57"/>
        <v>0</v>
      </c>
      <c r="O106" s="11"/>
      <c r="P106" s="6"/>
      <c r="Q106" s="2"/>
      <c r="R106" s="7">
        <f t="shared" si="58"/>
        <v>0</v>
      </c>
      <c r="S106" s="2"/>
      <c r="T106" s="6">
        <v>395</v>
      </c>
      <c r="U106" s="2"/>
      <c r="V106" s="7">
        <f t="shared" si="59"/>
        <v>1.3221515273074303E-3</v>
      </c>
      <c r="W106" s="2"/>
      <c r="X106" s="6">
        <f t="shared" si="60"/>
        <v>-395</v>
      </c>
      <c r="Y106" s="2"/>
      <c r="Z106" s="7">
        <f t="shared" si="61"/>
        <v>-1</v>
      </c>
    </row>
    <row r="107" spans="1:26" s="24" customFormat="1" hidden="1" outlineLevel="2" x14ac:dyDescent="0.25">
      <c r="A107" s="26"/>
      <c r="B107" s="11" t="str">
        <f>CONCATENATE("          ", "6275", " - ", "SUBSCRIPTIONS")</f>
        <v xml:space="preserve">          6275 - SUBSCRIPTIONS</v>
      </c>
      <c r="C107" s="11"/>
      <c r="D107" s="6"/>
      <c r="E107" s="2"/>
      <c r="F107" s="7">
        <f t="shared" si="54"/>
        <v>0</v>
      </c>
      <c r="G107" s="2"/>
      <c r="H107" s="6">
        <v>215</v>
      </c>
      <c r="I107" s="2"/>
      <c r="J107" s="7">
        <f t="shared" si="55"/>
        <v>3.5459809171291988E-3</v>
      </c>
      <c r="K107" s="2"/>
      <c r="L107" s="6">
        <f t="shared" si="56"/>
        <v>-215</v>
      </c>
      <c r="M107" s="2"/>
      <c r="N107" s="7">
        <f t="shared" si="57"/>
        <v>-1</v>
      </c>
      <c r="O107" s="11"/>
      <c r="P107" s="6">
        <v>88.42</v>
      </c>
      <c r="Q107" s="2"/>
      <c r="R107" s="7">
        <f t="shared" si="58"/>
        <v>3.1094046232155555E-4</v>
      </c>
      <c r="S107" s="2"/>
      <c r="T107" s="6">
        <v>1440</v>
      </c>
      <c r="U107" s="2"/>
      <c r="V107" s="7">
        <f t="shared" si="59"/>
        <v>4.8199954413232901E-3</v>
      </c>
      <c r="W107" s="2"/>
      <c r="X107" s="6">
        <f t="shared" si="60"/>
        <v>-1351.58</v>
      </c>
      <c r="Y107" s="2"/>
      <c r="Z107" s="7">
        <f t="shared" si="61"/>
        <v>-0.93859722222222219</v>
      </c>
    </row>
    <row r="108" spans="1:26" s="25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SUM(OSRRefD22_16x_0)</f>
        <v>645.46</v>
      </c>
      <c r="E108" s="1"/>
      <c r="F108" s="5">
        <f t="shared" ref="F108:F113" si="62">IF(D$12=0,0,D108/D$12)</f>
        <v>1.2399415395207596E-2</v>
      </c>
      <c r="G108" s="1"/>
      <c r="H108" s="1">
        <f>SUM(OSRRefH22_16x_0)</f>
        <v>835</v>
      </c>
      <c r="I108" s="1"/>
      <c r="J108" s="5">
        <f t="shared" ref="J108:J113" si="63">IF(H$12=0,0,H108/H$12)</f>
        <v>1.3771600306059912E-2</v>
      </c>
      <c r="K108" s="1"/>
      <c r="L108" s="1">
        <f t="shared" ref="L108:L113" si="64">+D108-H108</f>
        <v>-189.53999999999996</v>
      </c>
      <c r="M108" s="1"/>
      <c r="N108" s="5">
        <f t="shared" ref="N108:N113" si="65">IF(H108=0,0,L108/H108)</f>
        <v>-0.22699401197604785</v>
      </c>
      <c r="O108" s="13"/>
      <c r="P108" s="1">
        <f>SUM(OSRRefP22_16x_0)</f>
        <v>2103.59</v>
      </c>
      <c r="Q108" s="1"/>
      <c r="R108" s="5">
        <f t="shared" ref="R108:R113" si="66">IF(P$12=0,0,P108/P$12)</f>
        <v>7.3975485991291685E-3</v>
      </c>
      <c r="S108" s="1"/>
      <c r="T108" s="1">
        <f>SUM(OSRRefT22_16x_0)</f>
        <v>3110</v>
      </c>
      <c r="U108" s="1"/>
      <c r="V108" s="5">
        <f t="shared" ref="V108:V113" si="67">IF(T$12=0,0,T108/T$12)</f>
        <v>1.0409851265635716E-2</v>
      </c>
      <c r="W108" s="1"/>
      <c r="X108" s="1">
        <f t="shared" ref="X108:X113" si="68">+P108-T108</f>
        <v>-1006.4099999999999</v>
      </c>
      <c r="Y108" s="1"/>
      <c r="Z108" s="5">
        <f t="shared" ref="Z108:Z113" si="69">IF(T108=0,0,X108/T108)</f>
        <v>-0.32360450160771698</v>
      </c>
    </row>
    <row r="109" spans="1:26" s="24" customFormat="1" hidden="1" outlineLevel="2" x14ac:dyDescent="0.25">
      <c r="A109" s="26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/>
      <c r="E109" s="2"/>
      <c r="F109" s="7">
        <f t="shared" si="62"/>
        <v>0</v>
      </c>
      <c r="G109" s="2"/>
      <c r="H109" s="6">
        <v>200</v>
      </c>
      <c r="I109" s="2"/>
      <c r="J109" s="7">
        <f t="shared" si="63"/>
        <v>3.2985868996550688E-3</v>
      </c>
      <c r="K109" s="2"/>
      <c r="L109" s="6">
        <f t="shared" si="64"/>
        <v>-200</v>
      </c>
      <c r="M109" s="2"/>
      <c r="N109" s="7">
        <f t="shared" si="65"/>
        <v>-1</v>
      </c>
      <c r="O109" s="11"/>
      <c r="P109" s="6"/>
      <c r="Q109" s="2"/>
      <c r="R109" s="7">
        <f t="shared" si="66"/>
        <v>0</v>
      </c>
      <c r="S109" s="2"/>
      <c r="T109" s="6">
        <v>1050</v>
      </c>
      <c r="U109" s="2"/>
      <c r="V109" s="7">
        <f t="shared" si="67"/>
        <v>3.5145800092982321E-3</v>
      </c>
      <c r="W109" s="2"/>
      <c r="X109" s="6">
        <f t="shared" si="68"/>
        <v>-1050</v>
      </c>
      <c r="Y109" s="2"/>
      <c r="Z109" s="7">
        <f t="shared" si="69"/>
        <v>-1</v>
      </c>
    </row>
    <row r="110" spans="1:26" s="24" customFormat="1" hidden="1" outlineLevel="2" x14ac:dyDescent="0.25">
      <c r="A110" s="26"/>
      <c r="B110" s="11" t="str">
        <f>CONCATENATE("          ", "6237", " - ", "JANITORIAL SUPPLIES")</f>
        <v xml:space="preserve">          6237 - JANITORIAL SUPPLIES</v>
      </c>
      <c r="C110" s="11"/>
      <c r="D110" s="6"/>
      <c r="E110" s="2"/>
      <c r="F110" s="7">
        <f t="shared" si="62"/>
        <v>0</v>
      </c>
      <c r="G110" s="2"/>
      <c r="H110" s="6">
        <v>10</v>
      </c>
      <c r="I110" s="2"/>
      <c r="J110" s="7">
        <f t="shared" si="63"/>
        <v>1.6492934498275343E-4</v>
      </c>
      <c r="K110" s="2"/>
      <c r="L110" s="6">
        <f t="shared" si="64"/>
        <v>-10</v>
      </c>
      <c r="M110" s="2"/>
      <c r="N110" s="7">
        <f t="shared" si="65"/>
        <v>-1</v>
      </c>
      <c r="O110" s="11"/>
      <c r="P110" s="6">
        <v>287.72000000000003</v>
      </c>
      <c r="Q110" s="2"/>
      <c r="R110" s="7">
        <f t="shared" si="66"/>
        <v>1.0118049063465051E-3</v>
      </c>
      <c r="S110" s="2"/>
      <c r="T110" s="6">
        <v>110</v>
      </c>
      <c r="U110" s="2"/>
      <c r="V110" s="7">
        <f t="shared" si="67"/>
        <v>3.6819409621219578E-4</v>
      </c>
      <c r="W110" s="2"/>
      <c r="X110" s="6">
        <f t="shared" si="68"/>
        <v>177.72000000000003</v>
      </c>
      <c r="Y110" s="2"/>
      <c r="Z110" s="7">
        <f t="shared" si="69"/>
        <v>1.615636363636364</v>
      </c>
    </row>
    <row r="111" spans="1:26" s="24" customFormat="1" hidden="1" outlineLevel="2" x14ac:dyDescent="0.25">
      <c r="A111" s="26"/>
      <c r="B111" s="11" t="str">
        <f>CONCATENATE("          ", "6241", " - ", "OFFICE EXPENSE")</f>
        <v xml:space="preserve">          6241 - OFFICE EXPENSE</v>
      </c>
      <c r="C111" s="11"/>
      <c r="D111" s="6">
        <v>645.46</v>
      </c>
      <c r="E111" s="2"/>
      <c r="F111" s="7">
        <f t="shared" si="62"/>
        <v>1.2399415395207596E-2</v>
      </c>
      <c r="G111" s="2"/>
      <c r="H111" s="6">
        <v>100</v>
      </c>
      <c r="I111" s="2"/>
      <c r="J111" s="7">
        <f t="shared" si="63"/>
        <v>1.6492934498275344E-3</v>
      </c>
      <c r="K111" s="2"/>
      <c r="L111" s="6">
        <f t="shared" si="64"/>
        <v>545.46</v>
      </c>
      <c r="M111" s="2"/>
      <c r="N111" s="7">
        <f t="shared" si="65"/>
        <v>5.4546000000000001</v>
      </c>
      <c r="O111" s="11"/>
      <c r="P111" s="6">
        <v>1795.75</v>
      </c>
      <c r="Q111" s="2"/>
      <c r="R111" s="7">
        <f t="shared" si="66"/>
        <v>6.3149890885991107E-3</v>
      </c>
      <c r="S111" s="2"/>
      <c r="T111" s="6">
        <v>1300</v>
      </c>
      <c r="U111" s="2"/>
      <c r="V111" s="7">
        <f t="shared" si="67"/>
        <v>4.351384773416859E-3</v>
      </c>
      <c r="W111" s="2"/>
      <c r="X111" s="6">
        <f t="shared" si="68"/>
        <v>495.75</v>
      </c>
      <c r="Y111" s="2"/>
      <c r="Z111" s="7">
        <f t="shared" si="69"/>
        <v>0.38134615384615383</v>
      </c>
    </row>
    <row r="112" spans="1:26" s="24" customFormat="1" hidden="1" outlineLevel="2" x14ac:dyDescent="0.25">
      <c r="A112" s="26"/>
      <c r="B112" s="11" t="str">
        <f>CONCATENATE("          ", "6247", " - ", "STORE SUPPLIES")</f>
        <v xml:space="preserve">          6247 - STORE SUPPLIES</v>
      </c>
      <c r="C112" s="11"/>
      <c r="D112" s="6"/>
      <c r="E112" s="2"/>
      <c r="F112" s="7">
        <f t="shared" si="62"/>
        <v>0</v>
      </c>
      <c r="G112" s="2"/>
      <c r="H112" s="6">
        <v>25</v>
      </c>
      <c r="I112" s="2"/>
      <c r="J112" s="7">
        <f t="shared" si="63"/>
        <v>4.123233624568836E-4</v>
      </c>
      <c r="K112" s="2"/>
      <c r="L112" s="6">
        <f t="shared" si="64"/>
        <v>-25</v>
      </c>
      <c r="M112" s="2"/>
      <c r="N112" s="7">
        <f t="shared" si="65"/>
        <v>-1</v>
      </c>
      <c r="O112" s="11"/>
      <c r="P112" s="6">
        <v>20.12</v>
      </c>
      <c r="Q112" s="2"/>
      <c r="R112" s="7">
        <f t="shared" si="66"/>
        <v>7.0754604183552344E-5</v>
      </c>
      <c r="S112" s="2"/>
      <c r="T112" s="6">
        <v>150</v>
      </c>
      <c r="U112" s="2"/>
      <c r="V112" s="7">
        <f t="shared" si="67"/>
        <v>5.0208285847117603E-4</v>
      </c>
      <c r="W112" s="2"/>
      <c r="X112" s="6">
        <f t="shared" si="68"/>
        <v>-129.88</v>
      </c>
      <c r="Y112" s="2"/>
      <c r="Z112" s="7">
        <f t="shared" si="69"/>
        <v>-0.86586666666666667</v>
      </c>
    </row>
    <row r="113" spans="1:26" s="24" customFormat="1" hidden="1" outlineLevel="2" x14ac:dyDescent="0.25">
      <c r="A113" s="26"/>
      <c r="B113" s="11" t="str">
        <f>CONCATENATE("          ", "6248", " - ", "UNIFORMS")</f>
        <v xml:space="preserve">          6248 - UNIFORMS</v>
      </c>
      <c r="C113" s="11"/>
      <c r="D113" s="6"/>
      <c r="E113" s="2"/>
      <c r="F113" s="7">
        <f t="shared" si="62"/>
        <v>0</v>
      </c>
      <c r="G113" s="2"/>
      <c r="H113" s="6">
        <v>500</v>
      </c>
      <c r="I113" s="2"/>
      <c r="J113" s="7">
        <f t="shared" si="63"/>
        <v>8.2464672491376727E-3</v>
      </c>
      <c r="K113" s="2"/>
      <c r="L113" s="6">
        <f t="shared" si="64"/>
        <v>-500</v>
      </c>
      <c r="M113" s="2"/>
      <c r="N113" s="7">
        <f t="shared" si="65"/>
        <v>-1</v>
      </c>
      <c r="O113" s="11"/>
      <c r="P113" s="6"/>
      <c r="Q113" s="2"/>
      <c r="R113" s="7">
        <f t="shared" si="66"/>
        <v>0</v>
      </c>
      <c r="S113" s="2"/>
      <c r="T113" s="6">
        <v>500</v>
      </c>
      <c r="U113" s="2"/>
      <c r="V113" s="7">
        <f t="shared" si="67"/>
        <v>1.6736095282372534E-3</v>
      </c>
      <c r="W113" s="2"/>
      <c r="X113" s="6">
        <f t="shared" si="68"/>
        <v>-500</v>
      </c>
      <c r="Y113" s="2"/>
      <c r="Z113" s="7">
        <f t="shared" si="69"/>
        <v>-1</v>
      </c>
    </row>
    <row r="114" spans="1:26" s="25" customFormat="1" outlineLevel="1" collapsed="1" x14ac:dyDescent="0.25">
      <c r="A114" s="27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SUM(OSRRefD22_17x_0)</f>
        <v>259.85000000000002</v>
      </c>
      <c r="E114" s="1"/>
      <c r="F114" s="5">
        <f t="shared" ref="F114:F116" si="70">IF(D$12=0,0,D114/D$12)</f>
        <v>4.9917703505169856E-3</v>
      </c>
      <c r="G114" s="1"/>
      <c r="H114" s="1">
        <f>SUM(OSRRefH22_17x_0)</f>
        <v>400</v>
      </c>
      <c r="I114" s="1"/>
      <c r="J114" s="5">
        <f t="shared" ref="J114:J116" si="71">IF(H$12=0,0,H114/H$12)</f>
        <v>6.5971737993101376E-3</v>
      </c>
      <c r="K114" s="1"/>
      <c r="L114" s="1">
        <f t="shared" ref="L114:L116" si="72">+D114-H114</f>
        <v>-140.14999999999998</v>
      </c>
      <c r="M114" s="1"/>
      <c r="N114" s="5">
        <f t="shared" ref="N114:N116" si="73">IF(H114=0,0,L114/H114)</f>
        <v>-0.35037499999999994</v>
      </c>
      <c r="O114" s="13"/>
      <c r="P114" s="1">
        <f>SUM(OSRRefP22_17x_0)</f>
        <v>1745.78</v>
      </c>
      <c r="Q114" s="1"/>
      <c r="R114" s="5">
        <f t="shared" ref="R114:R116" si="74">IF(P$12=0,0,P114/P$12)</f>
        <v>6.1392630661810136E-3</v>
      </c>
      <c r="S114" s="1"/>
      <c r="T114" s="1">
        <f>SUM(OSRRefT22_17x_0)</f>
        <v>3475</v>
      </c>
      <c r="U114" s="1"/>
      <c r="V114" s="5">
        <f t="shared" ref="V114:V116" si="75">IF(T$12=0,0,T114/T$12)</f>
        <v>1.1631586221248911E-2</v>
      </c>
      <c r="W114" s="1"/>
      <c r="X114" s="1">
        <f t="shared" ref="X114:X116" si="76">+P114-T114</f>
        <v>-1729.22</v>
      </c>
      <c r="Y114" s="1"/>
      <c r="Z114" s="5">
        <f t="shared" ref="Z114:Z116" si="77">IF(T114=0,0,X114/T114)</f>
        <v>-0.49761726618705038</v>
      </c>
    </row>
    <row r="115" spans="1:26" s="24" customFormat="1" hidden="1" outlineLevel="2" x14ac:dyDescent="0.25">
      <c r="A115" s="26"/>
      <c r="B115" s="11" t="str">
        <f>CONCATENATE("          ", "6303", " - ", "DATA PHONE LINES")</f>
        <v xml:space="preserve">          6303 - DATA PHONE LINES</v>
      </c>
      <c r="C115" s="11"/>
      <c r="D115" s="6"/>
      <c r="E115" s="2"/>
      <c r="F115" s="7">
        <f t="shared" si="70"/>
        <v>0</v>
      </c>
      <c r="G115" s="2"/>
      <c r="H115" s="6">
        <v>400</v>
      </c>
      <c r="I115" s="2"/>
      <c r="J115" s="7">
        <f t="shared" si="71"/>
        <v>6.5971737993101376E-3</v>
      </c>
      <c r="K115" s="2"/>
      <c r="L115" s="6">
        <f t="shared" si="72"/>
        <v>-400</v>
      </c>
      <c r="M115" s="2"/>
      <c r="N115" s="7">
        <f t="shared" si="73"/>
        <v>-1</v>
      </c>
      <c r="O115" s="11"/>
      <c r="P115" s="6"/>
      <c r="Q115" s="2"/>
      <c r="R115" s="7">
        <f t="shared" si="74"/>
        <v>0</v>
      </c>
      <c r="S115" s="2"/>
      <c r="T115" s="6">
        <v>3475</v>
      </c>
      <c r="U115" s="2"/>
      <c r="V115" s="7">
        <f t="shared" si="75"/>
        <v>1.1631586221248911E-2</v>
      </c>
      <c r="W115" s="2"/>
      <c r="X115" s="6">
        <f t="shared" si="76"/>
        <v>-3475</v>
      </c>
      <c r="Y115" s="2"/>
      <c r="Z115" s="7">
        <f t="shared" si="77"/>
        <v>-1</v>
      </c>
    </row>
    <row r="116" spans="1:26" s="24" customFormat="1" hidden="1" outlineLevel="2" x14ac:dyDescent="0.25">
      <c r="A116" s="26"/>
      <c r="B116" s="11" t="str">
        <f>CONCATENATE("          ", "6309", " - ", "TELEPHONE")</f>
        <v xml:space="preserve">          6309 - TELEPHONE</v>
      </c>
      <c r="C116" s="11"/>
      <c r="D116" s="6">
        <v>259.85000000000002</v>
      </c>
      <c r="E116" s="2"/>
      <c r="F116" s="7">
        <f t="shared" si="70"/>
        <v>4.9917703505169856E-3</v>
      </c>
      <c r="G116" s="2"/>
      <c r="H116" s="6"/>
      <c r="I116" s="2"/>
      <c r="J116" s="7">
        <f t="shared" si="71"/>
        <v>0</v>
      </c>
      <c r="K116" s="2"/>
      <c r="L116" s="6">
        <f t="shared" si="72"/>
        <v>259.85000000000002</v>
      </c>
      <c r="M116" s="2"/>
      <c r="N116" s="7">
        <f t="shared" si="73"/>
        <v>0</v>
      </c>
      <c r="O116" s="11"/>
      <c r="P116" s="6">
        <v>1745.78</v>
      </c>
      <c r="Q116" s="2"/>
      <c r="R116" s="7">
        <f t="shared" si="74"/>
        <v>6.1392630661810136E-3</v>
      </c>
      <c r="S116" s="2"/>
      <c r="T116" s="6"/>
      <c r="U116" s="2"/>
      <c r="V116" s="7">
        <f t="shared" si="75"/>
        <v>0</v>
      </c>
      <c r="W116" s="2"/>
      <c r="X116" s="6">
        <f t="shared" si="76"/>
        <v>1745.78</v>
      </c>
      <c r="Y116" s="2"/>
      <c r="Z116" s="7">
        <f t="shared" si="77"/>
        <v>0</v>
      </c>
    </row>
    <row r="117" spans="1:26" s="25" customFormat="1" outlineLevel="1" collapsed="1" x14ac:dyDescent="0.25">
      <c r="A117" s="27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SUM(OSRRefD22_18x_0)</f>
        <v>0</v>
      </c>
      <c r="E117" s="1"/>
      <c r="F117" s="5">
        <f t="shared" ref="F117:F122" si="78">IF(D$12=0,0,D117/D$12)</f>
        <v>0</v>
      </c>
      <c r="G117" s="1"/>
      <c r="H117" s="1">
        <f>SUM(OSRRefH22_18x_0)</f>
        <v>100</v>
      </c>
      <c r="I117" s="1"/>
      <c r="J117" s="5">
        <f t="shared" ref="J117:J122" si="79">IF(H$12=0,0,H117/H$12)</f>
        <v>1.6492934498275344E-3</v>
      </c>
      <c r="K117" s="1"/>
      <c r="L117" s="1">
        <f t="shared" ref="L117:L122" si="80">+D117-H117</f>
        <v>-100</v>
      </c>
      <c r="M117" s="1"/>
      <c r="N117" s="5">
        <f t="shared" ref="N117:N122" si="81">IF(H117=0,0,L117/H117)</f>
        <v>-1</v>
      </c>
      <c r="O117" s="13"/>
      <c r="P117" s="1">
        <f>SUM(OSRRefP22_18x_0)</f>
        <v>0</v>
      </c>
      <c r="Q117" s="1"/>
      <c r="R117" s="5">
        <f t="shared" ref="R117:R122" si="82">IF(P$12=0,0,P117/P$12)</f>
        <v>0</v>
      </c>
      <c r="S117" s="1"/>
      <c r="T117" s="1">
        <f>SUM(OSRRefT22_18x_0)</f>
        <v>100</v>
      </c>
      <c r="U117" s="1"/>
      <c r="V117" s="5">
        <f t="shared" ref="V117:V122" si="83">IF(T$12=0,0,T117/T$12)</f>
        <v>3.3472190564745071E-4</v>
      </c>
      <c r="W117" s="1"/>
      <c r="X117" s="1">
        <f t="shared" ref="X117:X122" si="84">+P117-T117</f>
        <v>-100</v>
      </c>
      <c r="Y117" s="1"/>
      <c r="Z117" s="5">
        <f t="shared" ref="Z117:Z122" si="85">IF(T117=0,0,X117/T117)</f>
        <v>-1</v>
      </c>
    </row>
    <row r="118" spans="1:26" s="24" customFormat="1" hidden="1" outlineLevel="2" x14ac:dyDescent="0.25">
      <c r="A118" s="26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78"/>
        <v>0</v>
      </c>
      <c r="G118" s="2"/>
      <c r="H118" s="6">
        <v>100</v>
      </c>
      <c r="I118" s="2"/>
      <c r="J118" s="7">
        <f t="shared" si="79"/>
        <v>1.6492934498275344E-3</v>
      </c>
      <c r="K118" s="2"/>
      <c r="L118" s="6">
        <f t="shared" si="80"/>
        <v>-100</v>
      </c>
      <c r="M118" s="2"/>
      <c r="N118" s="7">
        <f t="shared" si="81"/>
        <v>-1</v>
      </c>
      <c r="O118" s="11"/>
      <c r="P118" s="6"/>
      <c r="Q118" s="2"/>
      <c r="R118" s="7">
        <f t="shared" si="82"/>
        <v>0</v>
      </c>
      <c r="S118" s="2"/>
      <c r="T118" s="6">
        <v>100</v>
      </c>
      <c r="U118" s="2"/>
      <c r="V118" s="7">
        <f t="shared" si="83"/>
        <v>3.3472190564745071E-4</v>
      </c>
      <c r="W118" s="2"/>
      <c r="X118" s="6">
        <f t="shared" si="84"/>
        <v>-100</v>
      </c>
      <c r="Y118" s="2"/>
      <c r="Z118" s="7">
        <f t="shared" si="85"/>
        <v>-1</v>
      </c>
    </row>
    <row r="119" spans="1:26" s="25" customFormat="1" outlineLevel="1" collapsed="1" x14ac:dyDescent="0.25">
      <c r="A119" s="27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SUM(OSRRefD22_19x_0)</f>
        <v>109.48</v>
      </c>
      <c r="E119" s="1"/>
      <c r="F119" s="5">
        <f t="shared" si="78"/>
        <v>2.1031326456594172E-3</v>
      </c>
      <c r="G119" s="1"/>
      <c r="H119" s="1">
        <f>SUM(OSRRefH22_19x_0)</f>
        <v>50</v>
      </c>
      <c r="I119" s="1"/>
      <c r="J119" s="5">
        <f t="shared" si="79"/>
        <v>8.246467249137672E-4</v>
      </c>
      <c r="K119" s="1"/>
      <c r="L119" s="1">
        <f t="shared" si="80"/>
        <v>59.480000000000004</v>
      </c>
      <c r="M119" s="1"/>
      <c r="N119" s="5">
        <f t="shared" si="81"/>
        <v>1.1896</v>
      </c>
      <c r="O119" s="13"/>
      <c r="P119" s="1">
        <f>SUM(OSRRefP22_19x_0)</f>
        <v>590.47</v>
      </c>
      <c r="Q119" s="1"/>
      <c r="R119" s="5">
        <f t="shared" si="82"/>
        <v>2.0764647680050772E-3</v>
      </c>
      <c r="S119" s="1"/>
      <c r="T119" s="1">
        <f>SUM(OSRRefT22_19x_0)</f>
        <v>310</v>
      </c>
      <c r="U119" s="1"/>
      <c r="V119" s="5">
        <f t="shared" si="83"/>
        <v>1.0376379075070971E-3</v>
      </c>
      <c r="W119" s="1"/>
      <c r="X119" s="1">
        <f t="shared" si="84"/>
        <v>280.47000000000003</v>
      </c>
      <c r="Y119" s="1"/>
      <c r="Z119" s="5">
        <f t="shared" si="85"/>
        <v>0.90474193548387105</v>
      </c>
    </row>
    <row r="120" spans="1:26" s="24" customFormat="1" hidden="1" outlineLevel="2" x14ac:dyDescent="0.25">
      <c r="A120" s="26"/>
      <c r="B120" s="11" t="str">
        <f>CONCATENATE("          ", "6294", " - ", "TRAVEL OPERATIONAL")</f>
        <v xml:space="preserve">          6294 - TRAVEL OPERATIONAL</v>
      </c>
      <c r="C120" s="11"/>
      <c r="D120" s="6">
        <v>109.48</v>
      </c>
      <c r="E120" s="2"/>
      <c r="F120" s="7">
        <f t="shared" si="78"/>
        <v>2.1031326456594172E-3</v>
      </c>
      <c r="G120" s="2"/>
      <c r="H120" s="6">
        <v>50</v>
      </c>
      <c r="I120" s="2"/>
      <c r="J120" s="7">
        <f t="shared" si="79"/>
        <v>8.246467249137672E-4</v>
      </c>
      <c r="K120" s="2"/>
      <c r="L120" s="6">
        <f t="shared" si="80"/>
        <v>59.480000000000004</v>
      </c>
      <c r="M120" s="2"/>
      <c r="N120" s="7">
        <f t="shared" si="81"/>
        <v>1.1896</v>
      </c>
      <c r="O120" s="11"/>
      <c r="P120" s="6">
        <v>590.47</v>
      </c>
      <c r="Q120" s="2"/>
      <c r="R120" s="7">
        <f t="shared" si="82"/>
        <v>2.0764647680050772E-3</v>
      </c>
      <c r="S120" s="2"/>
      <c r="T120" s="6">
        <v>310</v>
      </c>
      <c r="U120" s="2"/>
      <c r="V120" s="7">
        <f t="shared" si="83"/>
        <v>1.0376379075070971E-3</v>
      </c>
      <c r="W120" s="2"/>
      <c r="X120" s="6">
        <f t="shared" si="84"/>
        <v>280.47000000000003</v>
      </c>
      <c r="Y120" s="2"/>
      <c r="Z120" s="7">
        <f t="shared" si="85"/>
        <v>0.90474193548387105</v>
      </c>
    </row>
    <row r="121" spans="1:26" s="25" customFormat="1" outlineLevel="1" collapsed="1" x14ac:dyDescent="0.25">
      <c r="A121" s="27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SUM(OSRRefD22_20x_0)</f>
        <v>70.760000000000005</v>
      </c>
      <c r="E121" s="1"/>
      <c r="F121" s="5">
        <f t="shared" si="78"/>
        <v>1.3593137194634671E-3</v>
      </c>
      <c r="G121" s="1"/>
      <c r="H121" s="1">
        <f>SUM(OSRRefH22_20x_0)</f>
        <v>75</v>
      </c>
      <c r="I121" s="1"/>
      <c r="J121" s="5">
        <f t="shared" si="79"/>
        <v>1.2369700873706509E-3</v>
      </c>
      <c r="K121" s="1"/>
      <c r="L121" s="1">
        <f t="shared" si="80"/>
        <v>-4.2399999999999949</v>
      </c>
      <c r="M121" s="1"/>
      <c r="N121" s="5">
        <f t="shared" si="81"/>
        <v>-5.6533333333333262E-2</v>
      </c>
      <c r="O121" s="13"/>
      <c r="P121" s="1">
        <f>SUM(OSRRefP22_20x_0)</f>
        <v>297.68</v>
      </c>
      <c r="Q121" s="1"/>
      <c r="R121" s="5">
        <f t="shared" si="82"/>
        <v>1.0468305453956194E-3</v>
      </c>
      <c r="S121" s="1"/>
      <c r="T121" s="1">
        <f>SUM(OSRRefT22_20x_0)</f>
        <v>525</v>
      </c>
      <c r="U121" s="1"/>
      <c r="V121" s="5">
        <f t="shared" si="83"/>
        <v>1.7572900046491161E-3</v>
      </c>
      <c r="W121" s="1"/>
      <c r="X121" s="1">
        <f t="shared" si="84"/>
        <v>-227.32</v>
      </c>
      <c r="Y121" s="1"/>
      <c r="Z121" s="5">
        <f t="shared" si="85"/>
        <v>-0.4329904761904762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70.760000000000005</v>
      </c>
      <c r="E122" s="2"/>
      <c r="F122" s="7">
        <f t="shared" si="78"/>
        <v>1.3593137194634671E-3</v>
      </c>
      <c r="G122" s="2"/>
      <c r="H122" s="6">
        <v>75</v>
      </c>
      <c r="I122" s="2"/>
      <c r="J122" s="7">
        <f t="shared" si="79"/>
        <v>1.2369700873706509E-3</v>
      </c>
      <c r="K122" s="2"/>
      <c r="L122" s="6">
        <f t="shared" si="80"/>
        <v>-4.2399999999999949</v>
      </c>
      <c r="M122" s="2"/>
      <c r="N122" s="7">
        <f t="shared" si="81"/>
        <v>-5.6533333333333262E-2</v>
      </c>
      <c r="O122" s="11"/>
      <c r="P122" s="6">
        <v>297.68</v>
      </c>
      <c r="Q122" s="2"/>
      <c r="R122" s="7">
        <f t="shared" si="82"/>
        <v>1.0468305453956194E-3</v>
      </c>
      <c r="S122" s="2"/>
      <c r="T122" s="6">
        <v>525</v>
      </c>
      <c r="U122" s="2"/>
      <c r="V122" s="7">
        <f t="shared" si="83"/>
        <v>1.7572900046491161E-3</v>
      </c>
      <c r="W122" s="2"/>
      <c r="X122" s="6">
        <f t="shared" si="84"/>
        <v>-227.32</v>
      </c>
      <c r="Y122" s="2"/>
      <c r="Z122" s="7">
        <f t="shared" si="85"/>
        <v>-0.4329904761904762</v>
      </c>
    </row>
    <row r="123" spans="1:26" s="53" customFormat="1" x14ac:dyDescent="0.25">
      <c r="A123" s="36"/>
      <c r="B123" s="36"/>
      <c r="C123" s="36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6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x14ac:dyDescent="0.25">
      <c r="A124" s="10"/>
      <c r="B124" s="28" t="s">
        <v>0</v>
      </c>
      <c r="C124" s="10"/>
      <c r="D124" s="4">
        <f>SUM(0)</f>
        <v>0</v>
      </c>
      <c r="E124" s="4"/>
      <c r="F124" s="12">
        <f>IF(D$12=0,0,D124/D$12)</f>
        <v>0</v>
      </c>
      <c r="G124" s="4"/>
      <c r="H124" s="4">
        <f>SUM(0)</f>
        <v>0</v>
      </c>
      <c r="I124" s="4"/>
      <c r="J124" s="12">
        <f>IF(H$12=0,0,H124/H$12)</f>
        <v>0</v>
      </c>
      <c r="K124" s="4"/>
      <c r="L124" s="4">
        <f>+D124-H124</f>
        <v>0</v>
      </c>
      <c r="M124" s="4"/>
      <c r="N124" s="12">
        <f>IF(H124=0,0,L124/H124)</f>
        <v>0</v>
      </c>
      <c r="O124" s="10"/>
      <c r="P124" s="4">
        <f>SUM(0)</f>
        <v>0</v>
      </c>
      <c r="Q124" s="4"/>
      <c r="R124" s="12">
        <f>IF(P$12=0,0,P124/P$12)</f>
        <v>0</v>
      </c>
      <c r="S124" s="4"/>
      <c r="T124" s="4">
        <f>SUM(0)</f>
        <v>0</v>
      </c>
      <c r="U124" s="4"/>
      <c r="V124" s="12">
        <f>IF(T$12=0,0,T124/T$12)</f>
        <v>0</v>
      </c>
      <c r="W124" s="4"/>
      <c r="X124" s="4">
        <f>+P124-T124</f>
        <v>0</v>
      </c>
      <c r="Y124" s="4"/>
      <c r="Z124" s="12">
        <f>IF(T124=0,0,X124/T124)</f>
        <v>0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2">
        <f>+D51-D53+D124</f>
        <v>-5440.0000000000073</v>
      </c>
      <c r="E126" s="14"/>
      <c r="F126" s="20">
        <f>IF(D$12=0,0,D126/D$12)</f>
        <v>-0.10450348549860472</v>
      </c>
      <c r="G126" s="14"/>
      <c r="H126" s="22">
        <f>+H51-H53+H124</f>
        <v>3114.5142966692365</v>
      </c>
      <c r="I126" s="14"/>
      <c r="J126" s="20">
        <f>IF(H$12=0,0,H126/H$12)</f>
        <v>5.1367480288907821E-2</v>
      </c>
      <c r="K126" s="16"/>
      <c r="L126" s="22">
        <f>+D126-H126</f>
        <v>-8554.5142966692438</v>
      </c>
      <c r="M126" s="16"/>
      <c r="N126" s="20">
        <f>IF(H126=0,0,L126/H126)</f>
        <v>-2.7466607893942632</v>
      </c>
      <c r="O126" s="28"/>
      <c r="P126" s="22">
        <f>+P51-P53+P124</f>
        <v>-24378.509999999922</v>
      </c>
      <c r="Q126" s="14"/>
      <c r="R126" s="20">
        <f>IF(P$12=0,0,P126/P$12)</f>
        <v>-8.5730210021608702E-2</v>
      </c>
      <c r="S126" s="14"/>
      <c r="T126" s="22">
        <f>+T51-T53+T124</f>
        <v>7114.7547183499846</v>
      </c>
      <c r="U126" s="14"/>
      <c r="V126" s="20">
        <f>IF(T$12=0,0,T126/T$12)</f>
        <v>2.3814642575402983E-2</v>
      </c>
      <c r="W126" s="16"/>
      <c r="X126" s="22">
        <f>+P126-T126</f>
        <v>-31493.264718349907</v>
      </c>
      <c r="Y126" s="16"/>
      <c r="Z126" s="20">
        <f>IF(T126=0,0,X126/T126)</f>
        <v>-4.4264723050991774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2"/>
      <c r="B128" s="10" t="s">
        <v>14</v>
      </c>
      <c r="C128" s="10"/>
      <c r="D128" s="4">
        <v>6113.62</v>
      </c>
      <c r="E128" s="4"/>
      <c r="F128" s="12">
        <f>IF(D$12=0,0,D128/D$12)</f>
        <v>0.11744386011286378</v>
      </c>
      <c r="G128" s="4"/>
      <c r="H128" s="4">
        <v>8306</v>
      </c>
      <c r="I128" s="4"/>
      <c r="J128" s="12">
        <f>IF(H$12=0,0,H128/H$12)</f>
        <v>0.136990313942675</v>
      </c>
      <c r="K128" s="4"/>
      <c r="L128" s="4">
        <f>+D128-H128</f>
        <v>-2192.38</v>
      </c>
      <c r="M128" s="4"/>
      <c r="N128" s="12">
        <f>IF(H128=0,0,L128/H128)</f>
        <v>-0.26395136046231643</v>
      </c>
      <c r="O128" s="10"/>
      <c r="P128" s="4">
        <v>30713.41</v>
      </c>
      <c r="Q128" s="4"/>
      <c r="R128" s="12">
        <f>IF(P$12=0,0,P128/P$12)</f>
        <v>0.10800771211119077</v>
      </c>
      <c r="S128" s="4"/>
      <c r="T128" s="4">
        <v>38485</v>
      </c>
      <c r="U128" s="4"/>
      <c r="V128" s="12">
        <f>IF(T$12=0,0,T128/T$12)</f>
        <v>0.1288177253884214</v>
      </c>
      <c r="W128" s="4"/>
      <c r="X128" s="4">
        <f>+P128-T128</f>
        <v>-7771.59</v>
      </c>
      <c r="Y128" s="4"/>
      <c r="Z128" s="12">
        <f>IF(T128=0,0,X128/T128)</f>
        <v>-0.20193815772378848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1">
        <f>+D126-D128</f>
        <v>-11553.620000000006</v>
      </c>
      <c r="E130" s="14"/>
      <c r="F130" s="32">
        <f>IF(D$12=0,0,D130/D$12)</f>
        <v>-0.22194734561146848</v>
      </c>
      <c r="G130" s="14"/>
      <c r="H130" s="31">
        <f>+H126-H128</f>
        <v>-5191.4857033307635</v>
      </c>
      <c r="I130" s="14"/>
      <c r="J130" s="32">
        <f>IF(H$12=0,0,H130/H$12)</f>
        <v>-8.5622833653767189E-2</v>
      </c>
      <c r="K130" s="16"/>
      <c r="L130" s="31">
        <f>D130-H130</f>
        <v>-6362.1342966692428</v>
      </c>
      <c r="M130" s="16"/>
      <c r="N130" s="32">
        <f>IF(H130=0,0,L130/H130)</f>
        <v>1.2254939453242475</v>
      </c>
      <c r="O130" s="28"/>
      <c r="P130" s="31">
        <f>+P126-P128</f>
        <v>-55091.919999999925</v>
      </c>
      <c r="Q130" s="14"/>
      <c r="R130" s="32">
        <f>IF(P$12=0,0,P130/P$12)</f>
        <v>-0.19373792213279947</v>
      </c>
      <c r="S130" s="14"/>
      <c r="T130" s="31">
        <f>+T126-T128</f>
        <v>-31370.245281650015</v>
      </c>
      <c r="U130" s="14"/>
      <c r="V130" s="32">
        <f>IF(T$12=0,0,T130/T$12)</f>
        <v>-0.10500308281301841</v>
      </c>
      <c r="W130" s="16"/>
      <c r="X130" s="31">
        <f>P130-T130</f>
        <v>-23721.67471834991</v>
      </c>
      <c r="Y130" s="16"/>
      <c r="Z130" s="32">
        <f>IF(T130=0,0,X130/T130)</f>
        <v>0.75618390947761804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5">
        <f>SUM(D130:D132)</f>
        <v>-11553.620000000006</v>
      </c>
      <c r="E133" s="14"/>
      <c r="F133" s="34">
        <f>IF(D$12=0,0,D133/D$12)</f>
        <v>-0.22194734561146848</v>
      </c>
      <c r="G133" s="14"/>
      <c r="H133" s="35">
        <f>SUM(H130:H132)</f>
        <v>-5191.4857033307635</v>
      </c>
      <c r="I133" s="14"/>
      <c r="J133" s="34">
        <f>IF(H$12=0,0,H133/H$12)</f>
        <v>-8.5622833653767189E-2</v>
      </c>
      <c r="K133" s="16"/>
      <c r="L133" s="35">
        <f>+D133-H133</f>
        <v>-6362.1342966692428</v>
      </c>
      <c r="M133" s="16"/>
      <c r="N133" s="34">
        <f>IF(H133=0,0,L133/H133)</f>
        <v>1.2254939453242475</v>
      </c>
      <c r="O133" s="28"/>
      <c r="P133" s="35">
        <f>SUM(P130:P132)</f>
        <v>-55091.919999999925</v>
      </c>
      <c r="Q133" s="14"/>
      <c r="R133" s="34">
        <f>IF(P$12=0,0,P133/P$12)</f>
        <v>-0.19373792213279947</v>
      </c>
      <c r="S133" s="14"/>
      <c r="T133" s="35">
        <f>SUM(T130:T132)</f>
        <v>-31370.245281650015</v>
      </c>
      <c r="U133" s="14"/>
      <c r="V133" s="34">
        <f>IF(T$12=0,0,T133/T$12)</f>
        <v>-0.10500308281301841</v>
      </c>
      <c r="W133" s="16"/>
      <c r="X133" s="35">
        <f>+P133-T133</f>
        <v>-23721.67471834991</v>
      </c>
      <c r="Y133" s="16"/>
      <c r="Z133" s="34">
        <f>IF(T133=0,0,X133/T133)</f>
        <v>0.75618390947761804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3">
        <v>43847.446106793985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5" t="s">
        <v>314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6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305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37088.239999999998</v>
      </c>
      <c r="E12" s="4"/>
      <c r="F12" s="12"/>
      <c r="G12" s="4"/>
      <c r="H12" s="4">
        <f>SUM(OSRRefH13x_0)</f>
        <v>51400</v>
      </c>
      <c r="I12" s="4"/>
      <c r="J12" s="12"/>
      <c r="K12" s="4"/>
      <c r="L12" s="4">
        <f t="shared" ref="L12:L28" si="0">+D12-H12</f>
        <v>-14311.760000000002</v>
      </c>
      <c r="M12" s="4"/>
      <c r="N12" s="12">
        <f t="shared" ref="N12:N28" si="1">IF(H12=0,0,L12/H12)</f>
        <v>-0.27843891050583663</v>
      </c>
      <c r="O12" s="10"/>
      <c r="P12" s="4">
        <f>SUM(OSRRefP13x_0)</f>
        <v>307644.60000000003</v>
      </c>
      <c r="Q12" s="4"/>
      <c r="R12" s="12"/>
      <c r="S12" s="4"/>
      <c r="T12" s="4">
        <f>SUM(OSRRefT13x_0)</f>
        <v>356112.5</v>
      </c>
      <c r="U12" s="4"/>
      <c r="V12" s="12"/>
      <c r="W12" s="4"/>
      <c r="X12" s="4">
        <f t="shared" ref="X12:X28" si="2">+P12-T12</f>
        <v>-48467.899999999965</v>
      </c>
      <c r="Y12" s="4"/>
      <c r="Z12" s="12">
        <f t="shared" ref="Z12:Z28" si="3">IF(T12=0,0,X12/T12)</f>
        <v>-0.13610277651023192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40100</v>
      </c>
      <c r="I13" s="2"/>
      <c r="J13" s="19"/>
      <c r="K13" s="2"/>
      <c r="L13" s="2">
        <f t="shared" si="0"/>
        <v>-40100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291137.5</v>
      </c>
      <c r="U13" s="2"/>
      <c r="V13" s="19"/>
      <c r="W13" s="2"/>
      <c r="X13" s="2">
        <f t="shared" si="2"/>
        <v>-291137.5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--96.53</f>
        <v>96.53</v>
      </c>
      <c r="E14" s="2"/>
      <c r="F14" s="19"/>
      <c r="G14" s="2"/>
      <c r="H14" s="2"/>
      <c r="I14" s="2"/>
      <c r="J14" s="19"/>
      <c r="K14" s="2"/>
      <c r="L14" s="2">
        <f t="shared" si="0"/>
        <v>96.53</v>
      </c>
      <c r="M14" s="2"/>
      <c r="N14" s="19">
        <f t="shared" si="1"/>
        <v>0</v>
      </c>
      <c r="O14" s="11"/>
      <c r="P14" s="2">
        <f>--97064.88</f>
        <v>97064.88</v>
      </c>
      <c r="Q14" s="2"/>
      <c r="R14" s="19"/>
      <c r="S14" s="2"/>
      <c r="T14" s="2"/>
      <c r="U14" s="2"/>
      <c r="V14" s="19"/>
      <c r="W14" s="2"/>
      <c r="X14" s="2">
        <f t="shared" si="2"/>
        <v>97064.88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--8211.3</f>
        <v>8211.2999999999993</v>
      </c>
      <c r="E15" s="2"/>
      <c r="F15" s="19"/>
      <c r="G15" s="2"/>
      <c r="H15" s="2"/>
      <c r="I15" s="2"/>
      <c r="J15" s="19"/>
      <c r="K15" s="2"/>
      <c r="L15" s="2">
        <f t="shared" si="0"/>
        <v>8211.2999999999993</v>
      </c>
      <c r="M15" s="2"/>
      <c r="N15" s="19">
        <f t="shared" si="1"/>
        <v>0</v>
      </c>
      <c r="O15" s="11"/>
      <c r="P15" s="2">
        <f>--48106.94</f>
        <v>48106.94</v>
      </c>
      <c r="Q15" s="2"/>
      <c r="R15" s="19"/>
      <c r="S15" s="2"/>
      <c r="T15" s="2"/>
      <c r="U15" s="2"/>
      <c r="V15" s="19"/>
      <c r="W15" s="2"/>
      <c r="X15" s="2">
        <f t="shared" si="2"/>
        <v>48106.94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--2.08</f>
        <v>2.08</v>
      </c>
      <c r="E16" s="2"/>
      <c r="F16" s="19"/>
      <c r="G16" s="2"/>
      <c r="H16" s="2"/>
      <c r="I16" s="2"/>
      <c r="J16" s="19"/>
      <c r="K16" s="2"/>
      <c r="L16" s="2">
        <f t="shared" si="0"/>
        <v>2.08</v>
      </c>
      <c r="M16" s="2"/>
      <c r="N16" s="19">
        <f t="shared" si="1"/>
        <v>0</v>
      </c>
      <c r="O16" s="11"/>
      <c r="P16" s="2">
        <f>--104.06</f>
        <v>104.06</v>
      </c>
      <c r="Q16" s="2"/>
      <c r="R16" s="19"/>
      <c r="S16" s="2"/>
      <c r="T16" s="2"/>
      <c r="U16" s="2"/>
      <c r="V16" s="19"/>
      <c r="W16" s="2"/>
      <c r="X16" s="2">
        <f t="shared" si="2"/>
        <v>104.06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--115.39</f>
        <v>115.39</v>
      </c>
      <c r="E17" s="2"/>
      <c r="F17" s="19"/>
      <c r="G17" s="2"/>
      <c r="H17" s="2"/>
      <c r="I17" s="2"/>
      <c r="J17" s="19"/>
      <c r="K17" s="2"/>
      <c r="L17" s="2">
        <f t="shared" si="0"/>
        <v>115.39</v>
      </c>
      <c r="M17" s="2"/>
      <c r="N17" s="19">
        <f t="shared" si="1"/>
        <v>0</v>
      </c>
      <c r="O17" s="11"/>
      <c r="P17" s="2">
        <f>--1793.94</f>
        <v>1793.94</v>
      </c>
      <c r="Q17" s="2"/>
      <c r="R17" s="19"/>
      <c r="S17" s="2"/>
      <c r="T17" s="2"/>
      <c r="U17" s="2"/>
      <c r="V17" s="19"/>
      <c r="W17" s="2"/>
      <c r="X17" s="2">
        <f t="shared" si="2"/>
        <v>1793.94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>--218.75</f>
        <v>218.75</v>
      </c>
      <c r="E18" s="2"/>
      <c r="F18" s="19"/>
      <c r="G18" s="2"/>
      <c r="H18" s="2"/>
      <c r="I18" s="2"/>
      <c r="J18" s="19"/>
      <c r="K18" s="2"/>
      <c r="L18" s="2">
        <f t="shared" si="0"/>
        <v>218.75</v>
      </c>
      <c r="M18" s="2"/>
      <c r="N18" s="19">
        <f t="shared" si="1"/>
        <v>0</v>
      </c>
      <c r="O18" s="11"/>
      <c r="P18" s="2">
        <f>--7699.32</f>
        <v>7699.32</v>
      </c>
      <c r="Q18" s="2"/>
      <c r="R18" s="19"/>
      <c r="S18" s="2"/>
      <c r="T18" s="2"/>
      <c r="U18" s="2"/>
      <c r="V18" s="19"/>
      <c r="W18" s="2"/>
      <c r="X18" s="2">
        <f t="shared" si="2"/>
        <v>7699.32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--19.9</f>
        <v>19.899999999999999</v>
      </c>
      <c r="E19" s="2"/>
      <c r="F19" s="19"/>
      <c r="G19" s="2"/>
      <c r="H19" s="2"/>
      <c r="I19" s="2"/>
      <c r="J19" s="19"/>
      <c r="K19" s="2"/>
      <c r="L19" s="2">
        <f t="shared" si="0"/>
        <v>19.899999999999999</v>
      </c>
      <c r="M19" s="2"/>
      <c r="N19" s="19">
        <f t="shared" si="1"/>
        <v>0</v>
      </c>
      <c r="O19" s="11"/>
      <c r="P19" s="2">
        <f>--268.62</f>
        <v>268.62</v>
      </c>
      <c r="Q19" s="2"/>
      <c r="R19" s="19"/>
      <c r="S19" s="2"/>
      <c r="T19" s="2"/>
      <c r="U19" s="2"/>
      <c r="V19" s="19"/>
      <c r="W19" s="2"/>
      <c r="X19" s="2">
        <f t="shared" si="2"/>
        <v>268.62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ref="D20:D21" si="4">0</f>
        <v>0</v>
      </c>
      <c r="E20" s="2"/>
      <c r="F20" s="19"/>
      <c r="G20" s="2"/>
      <c r="H20" s="2">
        <v>11300</v>
      </c>
      <c r="I20" s="2"/>
      <c r="J20" s="19"/>
      <c r="K20" s="2"/>
      <c r="L20" s="2">
        <f t="shared" si="0"/>
        <v>-11300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64975.000000000007</v>
      </c>
      <c r="U20" s="2"/>
      <c r="V20" s="19"/>
      <c r="W20" s="2"/>
      <c r="X20" s="2">
        <f t="shared" si="2"/>
        <v>-64975.000000000007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--152.75</f>
        <v>152.75</v>
      </c>
      <c r="Q21" s="2"/>
      <c r="R21" s="19"/>
      <c r="S21" s="2"/>
      <c r="T21" s="2"/>
      <c r="U21" s="2"/>
      <c r="V21" s="19"/>
      <c r="W21" s="2"/>
      <c r="X21" s="2">
        <f t="shared" si="2"/>
        <v>152.75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--1239.89</f>
        <v>1239.8900000000001</v>
      </c>
      <c r="E22" s="2"/>
      <c r="F22" s="19"/>
      <c r="G22" s="2"/>
      <c r="H22" s="2"/>
      <c r="I22" s="2"/>
      <c r="J22" s="19"/>
      <c r="K22" s="2"/>
      <c r="L22" s="2">
        <f t="shared" si="0"/>
        <v>1239.8900000000001</v>
      </c>
      <c r="M22" s="2"/>
      <c r="N22" s="19">
        <f t="shared" si="1"/>
        <v>0</v>
      </c>
      <c r="O22" s="11"/>
      <c r="P22" s="2">
        <f>--6756.89</f>
        <v>6756.89</v>
      </c>
      <c r="Q22" s="2"/>
      <c r="R22" s="19"/>
      <c r="S22" s="2"/>
      <c r="T22" s="2"/>
      <c r="U22" s="2"/>
      <c r="V22" s="19"/>
      <c r="W22" s="2"/>
      <c r="X22" s="2">
        <f t="shared" si="2"/>
        <v>6756.89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--27126.9</f>
        <v>27126.9</v>
      </c>
      <c r="E23" s="2"/>
      <c r="F23" s="19"/>
      <c r="G23" s="2"/>
      <c r="H23" s="2"/>
      <c r="I23" s="2"/>
      <c r="J23" s="19"/>
      <c r="K23" s="2"/>
      <c r="L23" s="2">
        <f t="shared" si="0"/>
        <v>27126.9</v>
      </c>
      <c r="M23" s="2"/>
      <c r="N23" s="19">
        <f t="shared" si="1"/>
        <v>0</v>
      </c>
      <c r="O23" s="11"/>
      <c r="P23" s="2">
        <f>--146467.95</f>
        <v>146467.95000000001</v>
      </c>
      <c r="Q23" s="2"/>
      <c r="R23" s="19"/>
      <c r="S23" s="2"/>
      <c r="T23" s="2"/>
      <c r="U23" s="2"/>
      <c r="V23" s="19"/>
      <c r="W23" s="2"/>
      <c r="X23" s="2">
        <f t="shared" si="2"/>
        <v>146467.95000000001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--57.5</f>
        <v>57.5</v>
      </c>
      <c r="E24" s="2"/>
      <c r="F24" s="19"/>
      <c r="G24" s="2"/>
      <c r="H24" s="2"/>
      <c r="I24" s="2"/>
      <c r="J24" s="19"/>
      <c r="K24" s="2"/>
      <c r="L24" s="2">
        <f t="shared" si="0"/>
        <v>57.5</v>
      </c>
      <c r="M24" s="2"/>
      <c r="N24" s="19">
        <f t="shared" si="1"/>
        <v>0</v>
      </c>
      <c r="O24" s="11"/>
      <c r="P24" s="2">
        <f>--307.4</f>
        <v>307.39999999999998</v>
      </c>
      <c r="Q24" s="2"/>
      <c r="R24" s="19"/>
      <c r="S24" s="2"/>
      <c r="T24" s="2"/>
      <c r="U24" s="2"/>
      <c r="V24" s="19"/>
      <c r="W24" s="2"/>
      <c r="X24" s="2">
        <f t="shared" si="2"/>
        <v>307.39999999999998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 t="shared" ref="D25:D28" si="5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-634.75</f>
        <v>-634.75</v>
      </c>
      <c r="Q25" s="2"/>
      <c r="R25" s="19"/>
      <c r="S25" s="2"/>
      <c r="T25" s="2"/>
      <c r="U25" s="2"/>
      <c r="V25" s="19"/>
      <c r="W25" s="2"/>
      <c r="X25" s="2">
        <f t="shared" si="2"/>
        <v>-634.75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-16.2</f>
        <v>-16.2</v>
      </c>
      <c r="Q26" s="2"/>
      <c r="R26" s="19"/>
      <c r="S26" s="2"/>
      <c r="T26" s="2"/>
      <c r="U26" s="2"/>
      <c r="V26" s="19"/>
      <c r="W26" s="2"/>
      <c r="X26" s="2">
        <f t="shared" si="2"/>
        <v>-16.2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-419.05</f>
        <v>-419.05</v>
      </c>
      <c r="Q27" s="2"/>
      <c r="R27" s="19"/>
      <c r="S27" s="2"/>
      <c r="T27" s="2"/>
      <c r="U27" s="2"/>
      <c r="V27" s="19"/>
      <c r="W27" s="2"/>
      <c r="X27" s="2">
        <f t="shared" si="2"/>
        <v>-419.05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/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115</v>
      </c>
      <c r="E30" s="4"/>
      <c r="F30" s="12">
        <f t="shared" ref="F30:F36" si="6">IF(D$12=0,0,D30/D$12)</f>
        <v>3.1007133258412912E-3</v>
      </c>
      <c r="G30" s="4"/>
      <c r="H30" s="4">
        <f>SUM(OSRRefH16x_0)</f>
        <v>4611.5</v>
      </c>
      <c r="I30" s="4"/>
      <c r="J30" s="12">
        <f t="shared" ref="J30:J36" si="7">IF(H$12=0,0,H30/H$12)</f>
        <v>8.9717898832684828E-2</v>
      </c>
      <c r="K30" s="4"/>
      <c r="L30" s="4">
        <f t="shared" ref="L30:L36" si="8">+D30-H30</f>
        <v>-4496.5</v>
      </c>
      <c r="M30" s="4"/>
      <c r="N30" s="12">
        <f t="shared" ref="N30:N36" si="9">IF(H30=0,0,L30/H30)</f>
        <v>-0.97506234413965087</v>
      </c>
      <c r="O30" s="10"/>
      <c r="P30" s="4">
        <f>SUM(OSRRefP16x_0)</f>
        <v>3803.1200000000003</v>
      </c>
      <c r="Q30" s="4"/>
      <c r="R30" s="12">
        <f t="shared" ref="R30:R36" si="10">IF(P$12=0,0,P30/P$12)</f>
        <v>1.2362056736897055E-2</v>
      </c>
      <c r="S30" s="4"/>
      <c r="T30" s="4">
        <f>SUM(OSRRefT16x_0)</f>
        <v>4611.5</v>
      </c>
      <c r="U30" s="4"/>
      <c r="V30" s="12">
        <f t="shared" ref="V30:V36" si="11">IF(T$12=0,0,T30/T$12)</f>
        <v>1.2949559479097195E-2</v>
      </c>
      <c r="W30" s="4"/>
      <c r="X30" s="4">
        <f t="shared" ref="X30:X36" si="12">+P30-T30</f>
        <v>-808.37999999999965</v>
      </c>
      <c r="Y30" s="4"/>
      <c r="Z30" s="12">
        <f t="shared" ref="Z30:Z36" si="13">IF(T30=0,0,X30/T30)</f>
        <v>-0.17529654125555669</v>
      </c>
    </row>
    <row r="31" spans="1:26" s="24" customFormat="1" hidden="1" outlineLevel="1" x14ac:dyDescent="0.25">
      <c r="A31" s="44"/>
      <c r="B31" s="11" t="str">
        <f>CONCATENATE("          ", "5000", " - ", "PURCHASES @ COST")</f>
        <v xml:space="preserve">          5000 - PURCHASES @ COST</v>
      </c>
      <c r="C31" s="11"/>
      <c r="D31" s="2"/>
      <c r="E31" s="2"/>
      <c r="F31" s="19">
        <f t="shared" si="6"/>
        <v>0</v>
      </c>
      <c r="G31" s="2"/>
      <c r="H31" s="2">
        <v>4611.5</v>
      </c>
      <c r="I31" s="2"/>
      <c r="J31" s="19">
        <f t="shared" si="7"/>
        <v>8.9717898832684828E-2</v>
      </c>
      <c r="K31" s="2"/>
      <c r="L31" s="2">
        <f t="shared" si="8"/>
        <v>-4611.5</v>
      </c>
      <c r="M31" s="2"/>
      <c r="N31" s="19">
        <f t="shared" si="9"/>
        <v>-1</v>
      </c>
      <c r="O31" s="11"/>
      <c r="P31" s="2"/>
      <c r="Q31" s="2"/>
      <c r="R31" s="19">
        <f t="shared" si="10"/>
        <v>0</v>
      </c>
      <c r="S31" s="2"/>
      <c r="T31" s="2">
        <v>4611.5</v>
      </c>
      <c r="U31" s="2"/>
      <c r="V31" s="19">
        <f t="shared" si="11"/>
        <v>1.2949559479097195E-2</v>
      </c>
      <c r="W31" s="2"/>
      <c r="X31" s="2">
        <f t="shared" si="12"/>
        <v>-4611.5</v>
      </c>
      <c r="Y31" s="2"/>
      <c r="Z31" s="19">
        <f t="shared" si="13"/>
        <v>-1</v>
      </c>
    </row>
    <row r="32" spans="1:26" s="24" customFormat="1" hidden="1" outlineLevel="1" x14ac:dyDescent="0.25">
      <c r="A32" s="44"/>
      <c r="B32" s="11" t="str">
        <f>CONCATENATE("          ", "5092", " - ", "PURCHASES @ COST-GRAD MERCH")</f>
        <v xml:space="preserve">          5092 - PURCHASES @ COST-GRAD MERCH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1984.49</v>
      </c>
      <c r="Q32" s="2"/>
      <c r="R32" s="19">
        <f t="shared" si="10"/>
        <v>6.4505926643926136E-3</v>
      </c>
      <c r="S32" s="2"/>
      <c r="T32" s="2"/>
      <c r="U32" s="2"/>
      <c r="V32" s="19">
        <f t="shared" si="11"/>
        <v>0</v>
      </c>
      <c r="W32" s="2"/>
      <c r="X32" s="2">
        <f t="shared" si="12"/>
        <v>1984.49</v>
      </c>
      <c r="Y32" s="2"/>
      <c r="Z32" s="19">
        <f t="shared" si="13"/>
        <v>0</v>
      </c>
    </row>
    <row r="33" spans="1:26" s="24" customFormat="1" hidden="1" outlineLevel="1" x14ac:dyDescent="0.25">
      <c r="A33" s="44"/>
      <c r="B33" s="11" t="str">
        <f>CONCATENATE("          ", "5095", " - ", "PURCHASES @ COST-CUSTOMER SERV")</f>
        <v xml:space="preserve">          5095 - PURCHASES @ COST-CUSTOMER SERV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11.85</v>
      </c>
      <c r="Q33" s="2"/>
      <c r="R33" s="19">
        <f t="shared" si="10"/>
        <v>3.8518472289128426E-5</v>
      </c>
      <c r="S33" s="2"/>
      <c r="T33" s="2"/>
      <c r="U33" s="2"/>
      <c r="V33" s="19">
        <f t="shared" si="11"/>
        <v>0</v>
      </c>
      <c r="W33" s="2"/>
      <c r="X33" s="2">
        <f t="shared" si="12"/>
        <v>11.85</v>
      </c>
      <c r="Y33" s="2"/>
      <c r="Z33" s="19">
        <f t="shared" si="13"/>
        <v>0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-2103</v>
      </c>
      <c r="Q34" s="2"/>
      <c r="R34" s="19">
        <f t="shared" si="10"/>
        <v>-6.8358098923238042E-3</v>
      </c>
      <c r="S34" s="2"/>
      <c r="T34" s="2"/>
      <c r="U34" s="2"/>
      <c r="V34" s="19">
        <f t="shared" si="11"/>
        <v>0</v>
      </c>
      <c r="W34" s="2"/>
      <c r="X34" s="2">
        <f t="shared" si="12"/>
        <v>-2103</v>
      </c>
      <c r="Y34" s="2"/>
      <c r="Z34" s="19">
        <f t="shared" si="13"/>
        <v>0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>
        <v>115</v>
      </c>
      <c r="E35" s="2"/>
      <c r="F35" s="19">
        <f t="shared" si="6"/>
        <v>3.1007133258412912E-3</v>
      </c>
      <c r="G35" s="2"/>
      <c r="H35" s="2"/>
      <c r="I35" s="2"/>
      <c r="J35" s="19">
        <f t="shared" si="7"/>
        <v>0</v>
      </c>
      <c r="K35" s="2"/>
      <c r="L35" s="2">
        <f t="shared" si="8"/>
        <v>115</v>
      </c>
      <c r="M35" s="2"/>
      <c r="N35" s="19">
        <f t="shared" si="9"/>
        <v>0</v>
      </c>
      <c r="O35" s="11"/>
      <c r="P35" s="2">
        <v>3804</v>
      </c>
      <c r="Q35" s="2"/>
      <c r="R35" s="19">
        <f t="shared" si="10"/>
        <v>1.2364917180408821E-2</v>
      </c>
      <c r="S35" s="2"/>
      <c r="T35" s="2"/>
      <c r="U35" s="2"/>
      <c r="V35" s="19">
        <f t="shared" si="11"/>
        <v>0</v>
      </c>
      <c r="W35" s="2"/>
      <c r="X35" s="2">
        <f t="shared" si="12"/>
        <v>3804</v>
      </c>
      <c r="Y35" s="2"/>
      <c r="Z35" s="19">
        <f t="shared" si="13"/>
        <v>0</v>
      </c>
    </row>
    <row r="36" spans="1:26" s="24" customFormat="1" hidden="1" outlineLevel="1" x14ac:dyDescent="0.25">
      <c r="A36" s="44"/>
      <c r="B36" s="11" t="str">
        <f>CONCATENATE("          ", "5592", " - ", "FREIGHT-IN-GRAD MERCH")</f>
        <v xml:space="preserve">          5592 - FREIGHT-IN-GRAD MERCH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105.78</v>
      </c>
      <c r="Q36" s="2"/>
      <c r="R36" s="19">
        <f t="shared" si="10"/>
        <v>3.4383831213029574E-4</v>
      </c>
      <c r="S36" s="2"/>
      <c r="T36" s="2"/>
      <c r="U36" s="2"/>
      <c r="V36" s="19">
        <f t="shared" si="11"/>
        <v>0</v>
      </c>
      <c r="W36" s="2"/>
      <c r="X36" s="2">
        <f t="shared" si="12"/>
        <v>105.78</v>
      </c>
      <c r="Y36" s="2"/>
      <c r="Z36" s="19">
        <f t="shared" si="13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9" t="s">
        <v>6</v>
      </c>
      <c r="C38" s="29"/>
      <c r="D38" s="22">
        <f>D12-D30</f>
        <v>36973.24</v>
      </c>
      <c r="E38" s="14"/>
      <c r="F38" s="20">
        <f>IF(D$12=0,0,D38/D$12)</f>
        <v>0.99689928667415872</v>
      </c>
      <c r="G38" s="14"/>
      <c r="H38" s="22">
        <f>H12-H30</f>
        <v>46788.5</v>
      </c>
      <c r="I38" s="14"/>
      <c r="J38" s="20">
        <f>IF(H$12=0,0,H38/H$12)</f>
        <v>0.91028210116731523</v>
      </c>
      <c r="K38" s="16"/>
      <c r="L38" s="22">
        <f>+D38-H38</f>
        <v>-9815.260000000002</v>
      </c>
      <c r="M38" s="16"/>
      <c r="N38" s="20">
        <f>IF(H38=0,0,L38/H38)</f>
        <v>-0.20977932611646027</v>
      </c>
      <c r="O38" s="28"/>
      <c r="P38" s="22">
        <f>P12-P30</f>
        <v>303841.48000000004</v>
      </c>
      <c r="Q38" s="14"/>
      <c r="R38" s="20">
        <f>IF(P$12=0,0,P38/P$12)</f>
        <v>0.98763794326310295</v>
      </c>
      <c r="S38" s="14"/>
      <c r="T38" s="22">
        <f>T12-T30</f>
        <v>351501</v>
      </c>
      <c r="U38" s="14"/>
      <c r="V38" s="20">
        <f>IF(T$12=0,0,T38/T$12)</f>
        <v>0.98705044052090285</v>
      </c>
      <c r="W38" s="16"/>
      <c r="X38" s="22">
        <f>+P38-T38</f>
        <v>-47659.51999999996</v>
      </c>
      <c r="Y38" s="16"/>
      <c r="Z38" s="20">
        <f>IF(T38=0,0,X38/T38)</f>
        <v>-0.13558857585042422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8" t="s">
        <v>9</v>
      </c>
      <c r="C40" s="10"/>
      <c r="D40" s="21">
        <f>SUM(OSRRefD22x_0)</f>
        <v>47944.63</v>
      </c>
      <c r="E40" s="21"/>
      <c r="F40" s="30">
        <f t="shared" ref="F40:F50" si="14">IF(D$12=0,0,D40/D$12)</f>
        <v>1.2927178534220012</v>
      </c>
      <c r="G40" s="21"/>
      <c r="H40" s="21">
        <f>SUM(OSRRefH22x_0)</f>
        <v>55638.246624141786</v>
      </c>
      <c r="I40" s="21"/>
      <c r="J40" s="30">
        <f t="shared" ref="J40:J50" si="15">IF(H$12=0,0,H40/H$12)</f>
        <v>1.0824561600027585</v>
      </c>
      <c r="K40" s="4"/>
      <c r="L40" s="21">
        <f t="shared" ref="L40:L50" si="16">+D40-H40</f>
        <v>-7693.6166241417886</v>
      </c>
      <c r="M40" s="4"/>
      <c r="N40" s="30">
        <f t="shared" ref="N40:N50" si="17">IF(H40=0,0,L40/H40)</f>
        <v>-0.13827927893046651</v>
      </c>
      <c r="O40" s="10"/>
      <c r="P40" s="21">
        <f>SUM(OSRRefP22x_0)</f>
        <v>274962.56000000006</v>
      </c>
      <c r="Q40" s="21"/>
      <c r="R40" s="30">
        <f t="shared" ref="R40:R50" si="18">IF(P$12=0,0,P40/P$12)</f>
        <v>0.89376689855762148</v>
      </c>
      <c r="S40" s="21"/>
      <c r="T40" s="21">
        <f>SUM(OSRRefT22x_0)</f>
        <v>294424.30533281522</v>
      </c>
      <c r="U40" s="21"/>
      <c r="V40" s="30">
        <f t="shared" ref="V40:V50" si="19">IF(T$12=0,0,T40/T$12)</f>
        <v>0.82677329589052673</v>
      </c>
      <c r="W40" s="4"/>
      <c r="X40" s="21">
        <f t="shared" ref="X40:X50" si="20">+P40-T40</f>
        <v>-19461.745332815161</v>
      </c>
      <c r="Y40" s="4"/>
      <c r="Z40" s="30">
        <f t="shared" ref="Z40:Z50" si="21">IF(T40=0,0,X40/T40)</f>
        <v>-6.6101014693116925E-2</v>
      </c>
    </row>
    <row r="41" spans="1:26" s="25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7538.7500000000009</v>
      </c>
      <c r="E41" s="1"/>
      <c r="F41" s="5">
        <f t="shared" si="14"/>
        <v>0.20326523987118292</v>
      </c>
      <c r="G41" s="1"/>
      <c r="H41" s="1">
        <f>SUM(OSRRefH22_0x_0)</f>
        <v>6603.7389059294801</v>
      </c>
      <c r="I41" s="1"/>
      <c r="J41" s="5">
        <f t="shared" si="15"/>
        <v>0.12847741062119611</v>
      </c>
      <c r="K41" s="1"/>
      <c r="L41" s="1">
        <f t="shared" si="16"/>
        <v>935.01109407052081</v>
      </c>
      <c r="M41" s="1"/>
      <c r="N41" s="5">
        <f t="shared" si="17"/>
        <v>0.141588137779187</v>
      </c>
      <c r="O41" s="13"/>
      <c r="P41" s="1">
        <f>SUM(OSRRefP22_0x_0)</f>
        <v>48102.65</v>
      </c>
      <c r="Q41" s="1"/>
      <c r="R41" s="5">
        <f t="shared" si="18"/>
        <v>0.15635785578553954</v>
      </c>
      <c r="S41" s="1"/>
      <c r="T41" s="1">
        <f>SUM(OSRRefT22_0x_0)</f>
        <v>41752.110428095177</v>
      </c>
      <c r="U41" s="1"/>
      <c r="V41" s="5">
        <f t="shared" si="19"/>
        <v>0.11724415859621658</v>
      </c>
      <c r="W41" s="1"/>
      <c r="X41" s="1">
        <f t="shared" si="20"/>
        <v>6350.5395719048247</v>
      </c>
      <c r="Y41" s="1"/>
      <c r="Z41" s="5">
        <f t="shared" si="21"/>
        <v>0.152101043678777</v>
      </c>
    </row>
    <row r="42" spans="1:26" s="24" customFormat="1" hidden="1" outlineLevel="2" x14ac:dyDescent="0.25">
      <c r="A42" s="26"/>
      <c r="B42" s="11" t="str">
        <f>CONCATENATE("          ", "6111", " - ", "F.I.C.A.")</f>
        <v xml:space="preserve">          6111 - F.I.C.A.</v>
      </c>
      <c r="C42" s="11"/>
      <c r="D42" s="6">
        <v>1091.3900000000001</v>
      </c>
      <c r="E42" s="2"/>
      <c r="F42" s="7">
        <f t="shared" si="14"/>
        <v>2.9426847971216755E-2</v>
      </c>
      <c r="G42" s="2"/>
      <c r="H42" s="6">
        <v>1169.1557565692351</v>
      </c>
      <c r="I42" s="2"/>
      <c r="J42" s="7">
        <f t="shared" si="15"/>
        <v>2.2746220944926752E-2</v>
      </c>
      <c r="K42" s="2"/>
      <c r="L42" s="6">
        <f t="shared" si="16"/>
        <v>-77.765756569235009</v>
      </c>
      <c r="M42" s="2"/>
      <c r="N42" s="7">
        <f t="shared" si="17"/>
        <v>-6.6514453811894539E-2</v>
      </c>
      <c r="O42" s="11"/>
      <c r="P42" s="6">
        <v>8053.82</v>
      </c>
      <c r="Q42" s="2"/>
      <c r="R42" s="7">
        <f t="shared" si="18"/>
        <v>2.6178974049926439E-2</v>
      </c>
      <c r="S42" s="2"/>
      <c r="T42" s="6">
        <v>7911.0764835757109</v>
      </c>
      <c r="U42" s="2"/>
      <c r="V42" s="7">
        <f t="shared" si="19"/>
        <v>2.2215104731161391E-2</v>
      </c>
      <c r="W42" s="2"/>
      <c r="X42" s="6">
        <f t="shared" si="20"/>
        <v>142.74351642428883</v>
      </c>
      <c r="Y42" s="2"/>
      <c r="Z42" s="7">
        <f t="shared" si="21"/>
        <v>1.80435009977012E-2</v>
      </c>
    </row>
    <row r="43" spans="1:26" s="24" customFormat="1" hidden="1" outlineLevel="2" x14ac:dyDescent="0.25">
      <c r="A43" s="26"/>
      <c r="B43" s="11" t="str">
        <f>CONCATENATE("          ", "6112", " - ", "COMPENSATION INSURANCE")</f>
        <v xml:space="preserve">          6112 - COMPENSATION INSURANCE</v>
      </c>
      <c r="C43" s="11"/>
      <c r="D43" s="6">
        <v>301.45</v>
      </c>
      <c r="E43" s="2"/>
      <c r="F43" s="7">
        <f t="shared" si="14"/>
        <v>8.1279133223900631E-3</v>
      </c>
      <c r="G43" s="2"/>
      <c r="H43" s="6">
        <v>238.39472461538469</v>
      </c>
      <c r="I43" s="2"/>
      <c r="J43" s="7">
        <f t="shared" si="15"/>
        <v>4.6380296617779121E-3</v>
      </c>
      <c r="K43" s="2"/>
      <c r="L43" s="6">
        <f t="shared" si="16"/>
        <v>63.0552753846153</v>
      </c>
      <c r="M43" s="2"/>
      <c r="N43" s="7">
        <f t="shared" si="17"/>
        <v>0.26449945772225386</v>
      </c>
      <c r="O43" s="11"/>
      <c r="P43" s="6">
        <v>1215.4100000000001</v>
      </c>
      <c r="Q43" s="2"/>
      <c r="R43" s="7">
        <f t="shared" si="18"/>
        <v>3.9506950552683192E-3</v>
      </c>
      <c r="S43" s="2"/>
      <c r="T43" s="6">
        <v>1549.5657100000001</v>
      </c>
      <c r="U43" s="2"/>
      <c r="V43" s="7">
        <f t="shared" si="19"/>
        <v>4.3513375969672511E-3</v>
      </c>
      <c r="W43" s="2"/>
      <c r="X43" s="6">
        <f t="shared" si="20"/>
        <v>-334.15571</v>
      </c>
      <c r="Y43" s="2"/>
      <c r="Z43" s="7">
        <f t="shared" si="21"/>
        <v>-0.21564474990866955</v>
      </c>
    </row>
    <row r="44" spans="1:26" s="24" customFormat="1" hidden="1" outlineLevel="2" x14ac:dyDescent="0.25">
      <c r="A44" s="26"/>
      <c r="B44" s="11" t="str">
        <f>CONCATENATE("          ", "6113", " - ", "GROUP INSURANCE")</f>
        <v xml:space="preserve">          6113 - GROUP INSURANCE</v>
      </c>
      <c r="C44" s="11"/>
      <c r="D44" s="6">
        <v>3051.28</v>
      </c>
      <c r="E44" s="2"/>
      <c r="F44" s="7">
        <f t="shared" si="14"/>
        <v>8.227082223367839E-2</v>
      </c>
      <c r="G44" s="2"/>
      <c r="H44" s="6">
        <v>2704</v>
      </c>
      <c r="I44" s="2"/>
      <c r="J44" s="7">
        <f t="shared" si="15"/>
        <v>5.2607003891050587E-2</v>
      </c>
      <c r="K44" s="2"/>
      <c r="L44" s="6">
        <f t="shared" si="16"/>
        <v>347.2800000000002</v>
      </c>
      <c r="M44" s="2"/>
      <c r="N44" s="7">
        <f t="shared" si="17"/>
        <v>0.12843195266272198</v>
      </c>
      <c r="O44" s="11"/>
      <c r="P44" s="6">
        <v>17688.7</v>
      </c>
      <c r="Q44" s="2"/>
      <c r="R44" s="7">
        <f t="shared" si="18"/>
        <v>5.7497189939300086E-2</v>
      </c>
      <c r="S44" s="2"/>
      <c r="T44" s="6">
        <v>16224</v>
      </c>
      <c r="U44" s="2"/>
      <c r="V44" s="7">
        <f t="shared" si="19"/>
        <v>4.555863666678367E-2</v>
      </c>
      <c r="W44" s="2"/>
      <c r="X44" s="6">
        <f t="shared" si="20"/>
        <v>1464.7000000000007</v>
      </c>
      <c r="Y44" s="2"/>
      <c r="Z44" s="7">
        <f t="shared" si="21"/>
        <v>9.0279832347140085E-2</v>
      </c>
    </row>
    <row r="45" spans="1:26" s="24" customFormat="1" hidden="1" outlineLevel="2" x14ac:dyDescent="0.25">
      <c r="A45" s="26"/>
      <c r="B45" s="11" t="str">
        <f>CONCATENATE("          ", "6114", " - ", "STATE UNEMPLOYMENT INSURANCE")</f>
        <v xml:space="preserve">          6114 - STATE UNEMPLOYMENT INSURANCE</v>
      </c>
      <c r="C45" s="11"/>
      <c r="D45" s="6">
        <v>63.88</v>
      </c>
      <c r="E45" s="2"/>
      <c r="F45" s="7">
        <f t="shared" si="14"/>
        <v>1.722378845693406E-3</v>
      </c>
      <c r="G45" s="2"/>
      <c r="H45" s="6">
        <v>48.459514947351998</v>
      </c>
      <c r="I45" s="2"/>
      <c r="J45" s="7">
        <f t="shared" si="15"/>
        <v>9.4279211959828789E-4</v>
      </c>
      <c r="K45" s="2"/>
      <c r="L45" s="6">
        <f t="shared" si="16"/>
        <v>15.420485052648004</v>
      </c>
      <c r="M45" s="2"/>
      <c r="N45" s="7">
        <f t="shared" si="17"/>
        <v>0.31821377224681929</v>
      </c>
      <c r="O45" s="11"/>
      <c r="P45" s="6">
        <v>317</v>
      </c>
      <c r="Q45" s="2"/>
      <c r="R45" s="7">
        <f t="shared" si="18"/>
        <v>1.0304097650340684E-3</v>
      </c>
      <c r="S45" s="2"/>
      <c r="T45" s="6">
        <v>318.75137347227195</v>
      </c>
      <c r="U45" s="2"/>
      <c r="V45" s="7">
        <f t="shared" si="19"/>
        <v>8.9508616932085217E-4</v>
      </c>
      <c r="W45" s="2"/>
      <c r="X45" s="6">
        <f t="shared" si="20"/>
        <v>-1.7513734722719505</v>
      </c>
      <c r="Y45" s="2"/>
      <c r="Z45" s="7">
        <f t="shared" si="21"/>
        <v>-5.4944813356994108E-3</v>
      </c>
    </row>
    <row r="46" spans="1:26" s="24" customFormat="1" hidden="1" outlineLevel="2" x14ac:dyDescent="0.25">
      <c r="A46" s="26"/>
      <c r="B46" s="11" t="str">
        <f>CONCATENATE("          ", "6115", " - ", "P.E.R.S.")</f>
        <v xml:space="preserve">          6115 - P.E.R.S.</v>
      </c>
      <c r="C46" s="11"/>
      <c r="D46" s="6">
        <v>1187.75</v>
      </c>
      <c r="E46" s="2"/>
      <c r="F46" s="7">
        <f t="shared" si="14"/>
        <v>3.2024976111026032E-2</v>
      </c>
      <c r="G46" s="2"/>
      <c r="H46" s="6">
        <v>1079.049806153846</v>
      </c>
      <c r="I46" s="2"/>
      <c r="J46" s="7">
        <f t="shared" si="15"/>
        <v>2.0993186890152647E-2</v>
      </c>
      <c r="K46" s="2"/>
      <c r="L46" s="6">
        <f t="shared" si="16"/>
        <v>108.70019384615398</v>
      </c>
      <c r="M46" s="2"/>
      <c r="N46" s="7">
        <f t="shared" si="17"/>
        <v>0.10073695692843301</v>
      </c>
      <c r="O46" s="11"/>
      <c r="P46" s="6">
        <v>7955.53</v>
      </c>
      <c r="Q46" s="2"/>
      <c r="R46" s="7">
        <f t="shared" si="18"/>
        <v>2.5859482012686064E-2</v>
      </c>
      <c r="S46" s="2"/>
      <c r="T46" s="6">
        <v>7013.8237399999953</v>
      </c>
      <c r="U46" s="2"/>
      <c r="V46" s="7">
        <f t="shared" si="19"/>
        <v>1.9695528070483331E-2</v>
      </c>
      <c r="W46" s="2"/>
      <c r="X46" s="6">
        <f t="shared" si="20"/>
        <v>941.70626000000448</v>
      </c>
      <c r="Y46" s="2"/>
      <c r="Z46" s="7">
        <f t="shared" si="21"/>
        <v>0.13426431785410181</v>
      </c>
    </row>
    <row r="47" spans="1:26" s="24" customFormat="1" hidden="1" outlineLevel="2" x14ac:dyDescent="0.25">
      <c r="A47" s="26"/>
      <c r="B47" s="11" t="str">
        <f>CONCATENATE("          ", "6116", " - ", "EDUCATIONAL BENEFITS")</f>
        <v xml:space="preserve">          6116 - EDUCATIONAL BENEFITS</v>
      </c>
      <c r="C47" s="11"/>
      <c r="D47" s="6"/>
      <c r="E47" s="2"/>
      <c r="F47" s="7">
        <f t="shared" si="14"/>
        <v>0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0</v>
      </c>
      <c r="M47" s="2"/>
      <c r="N47" s="7">
        <f t="shared" si="17"/>
        <v>0</v>
      </c>
      <c r="O47" s="11"/>
      <c r="P47" s="6"/>
      <c r="Q47" s="2"/>
      <c r="R47" s="7">
        <f t="shared" si="18"/>
        <v>0</v>
      </c>
      <c r="S47" s="2"/>
      <c r="T47" s="6">
        <v>0</v>
      </c>
      <c r="U47" s="2"/>
      <c r="V47" s="7">
        <f t="shared" si="19"/>
        <v>0</v>
      </c>
      <c r="W47" s="2"/>
      <c r="X47" s="6">
        <f t="shared" si="20"/>
        <v>0</v>
      </c>
      <c r="Y47" s="2"/>
      <c r="Z47" s="7">
        <f t="shared" si="21"/>
        <v>0</v>
      </c>
    </row>
    <row r="48" spans="1:26" s="24" customFormat="1" hidden="1" outlineLevel="2" x14ac:dyDescent="0.25">
      <c r="A48" s="26"/>
      <c r="B48" s="11" t="str">
        <f>CONCATENATE("          ", "6118", " - ", "VACATION")</f>
        <v xml:space="preserve">          6118 - VACATION</v>
      </c>
      <c r="C48" s="11"/>
      <c r="D48" s="6">
        <v>969.46</v>
      </c>
      <c r="E48" s="2"/>
      <c r="F48" s="7">
        <f t="shared" si="14"/>
        <v>2.6139282964087809E-2</v>
      </c>
      <c r="G48" s="2"/>
      <c r="H48" s="6">
        <v>627.35453846153882</v>
      </c>
      <c r="I48" s="2"/>
      <c r="J48" s="7">
        <f t="shared" si="15"/>
        <v>1.2205341215205036E-2</v>
      </c>
      <c r="K48" s="2"/>
      <c r="L48" s="6">
        <f t="shared" si="16"/>
        <v>342.10546153846121</v>
      </c>
      <c r="M48" s="2"/>
      <c r="N48" s="7">
        <f t="shared" si="17"/>
        <v>0.54531439650919911</v>
      </c>
      <c r="O48" s="11"/>
      <c r="P48" s="6">
        <v>7021.05</v>
      </c>
      <c r="Q48" s="2"/>
      <c r="R48" s="7">
        <f t="shared" si="18"/>
        <v>2.2821951043509293E-2</v>
      </c>
      <c r="S48" s="2"/>
      <c r="T48" s="6">
        <v>4077.8045000000011</v>
      </c>
      <c r="U48" s="2"/>
      <c r="V48" s="7">
        <f t="shared" si="19"/>
        <v>1.1450888413071715E-2</v>
      </c>
      <c r="W48" s="2"/>
      <c r="X48" s="6">
        <f t="shared" si="20"/>
        <v>2943.2454999999991</v>
      </c>
      <c r="Y48" s="2"/>
      <c r="Z48" s="7">
        <f t="shared" si="21"/>
        <v>0.72177209574416779</v>
      </c>
    </row>
    <row r="49" spans="1:26" s="24" customFormat="1" hidden="1" outlineLevel="2" x14ac:dyDescent="0.25">
      <c r="A49" s="26"/>
      <c r="B49" s="11" t="str">
        <f>CONCATENATE("          ", "6119", " - ", "SICK LEAVE")</f>
        <v xml:space="preserve">          6119 - SICK LEAVE</v>
      </c>
      <c r="C49" s="11"/>
      <c r="D49" s="6">
        <v>556.54</v>
      </c>
      <c r="E49" s="2"/>
      <c r="F49" s="7">
        <f t="shared" si="14"/>
        <v>1.5005834733597496E-2</v>
      </c>
      <c r="G49" s="2"/>
      <c r="H49" s="6">
        <v>437.32456518212354</v>
      </c>
      <c r="I49" s="2"/>
      <c r="J49" s="7">
        <f t="shared" si="15"/>
        <v>8.5082600229985129E-3</v>
      </c>
      <c r="K49" s="2"/>
      <c r="L49" s="6">
        <f t="shared" si="16"/>
        <v>119.21543481787643</v>
      </c>
      <c r="M49" s="2"/>
      <c r="N49" s="7">
        <f t="shared" si="17"/>
        <v>0.27260173406501698</v>
      </c>
      <c r="O49" s="11"/>
      <c r="P49" s="6">
        <v>4184.8599999999997</v>
      </c>
      <c r="Q49" s="2"/>
      <c r="R49" s="7">
        <f t="shared" si="18"/>
        <v>1.3602904130285398E-2</v>
      </c>
      <c r="S49" s="2"/>
      <c r="T49" s="6">
        <v>2857.0886210472022</v>
      </c>
      <c r="U49" s="2"/>
      <c r="V49" s="7">
        <f t="shared" si="19"/>
        <v>8.0229944780011997E-3</v>
      </c>
      <c r="W49" s="2"/>
      <c r="X49" s="6">
        <f t="shared" si="20"/>
        <v>1327.7713789527975</v>
      </c>
      <c r="Y49" s="2"/>
      <c r="Z49" s="7">
        <f t="shared" si="21"/>
        <v>0.4647288044100405</v>
      </c>
    </row>
    <row r="50" spans="1:26" s="24" customFormat="1" hidden="1" outlineLevel="2" x14ac:dyDescent="0.25">
      <c r="A50" s="26"/>
      <c r="B50" s="11" t="str">
        <f>CONCATENATE("          ", "6156", " - ", "EMPLOYEE MEALS")</f>
        <v xml:space="preserve">          6156 - EMPLOYEE MEALS</v>
      </c>
      <c r="C50" s="11"/>
      <c r="D50" s="6">
        <v>317</v>
      </c>
      <c r="E50" s="2"/>
      <c r="F50" s="7">
        <f t="shared" si="14"/>
        <v>8.5471836894929504E-3</v>
      </c>
      <c r="G50" s="2"/>
      <c r="H50" s="6">
        <v>300</v>
      </c>
      <c r="I50" s="2"/>
      <c r="J50" s="7">
        <f t="shared" si="15"/>
        <v>5.8365758754863814E-3</v>
      </c>
      <c r="K50" s="2"/>
      <c r="L50" s="6">
        <f t="shared" si="16"/>
        <v>17</v>
      </c>
      <c r="M50" s="2"/>
      <c r="N50" s="7">
        <f t="shared" si="17"/>
        <v>5.6666666666666664E-2</v>
      </c>
      <c r="O50" s="11"/>
      <c r="P50" s="6">
        <v>1666.28</v>
      </c>
      <c r="Q50" s="2"/>
      <c r="R50" s="7">
        <f t="shared" si="18"/>
        <v>5.4162497895298657E-3</v>
      </c>
      <c r="S50" s="2"/>
      <c r="T50" s="6">
        <v>1800</v>
      </c>
      <c r="U50" s="2"/>
      <c r="V50" s="7">
        <f t="shared" si="19"/>
        <v>5.0545824704271826E-3</v>
      </c>
      <c r="W50" s="2"/>
      <c r="X50" s="6">
        <f t="shared" si="20"/>
        <v>-133.72000000000003</v>
      </c>
      <c r="Y50" s="2"/>
      <c r="Z50" s="7">
        <f t="shared" si="21"/>
        <v>-7.4288888888888904E-2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16061.960000000001</v>
      </c>
      <c r="E51" s="1"/>
      <c r="F51" s="5">
        <f t="shared" ref="F51:F61" si="22">IF(D$12=0,0,D51/D$12)</f>
        <v>0.43307420357504162</v>
      </c>
      <c r="G51" s="1"/>
      <c r="H51" s="1">
        <f>SUM(OSRRefH22_1x_0)</f>
        <v>17634.50771821231</v>
      </c>
      <c r="I51" s="1"/>
      <c r="J51" s="5">
        <f t="shared" ref="J51:J61" si="23">IF(H$12=0,0,H51/H$12)</f>
        <v>0.34308380774732122</v>
      </c>
      <c r="K51" s="1"/>
      <c r="L51" s="1">
        <f t="shared" ref="L51:L61" si="24">+D51-H51</f>
        <v>-1572.5477182123086</v>
      </c>
      <c r="M51" s="1"/>
      <c r="N51" s="5">
        <f t="shared" ref="N51:N61" si="25">IF(H51=0,0,L51/H51)</f>
        <v>-8.9174460854851978E-2</v>
      </c>
      <c r="O51" s="13"/>
      <c r="P51" s="1">
        <f>SUM(OSRRefP22_1x_0)</f>
        <v>103847.16999999998</v>
      </c>
      <c r="Q51" s="1"/>
      <c r="R51" s="5">
        <f t="shared" ref="R51:R61" si="26">IF(P$12=0,0,P51/P$12)</f>
        <v>0.33755564050205977</v>
      </c>
      <c r="S51" s="1"/>
      <c r="T51" s="1">
        <f>SUM(OSRRefT22_1x_0)</f>
        <v>116072.19490472002</v>
      </c>
      <c r="U51" s="1"/>
      <c r="V51" s="5">
        <f t="shared" ref="V51:V61" si="27">IF(T$12=0,0,T51/T$12)</f>
        <v>0.32594248981633617</v>
      </c>
      <c r="W51" s="1"/>
      <c r="X51" s="1">
        <f t="shared" ref="X51:X61" si="28">+P51-T51</f>
        <v>-12225.024904720034</v>
      </c>
      <c r="Y51" s="1"/>
      <c r="Z51" s="5">
        <f t="shared" ref="Z51:Z61" si="29">IF(T51=0,0,X51/T51)</f>
        <v>-0.10532259612007139</v>
      </c>
    </row>
    <row r="52" spans="1:26" s="24" customFormat="1" hidden="1" outlineLevel="2" x14ac:dyDescent="0.25">
      <c r="A52" s="26"/>
      <c r="B52" s="11" t="str">
        <f>CONCATENATE("          ", "6001", " - ", "ADMINISTRATIVE SALARIES")</f>
        <v xml:space="preserve">          6001 - ADMINISTRATIVE SALARIES</v>
      </c>
      <c r="C52" s="11"/>
      <c r="D52" s="6"/>
      <c r="E52" s="2"/>
      <c r="F52" s="7">
        <f t="shared" si="22"/>
        <v>0</v>
      </c>
      <c r="G52" s="2"/>
      <c r="H52" s="6">
        <v>5990.5432000000001</v>
      </c>
      <c r="I52" s="2"/>
      <c r="J52" s="7">
        <f t="shared" si="23"/>
        <v>0.11654753307392997</v>
      </c>
      <c r="K52" s="2"/>
      <c r="L52" s="6">
        <f t="shared" si="24"/>
        <v>-5990.5432000000001</v>
      </c>
      <c r="M52" s="2"/>
      <c r="N52" s="7">
        <f t="shared" si="25"/>
        <v>-1</v>
      </c>
      <c r="O52" s="11"/>
      <c r="P52" s="6"/>
      <c r="Q52" s="2"/>
      <c r="R52" s="7">
        <f t="shared" si="26"/>
        <v>0</v>
      </c>
      <c r="S52" s="2"/>
      <c r="T52" s="6">
        <v>38938.5308</v>
      </c>
      <c r="U52" s="2"/>
      <c r="V52" s="7">
        <f t="shared" si="27"/>
        <v>0.1093433417810383</v>
      </c>
      <c r="W52" s="2"/>
      <c r="X52" s="6">
        <f t="shared" si="28"/>
        <v>-38938.5308</v>
      </c>
      <c r="Y52" s="2"/>
      <c r="Z52" s="7">
        <f t="shared" si="29"/>
        <v>-1</v>
      </c>
    </row>
    <row r="53" spans="1:26" s="24" customFormat="1" hidden="1" outlineLevel="2" x14ac:dyDescent="0.25">
      <c r="A53" s="26"/>
      <c r="B53" s="11" t="str">
        <f>CONCATENATE("          ", "6002", " - ", "STAFF SALARIES")</f>
        <v xml:space="preserve">          6002 - STAFF SALARIES</v>
      </c>
      <c r="C53" s="11"/>
      <c r="D53" s="6">
        <v>11747.2</v>
      </c>
      <c r="E53" s="2"/>
      <c r="F53" s="7">
        <f t="shared" si="22"/>
        <v>0.31673651809845926</v>
      </c>
      <c r="G53" s="2"/>
      <c r="H53" s="6">
        <v>5552.7803076923101</v>
      </c>
      <c r="I53" s="2"/>
      <c r="J53" s="7">
        <f t="shared" si="23"/>
        <v>0.10803074528584261</v>
      </c>
      <c r="K53" s="2"/>
      <c r="L53" s="6">
        <f t="shared" si="24"/>
        <v>6194.4196923076906</v>
      </c>
      <c r="M53" s="2"/>
      <c r="N53" s="7">
        <f t="shared" si="25"/>
        <v>1.1155528130163033</v>
      </c>
      <c r="O53" s="11"/>
      <c r="P53" s="6">
        <v>69465.759999999995</v>
      </c>
      <c r="Q53" s="2"/>
      <c r="R53" s="7">
        <f t="shared" si="26"/>
        <v>0.22579873009310089</v>
      </c>
      <c r="S53" s="2"/>
      <c r="T53" s="6">
        <v>36093.072000000022</v>
      </c>
      <c r="U53" s="2"/>
      <c r="V53" s="7">
        <f t="shared" si="27"/>
        <v>0.10135300501948126</v>
      </c>
      <c r="W53" s="2"/>
      <c r="X53" s="6">
        <f t="shared" si="28"/>
        <v>33372.687999999973</v>
      </c>
      <c r="Y53" s="2"/>
      <c r="Z53" s="7">
        <f t="shared" si="29"/>
        <v>0.92462863787266303</v>
      </c>
    </row>
    <row r="54" spans="1:26" s="24" customFormat="1" hidden="1" outlineLevel="2" x14ac:dyDescent="0.25">
      <c r="A54" s="26"/>
      <c r="B54" s="11" t="str">
        <f>CONCATENATE("          ", "6003", " - ", "STAFF HOURLY-9 MONTH")</f>
        <v xml:space="preserve">          6003 - STAFF HOURLY-9 MONTH</v>
      </c>
      <c r="C54" s="11"/>
      <c r="D54" s="6"/>
      <c r="E54" s="2"/>
      <c r="F54" s="7">
        <f t="shared" si="22"/>
        <v>0</v>
      </c>
      <c r="G54" s="2"/>
      <c r="H54" s="6">
        <v>0</v>
      </c>
      <c r="I54" s="2"/>
      <c r="J54" s="7">
        <f t="shared" si="23"/>
        <v>0</v>
      </c>
      <c r="K54" s="2"/>
      <c r="L54" s="6">
        <f t="shared" si="24"/>
        <v>0</v>
      </c>
      <c r="M54" s="2"/>
      <c r="N54" s="7">
        <f t="shared" si="25"/>
        <v>0</v>
      </c>
      <c r="O54" s="11"/>
      <c r="P54" s="6"/>
      <c r="Q54" s="2"/>
      <c r="R54" s="7">
        <f t="shared" si="26"/>
        <v>0</v>
      </c>
      <c r="S54" s="2"/>
      <c r="T54" s="6">
        <v>0</v>
      </c>
      <c r="U54" s="2"/>
      <c r="V54" s="7">
        <f t="shared" si="27"/>
        <v>0</v>
      </c>
      <c r="W54" s="2"/>
      <c r="X54" s="6">
        <f t="shared" si="28"/>
        <v>0</v>
      </c>
      <c r="Y54" s="2"/>
      <c r="Z54" s="7">
        <f t="shared" si="29"/>
        <v>0</v>
      </c>
    </row>
    <row r="55" spans="1:26" s="24" customFormat="1" hidden="1" outlineLevel="2" x14ac:dyDescent="0.25">
      <c r="A55" s="26"/>
      <c r="B55" s="11" t="str">
        <f>CONCATENATE("          ", "6004", " - ", "STAFF HOURLY")</f>
        <v xml:space="preserve">          6004 - STAFF HOURLY</v>
      </c>
      <c r="C55" s="11"/>
      <c r="D55" s="6"/>
      <c r="E55" s="2"/>
      <c r="F55" s="7">
        <f t="shared" si="22"/>
        <v>0</v>
      </c>
      <c r="G55" s="2"/>
      <c r="H55" s="6">
        <v>2730</v>
      </c>
      <c r="I55" s="2"/>
      <c r="J55" s="7">
        <f t="shared" si="23"/>
        <v>5.3112840466926069E-2</v>
      </c>
      <c r="K55" s="2"/>
      <c r="L55" s="6">
        <f t="shared" si="24"/>
        <v>-2730</v>
      </c>
      <c r="M55" s="2"/>
      <c r="N55" s="7">
        <f t="shared" si="25"/>
        <v>-1</v>
      </c>
      <c r="O55" s="11"/>
      <c r="P55" s="6"/>
      <c r="Q55" s="2"/>
      <c r="R55" s="7">
        <f t="shared" si="26"/>
        <v>0</v>
      </c>
      <c r="S55" s="2"/>
      <c r="T55" s="6">
        <v>18060</v>
      </c>
      <c r="U55" s="2"/>
      <c r="V55" s="7">
        <f t="shared" si="27"/>
        <v>5.07143107866194E-2</v>
      </c>
      <c r="W55" s="2"/>
      <c r="X55" s="6">
        <f t="shared" si="28"/>
        <v>-18060</v>
      </c>
      <c r="Y55" s="2"/>
      <c r="Z55" s="7">
        <f t="shared" si="29"/>
        <v>-1</v>
      </c>
    </row>
    <row r="56" spans="1:26" s="24" customFormat="1" hidden="1" outlineLevel="2" x14ac:dyDescent="0.25">
      <c r="A56" s="26"/>
      <c r="B56" s="11" t="str">
        <f>CONCATENATE("          ", "6005", " - ", "TEMPORARY WAGES-HOURLY")</f>
        <v xml:space="preserve">          6005 - TEMPORARY WAGES-HOURLY</v>
      </c>
      <c r="C56" s="11"/>
      <c r="D56" s="6">
        <v>1897</v>
      </c>
      <c r="E56" s="2"/>
      <c r="F56" s="7">
        <f t="shared" si="22"/>
        <v>5.1148288514095037E-2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1897</v>
      </c>
      <c r="M56" s="2"/>
      <c r="N56" s="7">
        <f t="shared" si="25"/>
        <v>0</v>
      </c>
      <c r="O56" s="11"/>
      <c r="P56" s="6">
        <v>11858</v>
      </c>
      <c r="Q56" s="2"/>
      <c r="R56" s="7">
        <f t="shared" si="26"/>
        <v>3.8544476321053574E-2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11858</v>
      </c>
      <c r="Y56" s="2"/>
      <c r="Z56" s="7">
        <f t="shared" si="29"/>
        <v>0</v>
      </c>
    </row>
    <row r="57" spans="1:26" s="24" customFormat="1" hidden="1" outlineLevel="2" x14ac:dyDescent="0.25">
      <c r="A57" s="26"/>
      <c r="B57" s="11" t="str">
        <f>CONCATENATE("          ", "6006", " - ", "TEMPORARY PART TIME")</f>
        <v xml:space="preserve">          6006 - TEMPORARY PART TIME</v>
      </c>
      <c r="C57" s="11"/>
      <c r="D57" s="6"/>
      <c r="E57" s="2"/>
      <c r="F57" s="7">
        <f t="shared" si="22"/>
        <v>0</v>
      </c>
      <c r="G57" s="2"/>
      <c r="H57" s="6">
        <v>0</v>
      </c>
      <c r="I57" s="2"/>
      <c r="J57" s="7">
        <f t="shared" si="23"/>
        <v>0</v>
      </c>
      <c r="K57" s="2"/>
      <c r="L57" s="6">
        <f t="shared" si="24"/>
        <v>0</v>
      </c>
      <c r="M57" s="2"/>
      <c r="N57" s="7">
        <f t="shared" si="25"/>
        <v>0</v>
      </c>
      <c r="O57" s="11"/>
      <c r="P57" s="6">
        <v>57.37</v>
      </c>
      <c r="Q57" s="2"/>
      <c r="R57" s="7">
        <f t="shared" si="26"/>
        <v>1.8648141394323186E-4</v>
      </c>
      <c r="S57" s="2"/>
      <c r="T57" s="6">
        <v>0</v>
      </c>
      <c r="U57" s="2"/>
      <c r="V57" s="7">
        <f t="shared" si="27"/>
        <v>0</v>
      </c>
      <c r="W57" s="2"/>
      <c r="X57" s="6">
        <f t="shared" si="28"/>
        <v>57.37</v>
      </c>
      <c r="Y57" s="2"/>
      <c r="Z57" s="7">
        <f t="shared" si="29"/>
        <v>0</v>
      </c>
    </row>
    <row r="58" spans="1:26" s="24" customFormat="1" hidden="1" outlineLevel="2" x14ac:dyDescent="0.25">
      <c r="A58" s="26"/>
      <c r="B58" s="11" t="str">
        <f>CONCATENATE("          ", "6007", " - ", "STUDENT HOURLY")</f>
        <v xml:space="preserve">          6007 - STUDENT HOURLY</v>
      </c>
      <c r="C58" s="11"/>
      <c r="D58" s="6">
        <v>2417.7600000000002</v>
      </c>
      <c r="E58" s="2"/>
      <c r="F58" s="7">
        <f t="shared" si="22"/>
        <v>6.5189396962487309E-2</v>
      </c>
      <c r="G58" s="2"/>
      <c r="H58" s="6">
        <v>0</v>
      </c>
      <c r="I58" s="2"/>
      <c r="J58" s="7">
        <f t="shared" si="23"/>
        <v>0</v>
      </c>
      <c r="K58" s="2"/>
      <c r="L58" s="6">
        <f t="shared" si="24"/>
        <v>2417.7600000000002</v>
      </c>
      <c r="M58" s="2"/>
      <c r="N58" s="7">
        <f t="shared" si="25"/>
        <v>0</v>
      </c>
      <c r="O58" s="11"/>
      <c r="P58" s="6">
        <v>22466.04</v>
      </c>
      <c r="Q58" s="2"/>
      <c r="R58" s="7">
        <f t="shared" si="26"/>
        <v>7.3025952673962086E-2</v>
      </c>
      <c r="S58" s="2"/>
      <c r="T58" s="6">
        <v>3756.1363631999998</v>
      </c>
      <c r="U58" s="2"/>
      <c r="V58" s="7">
        <f t="shared" si="27"/>
        <v>1.0547611676647126E-2</v>
      </c>
      <c r="W58" s="2"/>
      <c r="X58" s="6">
        <f t="shared" si="28"/>
        <v>18709.903636800002</v>
      </c>
      <c r="Y58" s="2"/>
      <c r="Z58" s="7">
        <f t="shared" si="29"/>
        <v>4.9811566534448986</v>
      </c>
    </row>
    <row r="59" spans="1:26" s="24" customFormat="1" hidden="1" outlineLevel="2" x14ac:dyDescent="0.25">
      <c r="A59" s="26"/>
      <c r="B59" s="11" t="str">
        <f>CONCATENATE("          ", "6008", " - ", "STUDENT HOURLY-FICA EXEMPT")</f>
        <v xml:space="preserve">          6008 - STUDENT HOURLY-FICA EXEMPT</v>
      </c>
      <c r="C59" s="11"/>
      <c r="D59" s="6"/>
      <c r="E59" s="2"/>
      <c r="F59" s="7">
        <f t="shared" si="22"/>
        <v>0</v>
      </c>
      <c r="G59" s="2"/>
      <c r="H59" s="6">
        <v>3361.1842105200003</v>
      </c>
      <c r="I59" s="2"/>
      <c r="J59" s="7">
        <f t="shared" si="23"/>
        <v>6.5392688920622569E-2</v>
      </c>
      <c r="K59" s="2"/>
      <c r="L59" s="6">
        <f t="shared" si="24"/>
        <v>-3361.1842105200003</v>
      </c>
      <c r="M59" s="2"/>
      <c r="N59" s="7">
        <f t="shared" si="25"/>
        <v>-1</v>
      </c>
      <c r="O59" s="11"/>
      <c r="P59" s="6"/>
      <c r="Q59" s="2"/>
      <c r="R59" s="7">
        <f t="shared" si="26"/>
        <v>0</v>
      </c>
      <c r="S59" s="2"/>
      <c r="T59" s="6">
        <v>19224.45574152</v>
      </c>
      <c r="U59" s="2"/>
      <c r="V59" s="7">
        <f t="shared" si="27"/>
        <v>5.3984220552550109E-2</v>
      </c>
      <c r="W59" s="2"/>
      <c r="X59" s="6">
        <f t="shared" si="28"/>
        <v>-19224.45574152</v>
      </c>
      <c r="Y59" s="2"/>
      <c r="Z59" s="7">
        <f t="shared" si="29"/>
        <v>-1</v>
      </c>
    </row>
    <row r="60" spans="1:26" s="24" customFormat="1" hidden="1" outlineLevel="2" x14ac:dyDescent="0.25">
      <c r="A60" s="26"/>
      <c r="B60" s="11" t="str">
        <f>CONCATENATE("          ", "6009", " - ", "TEMPORARY-SEASONAL")</f>
        <v xml:space="preserve">          6009 - TEMPORARY-SEASONAL</v>
      </c>
      <c r="C60" s="11"/>
      <c r="D60" s="6"/>
      <c r="E60" s="2"/>
      <c r="F60" s="7">
        <f t="shared" si="22"/>
        <v>0</v>
      </c>
      <c r="G60" s="2"/>
      <c r="H60" s="6">
        <v>0</v>
      </c>
      <c r="I60" s="2"/>
      <c r="J60" s="7">
        <f t="shared" si="23"/>
        <v>0</v>
      </c>
      <c r="K60" s="2"/>
      <c r="L60" s="6">
        <f t="shared" si="24"/>
        <v>0</v>
      </c>
      <c r="M60" s="2"/>
      <c r="N60" s="7">
        <f t="shared" si="25"/>
        <v>0</v>
      </c>
      <c r="O60" s="11"/>
      <c r="P60" s="6"/>
      <c r="Q60" s="2"/>
      <c r="R60" s="7">
        <f t="shared" si="26"/>
        <v>0</v>
      </c>
      <c r="S60" s="2"/>
      <c r="T60" s="6">
        <v>0</v>
      </c>
      <c r="U60" s="2"/>
      <c r="V60" s="7">
        <f t="shared" si="27"/>
        <v>0</v>
      </c>
      <c r="W60" s="2"/>
      <c r="X60" s="6">
        <f t="shared" si="28"/>
        <v>0</v>
      </c>
      <c r="Y60" s="2"/>
      <c r="Z60" s="7">
        <f t="shared" si="29"/>
        <v>0</v>
      </c>
    </row>
    <row r="61" spans="1:26" s="24" customFormat="1" hidden="1" outlineLevel="2" x14ac:dyDescent="0.25">
      <c r="A61" s="26"/>
      <c r="B61" s="11" t="str">
        <f>CONCATENATE("          ", "6010", " - ", "GRATUITY")</f>
        <v xml:space="preserve">          6010 - GRATUITY</v>
      </c>
      <c r="C61" s="11"/>
      <c r="D61" s="6"/>
      <c r="E61" s="2"/>
      <c r="F61" s="7">
        <f t="shared" si="22"/>
        <v>0</v>
      </c>
      <c r="G61" s="2"/>
      <c r="H61" s="6">
        <v>0</v>
      </c>
      <c r="I61" s="2"/>
      <c r="J61" s="7">
        <f t="shared" si="23"/>
        <v>0</v>
      </c>
      <c r="K61" s="2"/>
      <c r="L61" s="6">
        <f t="shared" si="24"/>
        <v>0</v>
      </c>
      <c r="M61" s="2"/>
      <c r="N61" s="7">
        <f t="shared" si="25"/>
        <v>0</v>
      </c>
      <c r="O61" s="11"/>
      <c r="P61" s="6"/>
      <c r="Q61" s="2"/>
      <c r="R61" s="7">
        <f t="shared" si="26"/>
        <v>0</v>
      </c>
      <c r="S61" s="2"/>
      <c r="T61" s="6">
        <v>0</v>
      </c>
      <c r="U61" s="2"/>
      <c r="V61" s="7">
        <f t="shared" si="27"/>
        <v>0</v>
      </c>
      <c r="W61" s="2"/>
      <c r="X61" s="6">
        <f t="shared" si="28"/>
        <v>0</v>
      </c>
      <c r="Y61" s="2"/>
      <c r="Z61" s="7">
        <f t="shared" si="29"/>
        <v>0</v>
      </c>
    </row>
    <row r="62" spans="1:26" s="25" customFormat="1" outlineLevel="1" collapsed="1" x14ac:dyDescent="0.25">
      <c r="A62" s="27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397.5</v>
      </c>
      <c r="E62" s="1"/>
      <c r="F62" s="5">
        <f t="shared" ref="F62:F74" si="30">IF(D$12=0,0,D62/D$12)</f>
        <v>1.0717683017581855E-2</v>
      </c>
      <c r="G62" s="1"/>
      <c r="H62" s="1">
        <f>SUM(OSRRefH22_2x_0)</f>
        <v>1100</v>
      </c>
      <c r="I62" s="1"/>
      <c r="J62" s="5">
        <f t="shared" ref="J62:J74" si="31">IF(H$12=0,0,H62/H$12)</f>
        <v>2.1400778210116732E-2</v>
      </c>
      <c r="K62" s="1"/>
      <c r="L62" s="1">
        <f t="shared" ref="L62:L74" si="32">+D62-H62</f>
        <v>-702.5</v>
      </c>
      <c r="M62" s="1"/>
      <c r="N62" s="5">
        <f t="shared" ref="N62:N74" si="33">IF(H62=0,0,L62/H62)</f>
        <v>-0.63863636363636367</v>
      </c>
      <c r="O62" s="13"/>
      <c r="P62" s="1">
        <f>SUM(OSRRefP22_2x_0)</f>
        <v>-459.96</v>
      </c>
      <c r="Q62" s="1"/>
      <c r="R62" s="5">
        <f t="shared" ref="R62:R74" si="34">IF(P$12=0,0,P62/P$12)</f>
        <v>-1.4951018155364988E-3</v>
      </c>
      <c r="S62" s="1"/>
      <c r="T62" s="1">
        <f>SUM(OSRRefT22_2x_0)</f>
        <v>1600</v>
      </c>
      <c r="U62" s="1"/>
      <c r="V62" s="5">
        <f t="shared" ref="V62:V74" si="35">IF(T$12=0,0,T62/T$12)</f>
        <v>4.4929621959352729E-3</v>
      </c>
      <c r="W62" s="1"/>
      <c r="X62" s="1">
        <f t="shared" ref="X62:X74" si="36">+P62-T62</f>
        <v>-2059.96</v>
      </c>
      <c r="Y62" s="1"/>
      <c r="Z62" s="5">
        <f t="shared" ref="Z62:Z74" si="37">IF(T62=0,0,X62/T62)</f>
        <v>-1.2874749999999999</v>
      </c>
    </row>
    <row r="63" spans="1:26" s="24" customFormat="1" hidden="1" outlineLevel="2" x14ac:dyDescent="0.25">
      <c r="A63" s="26"/>
      <c r="B63" s="11" t="str">
        <f>CONCATENATE("          ", "6362", " - ", "ADVERTISING EXPENSE")</f>
        <v xml:space="preserve">          6362 - ADVERTISING EXPENSE</v>
      </c>
      <c r="C63" s="11"/>
      <c r="D63" s="6">
        <v>397.5</v>
      </c>
      <c r="E63" s="2"/>
      <c r="F63" s="7">
        <f t="shared" si="30"/>
        <v>1.0717683017581855E-2</v>
      </c>
      <c r="G63" s="2"/>
      <c r="H63" s="6">
        <v>1100</v>
      </c>
      <c r="I63" s="2"/>
      <c r="J63" s="7">
        <f t="shared" si="31"/>
        <v>2.1400778210116732E-2</v>
      </c>
      <c r="K63" s="2"/>
      <c r="L63" s="6">
        <f t="shared" si="32"/>
        <v>-702.5</v>
      </c>
      <c r="M63" s="2"/>
      <c r="N63" s="7">
        <f t="shared" si="33"/>
        <v>-0.63863636363636367</v>
      </c>
      <c r="O63" s="11"/>
      <c r="P63" s="6">
        <v>-459.96</v>
      </c>
      <c r="Q63" s="2"/>
      <c r="R63" s="7">
        <f t="shared" si="34"/>
        <v>-1.4951018155364988E-3</v>
      </c>
      <c r="S63" s="2"/>
      <c r="T63" s="6">
        <v>1600</v>
      </c>
      <c r="U63" s="2"/>
      <c r="V63" s="7">
        <f t="shared" si="35"/>
        <v>4.4929621959352729E-3</v>
      </c>
      <c r="W63" s="2"/>
      <c r="X63" s="6">
        <f t="shared" si="36"/>
        <v>-2059.96</v>
      </c>
      <c r="Y63" s="2"/>
      <c r="Z63" s="7">
        <f t="shared" si="37"/>
        <v>-1.2874749999999999</v>
      </c>
    </row>
    <row r="64" spans="1:26" s="25" customFormat="1" outlineLevel="1" collapsed="1" x14ac:dyDescent="0.25">
      <c r="A64" s="27"/>
      <c r="B64" s="13" t="str">
        <f>CONCATENATE("     ","Depreciation                                      ")</f>
        <v xml:space="preserve">     Depreciation                                      </v>
      </c>
      <c r="C64" s="13"/>
      <c r="D64" s="1">
        <f>SUM(OSRRefD22_3x_0)</f>
        <v>169.88</v>
      </c>
      <c r="E64" s="1"/>
      <c r="F64" s="5">
        <f t="shared" si="30"/>
        <v>4.5804276503819E-3</v>
      </c>
      <c r="G64" s="1"/>
      <c r="H64" s="1">
        <f>SUM(OSRRefH22_3x_0)</f>
        <v>0</v>
      </c>
      <c r="I64" s="1"/>
      <c r="J64" s="5">
        <f t="shared" si="31"/>
        <v>0</v>
      </c>
      <c r="K64" s="1"/>
      <c r="L64" s="1">
        <f t="shared" si="32"/>
        <v>169.88</v>
      </c>
      <c r="M64" s="1"/>
      <c r="N64" s="5">
        <f t="shared" si="33"/>
        <v>0</v>
      </c>
      <c r="O64" s="13"/>
      <c r="P64" s="1">
        <f>SUM(OSRRefP22_3x_0)</f>
        <v>169.88</v>
      </c>
      <c r="Q64" s="1"/>
      <c r="R64" s="5">
        <f t="shared" si="34"/>
        <v>5.5219561793056003E-4</v>
      </c>
      <c r="S64" s="1"/>
      <c r="T64" s="1">
        <f>SUM(OSRRefT22_3x_0)</f>
        <v>0</v>
      </c>
      <c r="U64" s="1"/>
      <c r="V64" s="5">
        <f t="shared" si="35"/>
        <v>0</v>
      </c>
      <c r="W64" s="1"/>
      <c r="X64" s="1">
        <f t="shared" si="36"/>
        <v>169.88</v>
      </c>
      <c r="Y64" s="1"/>
      <c r="Z64" s="5">
        <f t="shared" si="37"/>
        <v>0</v>
      </c>
    </row>
    <row r="65" spans="1:26" s="24" customFormat="1" hidden="1" outlineLevel="2" x14ac:dyDescent="0.25">
      <c r="A65" s="26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169.88</v>
      </c>
      <c r="E65" s="2"/>
      <c r="F65" s="7">
        <f t="shared" si="30"/>
        <v>4.5804276503819E-3</v>
      </c>
      <c r="G65" s="2"/>
      <c r="H65" s="6">
        <v>0</v>
      </c>
      <c r="I65" s="2"/>
      <c r="J65" s="7">
        <f t="shared" si="31"/>
        <v>0</v>
      </c>
      <c r="K65" s="2"/>
      <c r="L65" s="6">
        <f t="shared" si="32"/>
        <v>169.88</v>
      </c>
      <c r="M65" s="2"/>
      <c r="N65" s="7">
        <f t="shared" si="33"/>
        <v>0</v>
      </c>
      <c r="O65" s="11"/>
      <c r="P65" s="6">
        <v>169.88</v>
      </c>
      <c r="Q65" s="2"/>
      <c r="R65" s="7">
        <f t="shared" si="34"/>
        <v>5.5219561793056003E-4</v>
      </c>
      <c r="S65" s="2"/>
      <c r="T65" s="6">
        <v>0</v>
      </c>
      <c r="U65" s="2"/>
      <c r="V65" s="7">
        <f t="shared" si="35"/>
        <v>0</v>
      </c>
      <c r="W65" s="2"/>
      <c r="X65" s="6">
        <f t="shared" si="36"/>
        <v>169.88</v>
      </c>
      <c r="Y65" s="2"/>
      <c r="Z65" s="7">
        <f t="shared" si="37"/>
        <v>0</v>
      </c>
    </row>
    <row r="66" spans="1:26" s="25" customFormat="1" outlineLevel="1" collapsed="1" x14ac:dyDescent="0.25">
      <c r="A66" s="27"/>
      <c r="B66" s="13" t="str">
        <f>CONCATENATE("     ","Discounts and Markdowns                           ")</f>
        <v xml:space="preserve">     Discounts and Markdowns                           </v>
      </c>
      <c r="C66" s="13"/>
      <c r="D66" s="1">
        <f>SUM(OSRRefD22_4x_0)</f>
        <v>43.8</v>
      </c>
      <c r="E66" s="1"/>
      <c r="F66" s="5">
        <f t="shared" si="30"/>
        <v>1.1809673362769438E-3</v>
      </c>
      <c r="G66" s="1"/>
      <c r="H66" s="1">
        <f>SUM(OSRRefH22_4x_0)</f>
        <v>700</v>
      </c>
      <c r="I66" s="1"/>
      <c r="J66" s="5">
        <f t="shared" si="31"/>
        <v>1.3618677042801557E-2</v>
      </c>
      <c r="K66" s="1"/>
      <c r="L66" s="1">
        <f t="shared" si="32"/>
        <v>-656.2</v>
      </c>
      <c r="M66" s="1"/>
      <c r="N66" s="5">
        <f t="shared" si="33"/>
        <v>-0.9374285714285715</v>
      </c>
      <c r="O66" s="13"/>
      <c r="P66" s="1">
        <f>SUM(OSRRefP22_4x_0)</f>
        <v>751.56</v>
      </c>
      <c r="Q66" s="1"/>
      <c r="R66" s="5">
        <f t="shared" si="34"/>
        <v>2.4429487792082157E-3</v>
      </c>
      <c r="S66" s="1"/>
      <c r="T66" s="1">
        <f>SUM(OSRRefT22_4x_0)</f>
        <v>4600</v>
      </c>
      <c r="U66" s="1"/>
      <c r="V66" s="5">
        <f t="shared" si="35"/>
        <v>1.2917266313313911E-2</v>
      </c>
      <c r="W66" s="1"/>
      <c r="X66" s="1">
        <f t="shared" si="36"/>
        <v>-3848.44</v>
      </c>
      <c r="Y66" s="1"/>
      <c r="Z66" s="5">
        <f t="shared" si="37"/>
        <v>-0.83661739130434787</v>
      </c>
    </row>
    <row r="67" spans="1:26" s="24" customFormat="1" hidden="1" outlineLevel="2" x14ac:dyDescent="0.25">
      <c r="A67" s="26"/>
      <c r="B67" s="11" t="str">
        <f>CONCATENATE("          ", "6382", " - ", "DISCOUNTS/MARK DOWNS")</f>
        <v xml:space="preserve">          6382 - DISCOUNTS/MARK DOWNS</v>
      </c>
      <c r="C67" s="11"/>
      <c r="D67" s="6">
        <v>43.8</v>
      </c>
      <c r="E67" s="2"/>
      <c r="F67" s="7">
        <f t="shared" si="30"/>
        <v>1.1809673362769438E-3</v>
      </c>
      <c r="G67" s="2"/>
      <c r="H67" s="6">
        <v>700</v>
      </c>
      <c r="I67" s="2"/>
      <c r="J67" s="7">
        <f t="shared" si="31"/>
        <v>1.3618677042801557E-2</v>
      </c>
      <c r="K67" s="2"/>
      <c r="L67" s="6">
        <f t="shared" si="32"/>
        <v>-656.2</v>
      </c>
      <c r="M67" s="2"/>
      <c r="N67" s="7">
        <f t="shared" si="33"/>
        <v>-0.9374285714285715</v>
      </c>
      <c r="O67" s="11"/>
      <c r="P67" s="6">
        <v>751.56</v>
      </c>
      <c r="Q67" s="2"/>
      <c r="R67" s="7">
        <f t="shared" si="34"/>
        <v>2.4429487792082157E-3</v>
      </c>
      <c r="S67" s="2"/>
      <c r="T67" s="6">
        <v>4600</v>
      </c>
      <c r="U67" s="2"/>
      <c r="V67" s="7">
        <f t="shared" si="35"/>
        <v>1.2917266313313911E-2</v>
      </c>
      <c r="W67" s="2"/>
      <c r="X67" s="6">
        <f t="shared" si="36"/>
        <v>-3848.44</v>
      </c>
      <c r="Y67" s="2"/>
      <c r="Z67" s="7">
        <f t="shared" si="37"/>
        <v>-0.83661739130434787</v>
      </c>
    </row>
    <row r="68" spans="1:26" s="25" customFormat="1" outlineLevel="1" collapsed="1" x14ac:dyDescent="0.25">
      <c r="A68" s="27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SUM(OSRRefD22_5x_0)</f>
        <v>0</v>
      </c>
      <c r="E68" s="1"/>
      <c r="F68" s="5">
        <f t="shared" si="30"/>
        <v>0</v>
      </c>
      <c r="G68" s="1"/>
      <c r="H68" s="1">
        <f>SUM(OSRRefH22_5x_0)</f>
        <v>100</v>
      </c>
      <c r="I68" s="1"/>
      <c r="J68" s="5">
        <f t="shared" si="31"/>
        <v>1.9455252918287938E-3</v>
      </c>
      <c r="K68" s="1"/>
      <c r="L68" s="1">
        <f t="shared" si="32"/>
        <v>-100</v>
      </c>
      <c r="M68" s="1"/>
      <c r="N68" s="5">
        <f t="shared" si="33"/>
        <v>-1</v>
      </c>
      <c r="O68" s="13"/>
      <c r="P68" s="1">
        <f>SUM(OSRRefP22_5x_0)</f>
        <v>0</v>
      </c>
      <c r="Q68" s="1"/>
      <c r="R68" s="5">
        <f t="shared" si="34"/>
        <v>0</v>
      </c>
      <c r="S68" s="1"/>
      <c r="T68" s="1">
        <f>SUM(OSRRefT22_5x_0)</f>
        <v>600</v>
      </c>
      <c r="U68" s="1"/>
      <c r="V68" s="5">
        <f t="shared" si="35"/>
        <v>1.6848608234757275E-3</v>
      </c>
      <c r="W68" s="1"/>
      <c r="X68" s="1">
        <f t="shared" si="36"/>
        <v>-600</v>
      </c>
      <c r="Y68" s="1"/>
      <c r="Z68" s="5">
        <f t="shared" si="37"/>
        <v>-1</v>
      </c>
    </row>
    <row r="69" spans="1:26" s="24" customFormat="1" hidden="1" outlineLevel="2" x14ac:dyDescent="0.25">
      <c r="A69" s="26"/>
      <c r="B69" s="11" t="str">
        <f>CONCATENATE("          ", "6277", " - ", "EMPLOYEE APPRECIATION")</f>
        <v xml:space="preserve">          6277 - EMPLOYEE APPRECIATION</v>
      </c>
      <c r="C69" s="11"/>
      <c r="D69" s="6"/>
      <c r="E69" s="2"/>
      <c r="F69" s="7">
        <f t="shared" si="30"/>
        <v>0</v>
      </c>
      <c r="G69" s="2"/>
      <c r="H69" s="6">
        <v>100</v>
      </c>
      <c r="I69" s="2"/>
      <c r="J69" s="7">
        <f t="shared" si="31"/>
        <v>1.9455252918287938E-3</v>
      </c>
      <c r="K69" s="2"/>
      <c r="L69" s="6">
        <f t="shared" si="32"/>
        <v>-100</v>
      </c>
      <c r="M69" s="2"/>
      <c r="N69" s="7">
        <f t="shared" si="33"/>
        <v>-1</v>
      </c>
      <c r="O69" s="11"/>
      <c r="P69" s="6"/>
      <c r="Q69" s="2"/>
      <c r="R69" s="7">
        <f t="shared" si="34"/>
        <v>0</v>
      </c>
      <c r="S69" s="2"/>
      <c r="T69" s="6">
        <v>600</v>
      </c>
      <c r="U69" s="2"/>
      <c r="V69" s="7">
        <f t="shared" si="35"/>
        <v>1.6848608234757275E-3</v>
      </c>
      <c r="W69" s="2"/>
      <c r="X69" s="6">
        <f t="shared" si="36"/>
        <v>-600</v>
      </c>
      <c r="Y69" s="2"/>
      <c r="Z69" s="7">
        <f t="shared" si="37"/>
        <v>-1</v>
      </c>
    </row>
    <row r="70" spans="1:26" s="25" customFormat="1" outlineLevel="1" collapsed="1" x14ac:dyDescent="0.25">
      <c r="A70" s="27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SUM(OSRRefD22_6x_0)</f>
        <v>0</v>
      </c>
      <c r="E70" s="1"/>
      <c r="F70" s="5">
        <f t="shared" si="30"/>
        <v>0</v>
      </c>
      <c r="G70" s="1"/>
      <c r="H70" s="1">
        <f>SUM(OSRRefH22_6x_0)</f>
        <v>3000</v>
      </c>
      <c r="I70" s="1"/>
      <c r="J70" s="5">
        <f t="shared" si="31"/>
        <v>5.8365758754863814E-2</v>
      </c>
      <c r="K70" s="1"/>
      <c r="L70" s="1">
        <f t="shared" si="32"/>
        <v>-3000</v>
      </c>
      <c r="M70" s="1"/>
      <c r="N70" s="5">
        <f t="shared" si="33"/>
        <v>-1</v>
      </c>
      <c r="O70" s="13"/>
      <c r="P70" s="1">
        <f>SUM(OSRRefP22_6x_0)</f>
        <v>9932.16</v>
      </c>
      <c r="Q70" s="1"/>
      <c r="R70" s="5">
        <f t="shared" si="34"/>
        <v>3.228452571571222E-2</v>
      </c>
      <c r="S70" s="1"/>
      <c r="T70" s="1">
        <f>SUM(OSRRefT22_6x_0)</f>
        <v>18000</v>
      </c>
      <c r="U70" s="1"/>
      <c r="V70" s="5">
        <f t="shared" si="35"/>
        <v>5.0545824704271825E-2</v>
      </c>
      <c r="W70" s="1"/>
      <c r="X70" s="1">
        <f t="shared" si="36"/>
        <v>-8067.84</v>
      </c>
      <c r="Y70" s="1"/>
      <c r="Z70" s="5">
        <f t="shared" si="37"/>
        <v>-0.44821333333333335</v>
      </c>
    </row>
    <row r="71" spans="1:26" s="24" customFormat="1" hidden="1" outlineLevel="2" x14ac:dyDescent="0.25">
      <c r="A71" s="26"/>
      <c r="B71" s="11" t="str">
        <f>CONCATENATE("          ", "6351", " - ", "EQUIPMENT RENTAL")</f>
        <v xml:space="preserve">          6351 - EQUIPMENT RENTAL</v>
      </c>
      <c r="C71" s="11"/>
      <c r="D71" s="6"/>
      <c r="E71" s="2"/>
      <c r="F71" s="7">
        <f t="shared" si="30"/>
        <v>0</v>
      </c>
      <c r="G71" s="2"/>
      <c r="H71" s="6">
        <v>3000</v>
      </c>
      <c r="I71" s="2"/>
      <c r="J71" s="7">
        <f t="shared" si="31"/>
        <v>5.8365758754863814E-2</v>
      </c>
      <c r="K71" s="2"/>
      <c r="L71" s="6">
        <f t="shared" si="32"/>
        <v>-3000</v>
      </c>
      <c r="M71" s="2"/>
      <c r="N71" s="7">
        <f t="shared" si="33"/>
        <v>-1</v>
      </c>
      <c r="O71" s="11"/>
      <c r="P71" s="6">
        <v>9932.16</v>
      </c>
      <c r="Q71" s="2"/>
      <c r="R71" s="7">
        <f t="shared" si="34"/>
        <v>3.228452571571222E-2</v>
      </c>
      <c r="S71" s="2"/>
      <c r="T71" s="6">
        <v>18000</v>
      </c>
      <c r="U71" s="2"/>
      <c r="V71" s="7">
        <f t="shared" si="35"/>
        <v>5.0545824704271825E-2</v>
      </c>
      <c r="W71" s="2"/>
      <c r="X71" s="6">
        <f t="shared" si="36"/>
        <v>-8067.84</v>
      </c>
      <c r="Y71" s="2"/>
      <c r="Z71" s="7">
        <f t="shared" si="37"/>
        <v>-0.44821333333333335</v>
      </c>
    </row>
    <row r="72" spans="1:26" s="25" customFormat="1" outlineLevel="1" collapsed="1" x14ac:dyDescent="0.25">
      <c r="A72" s="27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SUM(OSRRefD22_7x_0)</f>
        <v>-687.14999999999964</v>
      </c>
      <c r="E72" s="1"/>
      <c r="F72" s="5">
        <f t="shared" si="30"/>
        <v>-1.8527436190016018E-2</v>
      </c>
      <c r="G72" s="1"/>
      <c r="H72" s="1">
        <f>SUM(OSRRefH22_7x_0)</f>
        <v>-2800</v>
      </c>
      <c r="I72" s="1"/>
      <c r="J72" s="5">
        <f t="shared" si="31"/>
        <v>-5.4474708171206226E-2</v>
      </c>
      <c r="K72" s="1"/>
      <c r="L72" s="1">
        <f t="shared" si="32"/>
        <v>2112.8500000000004</v>
      </c>
      <c r="M72" s="1"/>
      <c r="N72" s="5">
        <f t="shared" si="33"/>
        <v>-0.75458928571428585</v>
      </c>
      <c r="O72" s="13"/>
      <c r="P72" s="1">
        <f>SUM(OSRRefP22_7x_0)</f>
        <v>-5884.3200000000033</v>
      </c>
      <c r="Q72" s="1"/>
      <c r="R72" s="5">
        <f t="shared" si="34"/>
        <v>-1.9127005642224835E-2</v>
      </c>
      <c r="S72" s="1"/>
      <c r="T72" s="1">
        <f>SUM(OSRRefT22_7x_0)</f>
        <v>-44300</v>
      </c>
      <c r="U72" s="1"/>
      <c r="V72" s="5">
        <f t="shared" si="35"/>
        <v>-0.12439889079995788</v>
      </c>
      <c r="W72" s="1"/>
      <c r="X72" s="1">
        <f t="shared" si="36"/>
        <v>38415.679999999993</v>
      </c>
      <c r="Y72" s="1"/>
      <c r="Z72" s="5">
        <f t="shared" si="37"/>
        <v>-0.86717110609480796</v>
      </c>
    </row>
    <row r="73" spans="1:26" s="24" customFormat="1" hidden="1" outlineLevel="2" x14ac:dyDescent="0.25">
      <c r="A73" s="26"/>
      <c r="B73" s="11" t="str">
        <f>CONCATENATE("          ", "6305", " - ", "FREIGHT OUT")</f>
        <v xml:space="preserve">          6305 - FREIGHT OUT</v>
      </c>
      <c r="C73" s="11"/>
      <c r="D73" s="6">
        <v>3419.09</v>
      </c>
      <c r="E73" s="2"/>
      <c r="F73" s="7">
        <f t="shared" si="30"/>
        <v>9.2187981958701745E-2</v>
      </c>
      <c r="G73" s="2"/>
      <c r="H73" s="6">
        <v>-2800</v>
      </c>
      <c r="I73" s="2"/>
      <c r="J73" s="7">
        <f t="shared" si="31"/>
        <v>-5.4474708171206226E-2</v>
      </c>
      <c r="K73" s="2"/>
      <c r="L73" s="6">
        <f t="shared" si="32"/>
        <v>6219.09</v>
      </c>
      <c r="M73" s="2"/>
      <c r="N73" s="7">
        <f t="shared" si="33"/>
        <v>-2.2211035714285714</v>
      </c>
      <c r="O73" s="11"/>
      <c r="P73" s="6">
        <v>22684.91</v>
      </c>
      <c r="Q73" s="2"/>
      <c r="R73" s="7">
        <f t="shared" si="34"/>
        <v>7.3737390482394291E-2</v>
      </c>
      <c r="S73" s="2"/>
      <c r="T73" s="6">
        <v>-44300</v>
      </c>
      <c r="U73" s="2"/>
      <c r="V73" s="7">
        <f t="shared" si="35"/>
        <v>-0.12439889079995788</v>
      </c>
      <c r="W73" s="2"/>
      <c r="X73" s="6">
        <f t="shared" si="36"/>
        <v>66984.91</v>
      </c>
      <c r="Y73" s="2"/>
      <c r="Z73" s="7">
        <f t="shared" si="37"/>
        <v>-1.5120747178329572</v>
      </c>
    </row>
    <row r="74" spans="1:26" s="24" customFormat="1" hidden="1" outlineLevel="2" x14ac:dyDescent="0.25">
      <c r="A74" s="26"/>
      <c r="B74" s="11" t="str">
        <f>CONCATENATE("          ", "6307", " - ", "POSTAGE")</f>
        <v xml:space="preserve">          6307 - POSTAGE</v>
      </c>
      <c r="C74" s="11"/>
      <c r="D74" s="6">
        <v>-4106.24</v>
      </c>
      <c r="E74" s="2"/>
      <c r="F74" s="7">
        <f t="shared" si="30"/>
        <v>-0.11071541814871776</v>
      </c>
      <c r="G74" s="2"/>
      <c r="H74" s="6"/>
      <c r="I74" s="2"/>
      <c r="J74" s="7">
        <f t="shared" si="31"/>
        <v>0</v>
      </c>
      <c r="K74" s="2"/>
      <c r="L74" s="6">
        <f t="shared" si="32"/>
        <v>-4106.24</v>
      </c>
      <c r="M74" s="2"/>
      <c r="N74" s="7">
        <f t="shared" si="33"/>
        <v>0</v>
      </c>
      <c r="O74" s="11"/>
      <c r="P74" s="6">
        <v>-28569.230000000003</v>
      </c>
      <c r="Q74" s="2"/>
      <c r="R74" s="7">
        <f t="shared" si="34"/>
        <v>-9.2864396124619122E-2</v>
      </c>
      <c r="S74" s="2"/>
      <c r="T74" s="6"/>
      <c r="U74" s="2"/>
      <c r="V74" s="7">
        <f t="shared" si="35"/>
        <v>0</v>
      </c>
      <c r="W74" s="2"/>
      <c r="X74" s="6">
        <f t="shared" si="36"/>
        <v>-28569.230000000003</v>
      </c>
      <c r="Y74" s="2"/>
      <c r="Z74" s="7">
        <f t="shared" si="37"/>
        <v>0</v>
      </c>
    </row>
    <row r="75" spans="1:26" s="25" customFormat="1" outlineLevel="1" collapsed="1" x14ac:dyDescent="0.25">
      <c r="A75" s="27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SUM(OSRRefD22_8x_0)</f>
        <v>75</v>
      </c>
      <c r="E75" s="1"/>
      <c r="F75" s="5">
        <f t="shared" ref="F75:F81" si="38">IF(D$12=0,0,D75/D$12)</f>
        <v>2.0222043429399725E-3</v>
      </c>
      <c r="G75" s="1"/>
      <c r="H75" s="1">
        <f>SUM(OSRRefH22_8x_0)</f>
        <v>300</v>
      </c>
      <c r="I75" s="1"/>
      <c r="J75" s="5">
        <f t="shared" ref="J75:J81" si="39">IF(H$12=0,0,H75/H$12)</f>
        <v>5.8365758754863814E-3</v>
      </c>
      <c r="K75" s="1"/>
      <c r="L75" s="1">
        <f t="shared" ref="L75:L81" si="40">+D75-H75</f>
        <v>-225</v>
      </c>
      <c r="M75" s="1"/>
      <c r="N75" s="5">
        <f t="shared" ref="N75:N81" si="41">IF(H75=0,0,L75/H75)</f>
        <v>-0.75</v>
      </c>
      <c r="O75" s="13"/>
      <c r="P75" s="1">
        <f>SUM(OSRRefP22_8x_0)</f>
        <v>155.16999999999999</v>
      </c>
      <c r="Q75" s="1"/>
      <c r="R75" s="5">
        <f t="shared" ref="R75:R81" si="42">IF(P$12=0,0,P75/P$12)</f>
        <v>5.0438070422819043E-4</v>
      </c>
      <c r="S75" s="1"/>
      <c r="T75" s="1">
        <f>SUM(OSRRefT22_8x_0)</f>
        <v>1700</v>
      </c>
      <c r="U75" s="1"/>
      <c r="V75" s="5">
        <f t="shared" ref="V75:V81" si="43">IF(T$12=0,0,T75/T$12)</f>
        <v>4.7737723331812282E-3</v>
      </c>
      <c r="W75" s="1"/>
      <c r="X75" s="1">
        <f t="shared" ref="X75:X81" si="44">+P75-T75</f>
        <v>-1544.83</v>
      </c>
      <c r="Y75" s="1"/>
      <c r="Z75" s="5">
        <f t="shared" ref="Z75:Z81" si="45">IF(T75=0,0,X75/T75)</f>
        <v>-0.90872352941176471</v>
      </c>
    </row>
    <row r="76" spans="1:26" s="24" customFormat="1" hidden="1" outlineLevel="2" x14ac:dyDescent="0.25">
      <c r="A76" s="26"/>
      <c r="B76" s="11" t="str">
        <f>CONCATENATE("          ", "6279", " - ", "GENERAL EXPENSE")</f>
        <v xml:space="preserve">          6279 - GENERAL EXPENSE</v>
      </c>
      <c r="C76" s="11"/>
      <c r="D76" s="6">
        <v>75</v>
      </c>
      <c r="E76" s="2"/>
      <c r="F76" s="7">
        <f t="shared" si="38"/>
        <v>2.0222043429399725E-3</v>
      </c>
      <c r="G76" s="2"/>
      <c r="H76" s="6">
        <v>300</v>
      </c>
      <c r="I76" s="2"/>
      <c r="J76" s="7">
        <f t="shared" si="39"/>
        <v>5.8365758754863814E-3</v>
      </c>
      <c r="K76" s="2"/>
      <c r="L76" s="6">
        <f t="shared" si="40"/>
        <v>-225</v>
      </c>
      <c r="M76" s="2"/>
      <c r="N76" s="7">
        <f t="shared" si="41"/>
        <v>-0.75</v>
      </c>
      <c r="O76" s="11"/>
      <c r="P76" s="6">
        <v>155.16999999999999</v>
      </c>
      <c r="Q76" s="2"/>
      <c r="R76" s="7">
        <f t="shared" si="42"/>
        <v>5.0438070422819043E-4</v>
      </c>
      <c r="S76" s="2"/>
      <c r="T76" s="6">
        <v>1700</v>
      </c>
      <c r="U76" s="2"/>
      <c r="V76" s="7">
        <f t="shared" si="43"/>
        <v>4.7737723331812282E-3</v>
      </c>
      <c r="W76" s="2"/>
      <c r="X76" s="6">
        <f t="shared" si="44"/>
        <v>-1544.83</v>
      </c>
      <c r="Y76" s="2"/>
      <c r="Z76" s="7">
        <f t="shared" si="45"/>
        <v>-0.90872352941176471</v>
      </c>
    </row>
    <row r="77" spans="1:26" s="25" customFormat="1" outlineLevel="1" collapsed="1" x14ac:dyDescent="0.25">
      <c r="A77" s="27"/>
      <c r="B77" s="13" t="str">
        <f>CONCATENATE("     ","Inventory Adjustment                              ")</f>
        <v xml:space="preserve">     Inventory Adjustment                              </v>
      </c>
      <c r="C77" s="13"/>
      <c r="D77" s="1">
        <f>SUM(OSRRefD22_9x_0)</f>
        <v>100</v>
      </c>
      <c r="E77" s="1"/>
      <c r="F77" s="5">
        <f t="shared" si="38"/>
        <v>2.6962724572532964E-3</v>
      </c>
      <c r="G77" s="1"/>
      <c r="H77" s="1">
        <f>SUM(OSRRefH22_9x_0)</f>
        <v>100</v>
      </c>
      <c r="I77" s="1"/>
      <c r="J77" s="5">
        <f t="shared" si="39"/>
        <v>1.9455252918287938E-3</v>
      </c>
      <c r="K77" s="1"/>
      <c r="L77" s="1">
        <f t="shared" si="40"/>
        <v>0</v>
      </c>
      <c r="M77" s="1"/>
      <c r="N77" s="5">
        <f t="shared" si="41"/>
        <v>0</v>
      </c>
      <c r="O77" s="13"/>
      <c r="P77" s="1">
        <f>SUM(OSRRefP22_9x_0)</f>
        <v>500</v>
      </c>
      <c r="Q77" s="1"/>
      <c r="R77" s="5">
        <f t="shared" si="42"/>
        <v>1.6252519953218745E-3</v>
      </c>
      <c r="S77" s="1"/>
      <c r="T77" s="1">
        <f>SUM(OSRRefT22_9x_0)</f>
        <v>500</v>
      </c>
      <c r="U77" s="1"/>
      <c r="V77" s="5">
        <f t="shared" si="43"/>
        <v>1.4040506862297729E-3</v>
      </c>
      <c r="W77" s="1"/>
      <c r="X77" s="1">
        <f t="shared" si="44"/>
        <v>0</v>
      </c>
      <c r="Y77" s="1"/>
      <c r="Z77" s="5">
        <f t="shared" si="45"/>
        <v>0</v>
      </c>
    </row>
    <row r="78" spans="1:26" s="24" customFormat="1" hidden="1" outlineLevel="2" x14ac:dyDescent="0.25">
      <c r="A78" s="26"/>
      <c r="B78" s="11" t="str">
        <f>CONCATENATE("          ", "6408", " - ", "INVENTORY ADJUSTMENT")</f>
        <v xml:space="preserve">          6408 - INVENTORY ADJUSTMENT</v>
      </c>
      <c r="C78" s="11"/>
      <c r="D78" s="6">
        <v>100</v>
      </c>
      <c r="E78" s="2"/>
      <c r="F78" s="7">
        <f t="shared" si="38"/>
        <v>2.6962724572532964E-3</v>
      </c>
      <c r="G78" s="2"/>
      <c r="H78" s="6">
        <v>100</v>
      </c>
      <c r="I78" s="2"/>
      <c r="J78" s="7">
        <f t="shared" si="39"/>
        <v>1.9455252918287938E-3</v>
      </c>
      <c r="K78" s="2"/>
      <c r="L78" s="6">
        <f t="shared" si="40"/>
        <v>0</v>
      </c>
      <c r="M78" s="2"/>
      <c r="N78" s="7">
        <f t="shared" si="41"/>
        <v>0</v>
      </c>
      <c r="O78" s="11"/>
      <c r="P78" s="6">
        <v>500</v>
      </c>
      <c r="Q78" s="2"/>
      <c r="R78" s="7">
        <f t="shared" si="42"/>
        <v>1.6252519953218745E-3</v>
      </c>
      <c r="S78" s="2"/>
      <c r="T78" s="6">
        <v>500</v>
      </c>
      <c r="U78" s="2"/>
      <c r="V78" s="7">
        <f t="shared" si="43"/>
        <v>1.4040506862297729E-3</v>
      </c>
      <c r="W78" s="2"/>
      <c r="X78" s="6">
        <f t="shared" si="44"/>
        <v>0</v>
      </c>
      <c r="Y78" s="2"/>
      <c r="Z78" s="7">
        <f t="shared" si="45"/>
        <v>0</v>
      </c>
    </row>
    <row r="79" spans="1:26" s="25" customFormat="1" outlineLevel="1" collapsed="1" x14ac:dyDescent="0.25">
      <c r="A79" s="27"/>
      <c r="B79" s="13" t="str">
        <f>CONCATENATE("     ","Repair and Maintenance                            ")</f>
        <v xml:space="preserve">     Repair and Maintenance                            </v>
      </c>
      <c r="C79" s="13"/>
      <c r="D79" s="1">
        <f>SUM(OSRRefD22_10x_0)</f>
        <v>7066.2099999999991</v>
      </c>
      <c r="E79" s="1"/>
      <c r="F79" s="5">
        <f t="shared" si="38"/>
        <v>0.19052427400167815</v>
      </c>
      <c r="G79" s="1"/>
      <c r="H79" s="1">
        <f>SUM(OSRRefH22_10x_0)</f>
        <v>7000</v>
      </c>
      <c r="I79" s="1"/>
      <c r="J79" s="5">
        <f t="shared" si="39"/>
        <v>0.13618677042801555</v>
      </c>
      <c r="K79" s="1"/>
      <c r="L79" s="1">
        <f t="shared" si="40"/>
        <v>66.209999999999127</v>
      </c>
      <c r="M79" s="1"/>
      <c r="N79" s="5">
        <f t="shared" si="41"/>
        <v>9.4585714285713041E-3</v>
      </c>
      <c r="O79" s="13"/>
      <c r="P79" s="1">
        <f>SUM(OSRRefP22_10x_0)</f>
        <v>36516.17</v>
      </c>
      <c r="Q79" s="1"/>
      <c r="R79" s="5">
        <f t="shared" si="42"/>
        <v>0.11869595630802554</v>
      </c>
      <c r="S79" s="1"/>
      <c r="T79" s="1">
        <f>SUM(OSRRefT22_10x_0)</f>
        <v>42000</v>
      </c>
      <c r="U79" s="1"/>
      <c r="V79" s="5">
        <f t="shared" si="43"/>
        <v>0.11794025764330092</v>
      </c>
      <c r="W79" s="1"/>
      <c r="X79" s="1">
        <f t="shared" si="44"/>
        <v>-5483.8300000000017</v>
      </c>
      <c r="Y79" s="1"/>
      <c r="Z79" s="5">
        <f t="shared" si="45"/>
        <v>-0.13056738095238099</v>
      </c>
    </row>
    <row r="80" spans="1:26" s="24" customFormat="1" hidden="1" outlineLevel="2" x14ac:dyDescent="0.25">
      <c r="A80" s="26"/>
      <c r="B80" s="11" t="str">
        <f>CONCATENATE("          ", "6373", " - ", "MAINTENANCE CONTRACTS")</f>
        <v xml:space="preserve">          6373 - MAINTENANCE CONTRACTS</v>
      </c>
      <c r="C80" s="11"/>
      <c r="D80" s="6">
        <v>6696.73</v>
      </c>
      <c r="E80" s="2"/>
      <c r="F80" s="7">
        <f t="shared" si="38"/>
        <v>0.18056208652661868</v>
      </c>
      <c r="G80" s="2"/>
      <c r="H80" s="6">
        <v>7000</v>
      </c>
      <c r="I80" s="2"/>
      <c r="J80" s="7">
        <f t="shared" si="39"/>
        <v>0.13618677042801555</v>
      </c>
      <c r="K80" s="2"/>
      <c r="L80" s="6">
        <f t="shared" si="40"/>
        <v>-303.27000000000044</v>
      </c>
      <c r="M80" s="2"/>
      <c r="N80" s="7">
        <f t="shared" si="41"/>
        <v>-4.3324285714285773E-2</v>
      </c>
      <c r="O80" s="11"/>
      <c r="P80" s="6">
        <v>36146.689999999995</v>
      </c>
      <c r="Q80" s="2"/>
      <c r="R80" s="7">
        <f t="shared" si="42"/>
        <v>0.11749496009356247</v>
      </c>
      <c r="S80" s="2"/>
      <c r="T80" s="6">
        <v>42000</v>
      </c>
      <c r="U80" s="2"/>
      <c r="V80" s="7">
        <f t="shared" si="43"/>
        <v>0.11794025764330092</v>
      </c>
      <c r="W80" s="2"/>
      <c r="X80" s="6">
        <f t="shared" si="44"/>
        <v>-5853.3100000000049</v>
      </c>
      <c r="Y80" s="2"/>
      <c r="Z80" s="7">
        <f t="shared" si="45"/>
        <v>-0.13936452380952394</v>
      </c>
    </row>
    <row r="81" spans="1:26" s="24" customFormat="1" hidden="1" outlineLevel="2" x14ac:dyDescent="0.25">
      <c r="A81" s="26"/>
      <c r="B81" s="11" t="str">
        <f>CONCATENATE("          ", "6375", " - ", "OUTSIDE REPAIRS &amp; MAINTENANCE")</f>
        <v xml:space="preserve">          6375 - OUTSIDE REPAIRS &amp; MAINTENANCE</v>
      </c>
      <c r="C81" s="11"/>
      <c r="D81" s="6">
        <v>369.48</v>
      </c>
      <c r="E81" s="2"/>
      <c r="F81" s="7">
        <f t="shared" si="38"/>
        <v>9.9621874750594804E-3</v>
      </c>
      <c r="G81" s="2"/>
      <c r="H81" s="6"/>
      <c r="I81" s="2"/>
      <c r="J81" s="7">
        <f t="shared" si="39"/>
        <v>0</v>
      </c>
      <c r="K81" s="2"/>
      <c r="L81" s="6">
        <f t="shared" si="40"/>
        <v>369.48</v>
      </c>
      <c r="M81" s="2"/>
      <c r="N81" s="7">
        <f t="shared" si="41"/>
        <v>0</v>
      </c>
      <c r="O81" s="11"/>
      <c r="P81" s="6">
        <v>369.48</v>
      </c>
      <c r="Q81" s="2"/>
      <c r="R81" s="7">
        <f t="shared" si="42"/>
        <v>1.2009962144630523E-3</v>
      </c>
      <c r="S81" s="2"/>
      <c r="T81" s="6"/>
      <c r="U81" s="2"/>
      <c r="V81" s="7">
        <f t="shared" si="43"/>
        <v>0</v>
      </c>
      <c r="W81" s="2"/>
      <c r="X81" s="6">
        <f t="shared" si="44"/>
        <v>369.48</v>
      </c>
      <c r="Y81" s="2"/>
      <c r="Z81" s="7">
        <f t="shared" si="45"/>
        <v>0</v>
      </c>
    </row>
    <row r="82" spans="1:26" s="25" customFormat="1" outlineLevel="1" collapsed="1" x14ac:dyDescent="0.25">
      <c r="A82" s="27"/>
      <c r="B82" s="13" t="str">
        <f>CONCATENATE("     ","Royalty &amp; Commissions                             ")</f>
        <v xml:space="preserve">     Royalty &amp; Commissions                             </v>
      </c>
      <c r="C82" s="13"/>
      <c r="D82" s="1">
        <f>SUM(OSRRefD22_11x_0)</f>
        <v>12692.3</v>
      </c>
      <c r="E82" s="1"/>
      <c r="F82" s="5">
        <f t="shared" ref="F82:F84" si="46">IF(D$12=0,0,D82/D$12)</f>
        <v>0.34221898909196014</v>
      </c>
      <c r="G82" s="1"/>
      <c r="H82" s="1">
        <f>SUM(OSRRefH22_11x_0)</f>
        <v>11000</v>
      </c>
      <c r="I82" s="1"/>
      <c r="J82" s="5">
        <f t="shared" ref="J82:J84" si="47">IF(H$12=0,0,H82/H$12)</f>
        <v>0.2140077821011673</v>
      </c>
      <c r="K82" s="1"/>
      <c r="L82" s="1">
        <f t="shared" ref="L82:L84" si="48">+D82-H82</f>
        <v>1692.2999999999993</v>
      </c>
      <c r="M82" s="1"/>
      <c r="N82" s="5">
        <f t="shared" ref="N82:N84" si="49">IF(H82=0,0,L82/H82)</f>
        <v>0.15384545454545448</v>
      </c>
      <c r="O82" s="13"/>
      <c r="P82" s="1">
        <f>SUM(OSRRefP22_11x_0)</f>
        <v>56559.98</v>
      </c>
      <c r="Q82" s="1"/>
      <c r="R82" s="5">
        <f t="shared" ref="R82:R84" si="50">IF(P$12=0,0,P82/P$12)</f>
        <v>0.18384844070073064</v>
      </c>
      <c r="S82" s="1"/>
      <c r="T82" s="1">
        <f>SUM(OSRRefT22_11x_0)</f>
        <v>66000</v>
      </c>
      <c r="U82" s="1"/>
      <c r="V82" s="5">
        <f t="shared" ref="V82:V84" si="51">IF(T$12=0,0,T82/T$12)</f>
        <v>0.18533469058233001</v>
      </c>
      <c r="W82" s="1"/>
      <c r="X82" s="1">
        <f t="shared" ref="X82:X84" si="52">+P82-T82</f>
        <v>-9440.0199999999968</v>
      </c>
      <c r="Y82" s="1"/>
      <c r="Z82" s="5">
        <f t="shared" ref="Z82:Z84" si="53">IF(T82=0,0,X82/T82)</f>
        <v>-0.14303060606060602</v>
      </c>
    </row>
    <row r="83" spans="1:26" s="24" customFormat="1" hidden="1" outlineLevel="2" x14ac:dyDescent="0.25">
      <c r="A83" s="26"/>
      <c r="B83" s="11" t="str">
        <f>CONCATENATE("          ", "6254", " - ", "ROYALTY &amp; COMMISSIONS")</f>
        <v xml:space="preserve">          6254 - ROYALTY &amp; COMMISSIONS</v>
      </c>
      <c r="C83" s="11"/>
      <c r="D83" s="6"/>
      <c r="E83" s="2"/>
      <c r="F83" s="7">
        <f t="shared" si="46"/>
        <v>0</v>
      </c>
      <c r="G83" s="2"/>
      <c r="H83" s="6">
        <v>11000</v>
      </c>
      <c r="I83" s="2"/>
      <c r="J83" s="7">
        <f t="shared" si="47"/>
        <v>0.2140077821011673</v>
      </c>
      <c r="K83" s="2"/>
      <c r="L83" s="6">
        <f t="shared" si="48"/>
        <v>-11000</v>
      </c>
      <c r="M83" s="2"/>
      <c r="N83" s="7">
        <f t="shared" si="49"/>
        <v>-1</v>
      </c>
      <c r="O83" s="11"/>
      <c r="P83" s="6"/>
      <c r="Q83" s="2"/>
      <c r="R83" s="7">
        <f t="shared" si="50"/>
        <v>0</v>
      </c>
      <c r="S83" s="2"/>
      <c r="T83" s="6">
        <v>66000</v>
      </c>
      <c r="U83" s="2"/>
      <c r="V83" s="7">
        <f t="shared" si="51"/>
        <v>0.18533469058233001</v>
      </c>
      <c r="W83" s="2"/>
      <c r="X83" s="6">
        <f t="shared" si="52"/>
        <v>-66000</v>
      </c>
      <c r="Y83" s="2"/>
      <c r="Z83" s="7">
        <f t="shared" si="53"/>
        <v>-1</v>
      </c>
    </row>
    <row r="84" spans="1:26" s="24" customFormat="1" hidden="1" outlineLevel="2" x14ac:dyDescent="0.25">
      <c r="A84" s="26"/>
      <c r="B84" s="11" t="str">
        <f>CONCATENATE("          ", "6259", " - ", "ROYALTY &amp; COMMISSIONS")</f>
        <v xml:space="preserve">          6259 - ROYALTY &amp; COMMISSIONS</v>
      </c>
      <c r="C84" s="11"/>
      <c r="D84" s="6">
        <v>12692.3</v>
      </c>
      <c r="E84" s="2"/>
      <c r="F84" s="7">
        <f t="shared" si="46"/>
        <v>0.34221898909196014</v>
      </c>
      <c r="G84" s="2"/>
      <c r="H84" s="6"/>
      <c r="I84" s="2"/>
      <c r="J84" s="7">
        <f t="shared" si="47"/>
        <v>0</v>
      </c>
      <c r="K84" s="2"/>
      <c r="L84" s="6">
        <f t="shared" si="48"/>
        <v>12692.3</v>
      </c>
      <c r="M84" s="2"/>
      <c r="N84" s="7">
        <f t="shared" si="49"/>
        <v>0</v>
      </c>
      <c r="O84" s="11"/>
      <c r="P84" s="6">
        <v>56559.98</v>
      </c>
      <c r="Q84" s="2"/>
      <c r="R84" s="7">
        <f t="shared" si="50"/>
        <v>0.18384844070073064</v>
      </c>
      <c r="S84" s="2"/>
      <c r="T84" s="6"/>
      <c r="U84" s="2"/>
      <c r="V84" s="7">
        <f t="shared" si="51"/>
        <v>0</v>
      </c>
      <c r="W84" s="2"/>
      <c r="X84" s="6">
        <f t="shared" si="52"/>
        <v>56559.98</v>
      </c>
      <c r="Y84" s="2"/>
      <c r="Z84" s="7">
        <f t="shared" si="53"/>
        <v>0</v>
      </c>
    </row>
    <row r="85" spans="1:26" s="25" customFormat="1" outlineLevel="1" collapsed="1" x14ac:dyDescent="0.25">
      <c r="A85" s="27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SUM(OSRRefD22_12x_0)</f>
        <v>4290.18</v>
      </c>
      <c r="E85" s="1"/>
      <c r="F85" s="5">
        <f t="shared" ref="F85:F90" si="54">IF(D$12=0,0,D85/D$12)</f>
        <v>0.11567494170658948</v>
      </c>
      <c r="G85" s="1"/>
      <c r="H85" s="1">
        <f>SUM(OSRRefH22_12x_0)</f>
        <v>10700</v>
      </c>
      <c r="I85" s="1"/>
      <c r="J85" s="5">
        <f t="shared" ref="J85:J90" si="55">IF(H$12=0,0,H85/H$12)</f>
        <v>0.20817120622568094</v>
      </c>
      <c r="K85" s="1"/>
      <c r="L85" s="1">
        <f t="shared" ref="L85:L90" si="56">+D85-H85</f>
        <v>-6409.82</v>
      </c>
      <c r="M85" s="1"/>
      <c r="N85" s="5">
        <f t="shared" ref="N85:N90" si="57">IF(H85=0,0,L85/H85)</f>
        <v>-0.5990485981308411</v>
      </c>
      <c r="O85" s="13"/>
      <c r="P85" s="1">
        <f>SUM(OSRRefP22_12x_0)</f>
        <v>23448.54</v>
      </c>
      <c r="Q85" s="1"/>
      <c r="R85" s="5">
        <f t="shared" ref="R85:R90" si="58">IF(P$12=0,0,P85/P$12)</f>
        <v>7.6219572844769573E-2</v>
      </c>
      <c r="S85" s="1"/>
      <c r="T85" s="1">
        <f>SUM(OSRRefT22_12x_0)</f>
        <v>44700</v>
      </c>
      <c r="U85" s="1"/>
      <c r="V85" s="5">
        <f t="shared" ref="V85:V90" si="59">IF(T$12=0,0,T85/T$12)</f>
        <v>0.12552213134894169</v>
      </c>
      <c r="W85" s="1"/>
      <c r="X85" s="1">
        <f t="shared" ref="X85:X90" si="60">+P85-T85</f>
        <v>-21251.46</v>
      </c>
      <c r="Y85" s="1"/>
      <c r="Z85" s="5">
        <f t="shared" ref="Z85:Z90" si="61">IF(T85=0,0,X85/T85)</f>
        <v>-0.47542416107382546</v>
      </c>
    </row>
    <row r="86" spans="1:26" s="24" customFormat="1" hidden="1" outlineLevel="2" x14ac:dyDescent="0.25">
      <c r="A86" s="26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54"/>
        <v>0</v>
      </c>
      <c r="G86" s="2"/>
      <c r="H86" s="6"/>
      <c r="I86" s="2"/>
      <c r="J86" s="7">
        <f t="shared" si="55"/>
        <v>0</v>
      </c>
      <c r="K86" s="2"/>
      <c r="L86" s="6">
        <f t="shared" si="56"/>
        <v>0</v>
      </c>
      <c r="M86" s="2"/>
      <c r="N86" s="7">
        <f t="shared" si="57"/>
        <v>0</v>
      </c>
      <c r="O86" s="11"/>
      <c r="P86" s="6">
        <v>1017.27</v>
      </c>
      <c r="Q86" s="2"/>
      <c r="R86" s="7">
        <f t="shared" si="58"/>
        <v>3.3066401945621663E-3</v>
      </c>
      <c r="S86" s="2"/>
      <c r="T86" s="6"/>
      <c r="U86" s="2"/>
      <c r="V86" s="7">
        <f t="shared" si="59"/>
        <v>0</v>
      </c>
      <c r="W86" s="2"/>
      <c r="X86" s="6">
        <f t="shared" si="60"/>
        <v>1017.27</v>
      </c>
      <c r="Y86" s="2"/>
      <c r="Z86" s="7">
        <f t="shared" si="61"/>
        <v>0</v>
      </c>
    </row>
    <row r="87" spans="1:26" s="24" customFormat="1" hidden="1" outlineLevel="2" x14ac:dyDescent="0.25">
      <c r="A87" s="26"/>
      <c r="B87" s="11" t="str">
        <f>CONCATENATE("          ", "6241", " - ", "OFFICE EXPENSE")</f>
        <v xml:space="preserve">          6241 - OFFICE EXPENSE</v>
      </c>
      <c r="C87" s="11"/>
      <c r="D87" s="6">
        <v>54.4</v>
      </c>
      <c r="E87" s="2"/>
      <c r="F87" s="7">
        <f t="shared" si="54"/>
        <v>1.4667722167457933E-3</v>
      </c>
      <c r="G87" s="2"/>
      <c r="H87" s="6"/>
      <c r="I87" s="2"/>
      <c r="J87" s="7">
        <f t="shared" si="55"/>
        <v>0</v>
      </c>
      <c r="K87" s="2"/>
      <c r="L87" s="6">
        <f t="shared" si="56"/>
        <v>54.4</v>
      </c>
      <c r="M87" s="2"/>
      <c r="N87" s="7">
        <f t="shared" si="57"/>
        <v>0</v>
      </c>
      <c r="O87" s="11"/>
      <c r="P87" s="6">
        <v>169.42</v>
      </c>
      <c r="Q87" s="2"/>
      <c r="R87" s="7">
        <f t="shared" si="58"/>
        <v>5.5070038609486387E-4</v>
      </c>
      <c r="S87" s="2"/>
      <c r="T87" s="6"/>
      <c r="U87" s="2"/>
      <c r="V87" s="7">
        <f t="shared" si="59"/>
        <v>0</v>
      </c>
      <c r="W87" s="2"/>
      <c r="X87" s="6">
        <f t="shared" si="60"/>
        <v>169.42</v>
      </c>
      <c r="Y87" s="2"/>
      <c r="Z87" s="7">
        <f t="shared" si="61"/>
        <v>0</v>
      </c>
    </row>
    <row r="88" spans="1:26" s="24" customFormat="1" hidden="1" outlineLevel="2" x14ac:dyDescent="0.25">
      <c r="A88" s="26"/>
      <c r="B88" s="11" t="str">
        <f>CONCATENATE("          ", "6243", " - ", "PAPER SUPPLIES")</f>
        <v xml:space="preserve">          6243 - PAPER SUPPLIES</v>
      </c>
      <c r="C88" s="11"/>
      <c r="D88" s="6">
        <v>3229.02</v>
      </c>
      <c r="E88" s="2"/>
      <c r="F88" s="7">
        <f t="shared" si="54"/>
        <v>8.7063176899200401E-2</v>
      </c>
      <c r="G88" s="2"/>
      <c r="H88" s="6">
        <v>250</v>
      </c>
      <c r="I88" s="2"/>
      <c r="J88" s="7">
        <f t="shared" si="55"/>
        <v>4.8638132295719845E-3</v>
      </c>
      <c r="K88" s="2"/>
      <c r="L88" s="6">
        <f t="shared" si="56"/>
        <v>2979.02</v>
      </c>
      <c r="M88" s="2"/>
      <c r="N88" s="7">
        <f t="shared" si="57"/>
        <v>11.916079999999999</v>
      </c>
      <c r="O88" s="11"/>
      <c r="P88" s="6">
        <v>9558.5</v>
      </c>
      <c r="Q88" s="2"/>
      <c r="R88" s="7">
        <f t="shared" si="58"/>
        <v>3.1069942394568274E-2</v>
      </c>
      <c r="S88" s="2"/>
      <c r="T88" s="6">
        <v>1500</v>
      </c>
      <c r="U88" s="2"/>
      <c r="V88" s="7">
        <f t="shared" si="59"/>
        <v>4.2121520586893184E-3</v>
      </c>
      <c r="W88" s="2"/>
      <c r="X88" s="6">
        <f t="shared" si="60"/>
        <v>8058.5</v>
      </c>
      <c r="Y88" s="2"/>
      <c r="Z88" s="7">
        <f t="shared" si="61"/>
        <v>5.3723333333333336</v>
      </c>
    </row>
    <row r="89" spans="1:26" s="24" customFormat="1" hidden="1" outlineLevel="2" x14ac:dyDescent="0.25">
      <c r="A89" s="26"/>
      <c r="B89" s="11" t="str">
        <f>CONCATENATE("          ", "6245", " - ", "PRINTING")</f>
        <v xml:space="preserve">          6245 - PRINTING</v>
      </c>
      <c r="C89" s="11"/>
      <c r="D89" s="6">
        <v>748.76</v>
      </c>
      <c r="E89" s="2"/>
      <c r="F89" s="7">
        <f t="shared" si="54"/>
        <v>2.0188609650929782E-2</v>
      </c>
      <c r="G89" s="2"/>
      <c r="H89" s="6"/>
      <c r="I89" s="2"/>
      <c r="J89" s="7">
        <f t="shared" si="55"/>
        <v>0</v>
      </c>
      <c r="K89" s="2"/>
      <c r="L89" s="6">
        <f t="shared" si="56"/>
        <v>748.76</v>
      </c>
      <c r="M89" s="2"/>
      <c r="N89" s="7">
        <f t="shared" si="57"/>
        <v>0</v>
      </c>
      <c r="O89" s="11"/>
      <c r="P89" s="6">
        <v>1213.18</v>
      </c>
      <c r="Q89" s="2"/>
      <c r="R89" s="7">
        <f t="shared" si="58"/>
        <v>3.9434464313691832E-3</v>
      </c>
      <c r="S89" s="2"/>
      <c r="T89" s="6"/>
      <c r="U89" s="2"/>
      <c r="V89" s="7">
        <f t="shared" si="59"/>
        <v>0</v>
      </c>
      <c r="W89" s="2"/>
      <c r="X89" s="6">
        <f t="shared" si="60"/>
        <v>1213.18</v>
      </c>
      <c r="Y89" s="2"/>
      <c r="Z89" s="7">
        <f t="shared" si="61"/>
        <v>0</v>
      </c>
    </row>
    <row r="90" spans="1:26" s="24" customFormat="1" hidden="1" outlineLevel="2" x14ac:dyDescent="0.25">
      <c r="A90" s="26"/>
      <c r="B90" s="11" t="str">
        <f>CONCATENATE("          ", "6247", " - ", "STORE SUPPLIES")</f>
        <v xml:space="preserve">          6247 - STORE SUPPLIES</v>
      </c>
      <c r="C90" s="11"/>
      <c r="D90" s="6">
        <v>258</v>
      </c>
      <c r="E90" s="2"/>
      <c r="F90" s="7">
        <f t="shared" si="54"/>
        <v>6.9563829397135055E-3</v>
      </c>
      <c r="G90" s="2"/>
      <c r="H90" s="6">
        <v>10450</v>
      </c>
      <c r="I90" s="2"/>
      <c r="J90" s="7">
        <f t="shared" si="55"/>
        <v>0.20330739299610895</v>
      </c>
      <c r="K90" s="2"/>
      <c r="L90" s="6">
        <f t="shared" si="56"/>
        <v>-10192</v>
      </c>
      <c r="M90" s="2"/>
      <c r="N90" s="7">
        <f t="shared" si="57"/>
        <v>-0.97531100478468902</v>
      </c>
      <c r="O90" s="11"/>
      <c r="P90" s="6">
        <v>11490.17</v>
      </c>
      <c r="Q90" s="2"/>
      <c r="R90" s="7">
        <f t="shared" si="58"/>
        <v>3.7348843438175086E-2</v>
      </c>
      <c r="S90" s="2"/>
      <c r="T90" s="6">
        <v>43200</v>
      </c>
      <c r="U90" s="2"/>
      <c r="V90" s="7">
        <f t="shared" si="59"/>
        <v>0.12130997929025238</v>
      </c>
      <c r="W90" s="2"/>
      <c r="X90" s="6">
        <f t="shared" si="60"/>
        <v>-31709.83</v>
      </c>
      <c r="Y90" s="2"/>
      <c r="Z90" s="7">
        <f t="shared" si="61"/>
        <v>-0.73402384259259268</v>
      </c>
    </row>
    <row r="91" spans="1:26" s="25" customFormat="1" outlineLevel="1" collapsed="1" x14ac:dyDescent="0.25">
      <c r="A91" s="27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SUM(OSRRefD22_13x_0)</f>
        <v>196.2</v>
      </c>
      <c r="E91" s="1"/>
      <c r="F91" s="5">
        <f t="shared" ref="F91:F93" si="62">IF(D$12=0,0,D91/D$12)</f>
        <v>5.2900865611309675E-3</v>
      </c>
      <c r="G91" s="1"/>
      <c r="H91" s="1">
        <f>SUM(OSRRefH22_13x_0)</f>
        <v>200</v>
      </c>
      <c r="I91" s="1"/>
      <c r="J91" s="5">
        <f t="shared" ref="J91:J93" si="63">IF(H$12=0,0,H91/H$12)</f>
        <v>3.8910505836575876E-3</v>
      </c>
      <c r="K91" s="1"/>
      <c r="L91" s="1">
        <f t="shared" ref="L91:L93" si="64">+D91-H91</f>
        <v>-3.8000000000000114</v>
      </c>
      <c r="M91" s="1"/>
      <c r="N91" s="5">
        <f t="shared" ref="N91:N93" si="65">IF(H91=0,0,L91/H91)</f>
        <v>-1.9000000000000059E-2</v>
      </c>
      <c r="O91" s="13"/>
      <c r="P91" s="1">
        <f>SUM(OSRRefP22_13x_0)</f>
        <v>1225.8499999999999</v>
      </c>
      <c r="Q91" s="1"/>
      <c r="R91" s="5">
        <f t="shared" ref="R91:R93" si="66">IF(P$12=0,0,P91/P$12)</f>
        <v>3.9846303169306391E-3</v>
      </c>
      <c r="S91" s="1"/>
      <c r="T91" s="1">
        <f>SUM(OSRRefT22_13x_0)</f>
        <v>1200</v>
      </c>
      <c r="U91" s="1"/>
      <c r="V91" s="5">
        <f t="shared" ref="V91:V93" si="67">IF(T$12=0,0,T91/T$12)</f>
        <v>3.3697216469514551E-3</v>
      </c>
      <c r="W91" s="1"/>
      <c r="X91" s="1">
        <f t="shared" ref="X91:X93" si="68">+P91-T91</f>
        <v>25.849999999999909</v>
      </c>
      <c r="Y91" s="1"/>
      <c r="Z91" s="5">
        <f t="shared" ref="Z91:Z93" si="69">IF(T91=0,0,X91/T91)</f>
        <v>2.1541666666666591E-2</v>
      </c>
    </row>
    <row r="92" spans="1:26" s="24" customFormat="1" hidden="1" outlineLevel="2" x14ac:dyDescent="0.25">
      <c r="A92" s="26"/>
      <c r="B92" s="11" t="str">
        <f>CONCATENATE("          ", "6303", " - ", "DATA PHONE LINES")</f>
        <v xml:space="preserve">          6303 - DATA PHONE LINES</v>
      </c>
      <c r="C92" s="11"/>
      <c r="D92" s="6"/>
      <c r="E92" s="2"/>
      <c r="F92" s="7">
        <f t="shared" si="62"/>
        <v>0</v>
      </c>
      <c r="G92" s="2"/>
      <c r="H92" s="6">
        <v>200</v>
      </c>
      <c r="I92" s="2"/>
      <c r="J92" s="7">
        <f t="shared" si="63"/>
        <v>3.8910505836575876E-3</v>
      </c>
      <c r="K92" s="2"/>
      <c r="L92" s="6">
        <f t="shared" si="64"/>
        <v>-200</v>
      </c>
      <c r="M92" s="2"/>
      <c r="N92" s="7">
        <f t="shared" si="65"/>
        <v>-1</v>
      </c>
      <c r="O92" s="11"/>
      <c r="P92" s="6"/>
      <c r="Q92" s="2"/>
      <c r="R92" s="7">
        <f t="shared" si="66"/>
        <v>0</v>
      </c>
      <c r="S92" s="2"/>
      <c r="T92" s="6">
        <v>1200</v>
      </c>
      <c r="U92" s="2"/>
      <c r="V92" s="7">
        <f t="shared" si="67"/>
        <v>3.3697216469514551E-3</v>
      </c>
      <c r="W92" s="2"/>
      <c r="X92" s="6">
        <f t="shared" si="68"/>
        <v>-1200</v>
      </c>
      <c r="Y92" s="2"/>
      <c r="Z92" s="7">
        <f t="shared" si="69"/>
        <v>-1</v>
      </c>
    </row>
    <row r="93" spans="1:26" s="24" customFormat="1" hidden="1" outlineLevel="2" x14ac:dyDescent="0.25">
      <c r="A93" s="26"/>
      <c r="B93" s="11" t="str">
        <f>CONCATENATE("          ", "6309", " - ", "TELEPHONE")</f>
        <v xml:space="preserve">          6309 - TELEPHONE</v>
      </c>
      <c r="C93" s="11"/>
      <c r="D93" s="6">
        <v>196.2</v>
      </c>
      <c r="E93" s="2"/>
      <c r="F93" s="7">
        <f t="shared" si="62"/>
        <v>5.2900865611309675E-3</v>
      </c>
      <c r="G93" s="2"/>
      <c r="H93" s="6"/>
      <c r="I93" s="2"/>
      <c r="J93" s="7">
        <f t="shared" si="63"/>
        <v>0</v>
      </c>
      <c r="K93" s="2"/>
      <c r="L93" s="6">
        <f t="shared" si="64"/>
        <v>196.2</v>
      </c>
      <c r="M93" s="2"/>
      <c r="N93" s="7">
        <f t="shared" si="65"/>
        <v>0</v>
      </c>
      <c r="O93" s="11"/>
      <c r="P93" s="6">
        <v>1225.8499999999999</v>
      </c>
      <c r="Q93" s="2"/>
      <c r="R93" s="7">
        <f t="shared" si="66"/>
        <v>3.9846303169306391E-3</v>
      </c>
      <c r="S93" s="2"/>
      <c r="T93" s="6"/>
      <c r="U93" s="2"/>
      <c r="V93" s="7">
        <f t="shared" si="67"/>
        <v>0</v>
      </c>
      <c r="W93" s="2"/>
      <c r="X93" s="6">
        <f t="shared" si="68"/>
        <v>1225.8499999999999</v>
      </c>
      <c r="Y93" s="2"/>
      <c r="Z93" s="7">
        <f t="shared" si="69"/>
        <v>0</v>
      </c>
    </row>
    <row r="94" spans="1:26" s="25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SUM(OSRRefD22_14x_0)</f>
        <v>0</v>
      </c>
      <c r="E94" s="1"/>
      <c r="F94" s="5">
        <f t="shared" ref="F94:F95" si="70">IF(D$12=0,0,D94/D$12)</f>
        <v>0</v>
      </c>
      <c r="G94" s="1"/>
      <c r="H94" s="1">
        <f>SUM(OSRRefH22_14x_0)</f>
        <v>0</v>
      </c>
      <c r="I94" s="1"/>
      <c r="J94" s="5">
        <f t="shared" ref="J94:J95" si="71">IF(H$12=0,0,H94/H$12)</f>
        <v>0</v>
      </c>
      <c r="K94" s="1"/>
      <c r="L94" s="1">
        <f t="shared" ref="L94:L95" si="72">+D94-H94</f>
        <v>0</v>
      </c>
      <c r="M94" s="1"/>
      <c r="N94" s="5">
        <f t="shared" ref="N94:N95" si="73">IF(H94=0,0,L94/H94)</f>
        <v>0</v>
      </c>
      <c r="O94" s="13"/>
      <c r="P94" s="1">
        <f>SUM(OSRRefP22_14x_0)</f>
        <v>97.71</v>
      </c>
      <c r="Q94" s="1"/>
      <c r="R94" s="5">
        <f t="shared" ref="R94:R95" si="74">IF(P$12=0,0,P94/P$12)</f>
        <v>3.1760674492580069E-4</v>
      </c>
      <c r="S94" s="1"/>
      <c r="T94" s="1">
        <f>SUM(OSRRefT22_14x_0)</f>
        <v>0</v>
      </c>
      <c r="U94" s="1"/>
      <c r="V94" s="5">
        <f t="shared" ref="V94:V95" si="75">IF(T$12=0,0,T94/T$12)</f>
        <v>0</v>
      </c>
      <c r="W94" s="1"/>
      <c r="X94" s="1">
        <f t="shared" ref="X94:X95" si="76">+P94-T94</f>
        <v>97.71</v>
      </c>
      <c r="Y94" s="1"/>
      <c r="Z94" s="5">
        <f t="shared" ref="Z94:Z95" si="77">IF(T94=0,0,X94/T94)</f>
        <v>0</v>
      </c>
    </row>
    <row r="95" spans="1:26" s="24" customFormat="1" hidden="1" outlineLevel="2" x14ac:dyDescent="0.25">
      <c r="A95" s="26"/>
      <c r="B95" s="11" t="str">
        <f>CONCATENATE("          ", "6376", " - ", "TRAINING")</f>
        <v xml:space="preserve">          6376 - TRAINING</v>
      </c>
      <c r="C95" s="11"/>
      <c r="D95" s="6"/>
      <c r="E95" s="2"/>
      <c r="F95" s="7">
        <f t="shared" si="70"/>
        <v>0</v>
      </c>
      <c r="G95" s="2"/>
      <c r="H95" s="6"/>
      <c r="I95" s="2"/>
      <c r="J95" s="7">
        <f t="shared" si="71"/>
        <v>0</v>
      </c>
      <c r="K95" s="2"/>
      <c r="L95" s="6">
        <f t="shared" si="72"/>
        <v>0</v>
      </c>
      <c r="M95" s="2"/>
      <c r="N95" s="7">
        <f t="shared" si="73"/>
        <v>0</v>
      </c>
      <c r="O95" s="11"/>
      <c r="P95" s="6">
        <v>97.71</v>
      </c>
      <c r="Q95" s="2"/>
      <c r="R95" s="7">
        <f t="shared" si="74"/>
        <v>3.1760674492580069E-4</v>
      </c>
      <c r="S95" s="2"/>
      <c r="T95" s="6"/>
      <c r="U95" s="2"/>
      <c r="V95" s="7">
        <f t="shared" si="75"/>
        <v>0</v>
      </c>
      <c r="W95" s="2"/>
      <c r="X95" s="6">
        <f t="shared" si="76"/>
        <v>97.71</v>
      </c>
      <c r="Y95" s="2"/>
      <c r="Z95" s="7">
        <f t="shared" si="77"/>
        <v>0</v>
      </c>
    </row>
    <row r="96" spans="1:26" s="5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8" t="s">
        <v>0</v>
      </c>
      <c r="C97" s="10"/>
      <c r="D97" s="4">
        <f>SUM(OSRRefD25x_0)</f>
        <v>13269</v>
      </c>
      <c r="E97" s="4"/>
      <c r="F97" s="12">
        <f t="shared" ref="F97:F104" si="78">IF(D$12=0,0,D97/D$12)</f>
        <v>0.35776839235293995</v>
      </c>
      <c r="G97" s="4"/>
      <c r="H97" s="4">
        <f>SUM(OSRRefH25x_0)</f>
        <v>26250</v>
      </c>
      <c r="I97" s="4"/>
      <c r="J97" s="12">
        <f t="shared" ref="J97:J104" si="79">IF(H$12=0,0,H97/H$12)</f>
        <v>0.51070038910505833</v>
      </c>
      <c r="K97" s="4"/>
      <c r="L97" s="4">
        <f t="shared" ref="L97:L104" si="80">+D97-H97</f>
        <v>-12981</v>
      </c>
      <c r="M97" s="4"/>
      <c r="N97" s="12">
        <f t="shared" ref="N97:N104" si="81">IF(H97=0,0,L97/H97)</f>
        <v>-0.49451428571428574</v>
      </c>
      <c r="O97" s="10"/>
      <c r="P97" s="4">
        <f>SUM(OSRRefP25x_0)</f>
        <v>165347.40000000002</v>
      </c>
      <c r="Q97" s="4"/>
      <c r="R97" s="12">
        <f t="shared" ref="R97:R104" si="82">IF(P$12=0,0,P97/P$12)</f>
        <v>0.53746238354256826</v>
      </c>
      <c r="S97" s="4"/>
      <c r="T97" s="4">
        <f>SUM(OSRRefT25x_0)</f>
        <v>156000</v>
      </c>
      <c r="U97" s="4"/>
      <c r="V97" s="12">
        <f t="shared" ref="V97:V104" si="83">IF(T$12=0,0,T97/T$12)</f>
        <v>0.43806381410368916</v>
      </c>
      <c r="W97" s="4"/>
      <c r="X97" s="4">
        <f t="shared" ref="X97:X104" si="84">+P97-T97</f>
        <v>9347.4000000000233</v>
      </c>
      <c r="Y97" s="4"/>
      <c r="Z97" s="12">
        <f t="shared" ref="Z97:Z104" si="85">IF(T97=0,0,X97/T97)</f>
        <v>5.9919230769230919E-2</v>
      </c>
    </row>
    <row r="98" spans="1:26" s="24" customFormat="1" hidden="1" outlineLevel="1" x14ac:dyDescent="0.25">
      <c r="A98" s="44"/>
      <c r="B98" s="11" t="str">
        <f>CONCATENATE("          ", "4098", " - ", "TAXABLE SALES-GRAD RENTALS")</f>
        <v xml:space="preserve">          4098 - TAXABLE SALES-GRAD RENTALS</v>
      </c>
      <c r="C98" s="11"/>
      <c r="D98" s="2">
        <f t="shared" ref="D98:D100" si="86">0</f>
        <v>0</v>
      </c>
      <c r="E98" s="2"/>
      <c r="F98" s="19">
        <f t="shared" si="78"/>
        <v>0</v>
      </c>
      <c r="G98" s="2"/>
      <c r="H98" s="2"/>
      <c r="I98" s="2"/>
      <c r="J98" s="19">
        <f t="shared" si="79"/>
        <v>0</v>
      </c>
      <c r="K98" s="2"/>
      <c r="L98" s="2">
        <f t="shared" si="80"/>
        <v>0</v>
      </c>
      <c r="M98" s="2"/>
      <c r="N98" s="19">
        <f t="shared" si="81"/>
        <v>0</v>
      </c>
      <c r="O98" s="11"/>
      <c r="P98" s="2">
        <f>--1626.85</f>
        <v>1626.85</v>
      </c>
      <c r="Q98" s="2"/>
      <c r="R98" s="19">
        <f t="shared" si="82"/>
        <v>5.2880824171787823E-3</v>
      </c>
      <c r="S98" s="2"/>
      <c r="T98" s="2"/>
      <c r="U98" s="2"/>
      <c r="V98" s="19">
        <f t="shared" si="83"/>
        <v>0</v>
      </c>
      <c r="W98" s="2"/>
      <c r="X98" s="2">
        <f t="shared" si="84"/>
        <v>1626.85</v>
      </c>
      <c r="Y98" s="2"/>
      <c r="Z98" s="19">
        <f t="shared" si="85"/>
        <v>0</v>
      </c>
    </row>
    <row r="99" spans="1:26" s="24" customFormat="1" hidden="1" outlineLevel="1" x14ac:dyDescent="0.25">
      <c r="A99" s="44"/>
      <c r="B99" s="11" t="str">
        <f>CONCATENATE("          ", "4197", " - ", "NON-TAXABLE SALES-RETURNED CHE")</f>
        <v xml:space="preserve">          4197 - NON-TAXABLE SALES-RETURNED CHE</v>
      </c>
      <c r="C99" s="11"/>
      <c r="D99" s="2">
        <f t="shared" si="86"/>
        <v>0</v>
      </c>
      <c r="E99" s="2"/>
      <c r="F99" s="19">
        <f t="shared" si="78"/>
        <v>0</v>
      </c>
      <c r="G99" s="2"/>
      <c r="H99" s="2"/>
      <c r="I99" s="2"/>
      <c r="J99" s="19">
        <f t="shared" si="79"/>
        <v>0</v>
      </c>
      <c r="K99" s="2"/>
      <c r="L99" s="2">
        <f t="shared" si="80"/>
        <v>0</v>
      </c>
      <c r="M99" s="2"/>
      <c r="N99" s="19">
        <f t="shared" si="81"/>
        <v>0</v>
      </c>
      <c r="O99" s="11"/>
      <c r="P99" s="2">
        <f>--30</f>
        <v>30</v>
      </c>
      <c r="Q99" s="2"/>
      <c r="R99" s="19">
        <f t="shared" si="82"/>
        <v>9.7515119719312471E-5</v>
      </c>
      <c r="S99" s="2"/>
      <c r="T99" s="2"/>
      <c r="U99" s="2"/>
      <c r="V99" s="19">
        <f t="shared" si="83"/>
        <v>0</v>
      </c>
      <c r="W99" s="2"/>
      <c r="X99" s="2">
        <f t="shared" si="84"/>
        <v>30</v>
      </c>
      <c r="Y99" s="2"/>
      <c r="Z99" s="19">
        <f t="shared" si="85"/>
        <v>0</v>
      </c>
    </row>
    <row r="100" spans="1:26" s="24" customFormat="1" hidden="1" outlineLevel="1" x14ac:dyDescent="0.25">
      <c r="A100" s="44"/>
      <c r="B100" s="11" t="str">
        <f>CONCATENATE("          ", "4198", " - ", "NON-TAXABLE SALES-GRAD RENTALS")</f>
        <v xml:space="preserve">          4198 - NON-TAXABLE SALES-GRAD RENTALS</v>
      </c>
      <c r="C100" s="11"/>
      <c r="D100" s="2">
        <f t="shared" si="86"/>
        <v>0</v>
      </c>
      <c r="E100" s="2"/>
      <c r="F100" s="19">
        <f t="shared" si="78"/>
        <v>0</v>
      </c>
      <c r="G100" s="2"/>
      <c r="H100" s="2"/>
      <c r="I100" s="2"/>
      <c r="J100" s="19">
        <f t="shared" si="79"/>
        <v>0</v>
      </c>
      <c r="K100" s="2"/>
      <c r="L100" s="2">
        <f t="shared" si="80"/>
        <v>0</v>
      </c>
      <c r="M100" s="2"/>
      <c r="N100" s="19">
        <f t="shared" si="81"/>
        <v>0</v>
      </c>
      <c r="O100" s="11"/>
      <c r="P100" s="2">
        <f>--495</f>
        <v>495</v>
      </c>
      <c r="Q100" s="2"/>
      <c r="R100" s="19">
        <f t="shared" si="82"/>
        <v>1.6089994753686557E-3</v>
      </c>
      <c r="S100" s="2"/>
      <c r="T100" s="2"/>
      <c r="U100" s="2"/>
      <c r="V100" s="19">
        <f t="shared" si="83"/>
        <v>0</v>
      </c>
      <c r="W100" s="2"/>
      <c r="X100" s="2">
        <f t="shared" si="84"/>
        <v>495</v>
      </c>
      <c r="Y100" s="2"/>
      <c r="Z100" s="19">
        <f t="shared" si="85"/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--13269</f>
        <v>13269</v>
      </c>
      <c r="E101" s="2"/>
      <c r="F101" s="19">
        <f t="shared" si="78"/>
        <v>0.35776839235293995</v>
      </c>
      <c r="G101" s="2"/>
      <c r="H101" s="2"/>
      <c r="I101" s="2"/>
      <c r="J101" s="19">
        <f t="shared" si="79"/>
        <v>0</v>
      </c>
      <c r="K101" s="2"/>
      <c r="L101" s="2">
        <f t="shared" si="80"/>
        <v>13269</v>
      </c>
      <c r="M101" s="2"/>
      <c r="N101" s="19">
        <f t="shared" si="81"/>
        <v>0</v>
      </c>
      <c r="O101" s="11"/>
      <c r="P101" s="2">
        <f>--79614</f>
        <v>79614</v>
      </c>
      <c r="Q101" s="2"/>
      <c r="R101" s="19">
        <f t="shared" si="82"/>
        <v>0.25878562471111144</v>
      </c>
      <c r="S101" s="2"/>
      <c r="T101" s="2">
        <v>12250</v>
      </c>
      <c r="U101" s="2"/>
      <c r="V101" s="19">
        <f t="shared" si="83"/>
        <v>3.4399241812629433E-2</v>
      </c>
      <c r="W101" s="2"/>
      <c r="X101" s="2">
        <f t="shared" si="84"/>
        <v>67364</v>
      </c>
      <c r="Y101" s="2"/>
      <c r="Z101" s="19">
        <f t="shared" si="85"/>
        <v>5.4991020408163269</v>
      </c>
    </row>
    <row r="102" spans="1:26" s="24" customFormat="1" hidden="1" outlineLevel="1" x14ac:dyDescent="0.25">
      <c r="A102" s="44"/>
      <c r="B102" s="11" t="str">
        <f>CONCATENATE("          ", "9151", " - ", "MISC. INCOME")</f>
        <v xml:space="preserve">          9151 - MISC. INCOME</v>
      </c>
      <c r="C102" s="11"/>
      <c r="D102" s="2">
        <f t="shared" ref="D102:D104" si="87">0</f>
        <v>0</v>
      </c>
      <c r="E102" s="2"/>
      <c r="F102" s="19">
        <f t="shared" si="78"/>
        <v>0</v>
      </c>
      <c r="G102" s="2"/>
      <c r="H102" s="2">
        <v>12250</v>
      </c>
      <c r="I102" s="2"/>
      <c r="J102" s="19">
        <f t="shared" si="79"/>
        <v>0.23832684824902725</v>
      </c>
      <c r="K102" s="2"/>
      <c r="L102" s="2">
        <f t="shared" si="80"/>
        <v>-12250</v>
      </c>
      <c r="M102" s="2"/>
      <c r="N102" s="19">
        <f t="shared" si="81"/>
        <v>-1</v>
      </c>
      <c r="O102" s="11"/>
      <c r="P102" s="2">
        <f>0</f>
        <v>0</v>
      </c>
      <c r="Q102" s="2"/>
      <c r="R102" s="19">
        <f t="shared" si="82"/>
        <v>0</v>
      </c>
      <c r="S102" s="2"/>
      <c r="T102" s="2">
        <v>61250</v>
      </c>
      <c r="U102" s="2"/>
      <c r="V102" s="19">
        <f t="shared" si="83"/>
        <v>0.17199620906314719</v>
      </c>
      <c r="W102" s="2"/>
      <c r="X102" s="2">
        <f t="shared" si="84"/>
        <v>-61250</v>
      </c>
      <c r="Y102" s="2"/>
      <c r="Z102" s="19">
        <f t="shared" si="85"/>
        <v>-1</v>
      </c>
    </row>
    <row r="103" spans="1:26" s="24" customFormat="1" hidden="1" outlineLevel="1" x14ac:dyDescent="0.25">
      <c r="A103" s="44"/>
      <c r="B103" s="11" t="str">
        <f>CONCATENATE("          ", "9160", " - ", "MISC. INCOME")</f>
        <v xml:space="preserve">          9160 - MISC. INCOME</v>
      </c>
      <c r="C103" s="11"/>
      <c r="D103" s="2">
        <f t="shared" si="87"/>
        <v>0</v>
      </c>
      <c r="E103" s="2"/>
      <c r="F103" s="19">
        <f t="shared" si="78"/>
        <v>0</v>
      </c>
      <c r="G103" s="2"/>
      <c r="H103" s="2">
        <v>14000</v>
      </c>
      <c r="I103" s="2"/>
      <c r="J103" s="19">
        <f t="shared" si="79"/>
        <v>0.2723735408560311</v>
      </c>
      <c r="K103" s="2"/>
      <c r="L103" s="2">
        <f t="shared" si="80"/>
        <v>-14000</v>
      </c>
      <c r="M103" s="2"/>
      <c r="N103" s="19">
        <f t="shared" si="81"/>
        <v>-1</v>
      </c>
      <c r="O103" s="11"/>
      <c r="P103" s="2">
        <f>--22475</f>
        <v>22475</v>
      </c>
      <c r="Q103" s="2"/>
      <c r="R103" s="19">
        <f t="shared" si="82"/>
        <v>7.3055077189718251E-2</v>
      </c>
      <c r="S103" s="2"/>
      <c r="T103" s="2">
        <v>82500</v>
      </c>
      <c r="U103" s="2"/>
      <c r="V103" s="19">
        <f t="shared" si="83"/>
        <v>0.23166836322791254</v>
      </c>
      <c r="W103" s="2"/>
      <c r="X103" s="2">
        <f t="shared" si="84"/>
        <v>-60025</v>
      </c>
      <c r="Y103" s="2"/>
      <c r="Z103" s="19">
        <f t="shared" si="85"/>
        <v>-0.72757575757575754</v>
      </c>
    </row>
    <row r="104" spans="1:26" s="24" customFormat="1" hidden="1" outlineLevel="1" x14ac:dyDescent="0.25">
      <c r="A104" s="44"/>
      <c r="B104" s="11" t="str">
        <f>CONCATENATE("          ", "9163", " - ", "MISC. INCOME")</f>
        <v xml:space="preserve">          9163 - MISC. INCOME</v>
      </c>
      <c r="C104" s="11"/>
      <c r="D104" s="2">
        <f t="shared" si="87"/>
        <v>0</v>
      </c>
      <c r="E104" s="2"/>
      <c r="F104" s="19">
        <f t="shared" si="78"/>
        <v>0</v>
      </c>
      <c r="G104" s="2"/>
      <c r="H104" s="2"/>
      <c r="I104" s="2"/>
      <c r="J104" s="19">
        <f t="shared" si="79"/>
        <v>0</v>
      </c>
      <c r="K104" s="2"/>
      <c r="L104" s="2">
        <f t="shared" si="80"/>
        <v>0</v>
      </c>
      <c r="M104" s="2"/>
      <c r="N104" s="19">
        <f t="shared" si="81"/>
        <v>0</v>
      </c>
      <c r="O104" s="11"/>
      <c r="P104" s="2">
        <f>--61106.55</f>
        <v>61106.55</v>
      </c>
      <c r="Q104" s="2"/>
      <c r="R104" s="19">
        <f t="shared" si="82"/>
        <v>0.19862708462947179</v>
      </c>
      <c r="S104" s="2"/>
      <c r="T104" s="2"/>
      <c r="U104" s="2"/>
      <c r="V104" s="19">
        <f t="shared" si="83"/>
        <v>0</v>
      </c>
      <c r="W104" s="2"/>
      <c r="X104" s="2">
        <f t="shared" si="84"/>
        <v>61106.55</v>
      </c>
      <c r="Y104" s="2"/>
      <c r="Z104" s="19">
        <f t="shared" si="85"/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2">
        <f>+D38-D40+D97</f>
        <v>2297.6100000000006</v>
      </c>
      <c r="E106" s="14"/>
      <c r="F106" s="20">
        <f>IF(D$12=0,0,D106/D$12)</f>
        <v>6.1949825605097486E-2</v>
      </c>
      <c r="G106" s="14"/>
      <c r="H106" s="22">
        <f>+H38-H40+H97</f>
        <v>17400.253375858214</v>
      </c>
      <c r="I106" s="14"/>
      <c r="J106" s="20">
        <f>IF(H$12=0,0,H106/H$12)</f>
        <v>0.33852633026961504</v>
      </c>
      <c r="K106" s="16"/>
      <c r="L106" s="22">
        <f>+D106-H106</f>
        <v>-15102.643375858213</v>
      </c>
      <c r="M106" s="16"/>
      <c r="N106" s="20">
        <f>IF(H106=0,0,L106/H106)</f>
        <v>-0.86795537108742371</v>
      </c>
      <c r="O106" s="28"/>
      <c r="P106" s="22">
        <f>+P38-P40+P97</f>
        <v>194226.32</v>
      </c>
      <c r="Q106" s="14"/>
      <c r="R106" s="20">
        <f>IF(P$12=0,0,P106/P$12)</f>
        <v>0.63133342824804983</v>
      </c>
      <c r="S106" s="14"/>
      <c r="T106" s="22">
        <f>+T38-T40+T97</f>
        <v>213076.69466718478</v>
      </c>
      <c r="U106" s="14"/>
      <c r="V106" s="20">
        <f>IF(T$12=0,0,T106/T$12)</f>
        <v>0.59834095873406512</v>
      </c>
      <c r="W106" s="16"/>
      <c r="X106" s="22">
        <f>+P106-T106</f>
        <v>-18850.374667184777</v>
      </c>
      <c r="Y106" s="16"/>
      <c r="Z106" s="20">
        <f>IF(T106=0,0,X106/T106)</f>
        <v>-8.8467557170567743E-2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4577.91</v>
      </c>
      <c r="E108" s="4"/>
      <c r="F108" s="12">
        <f>IF(D$12=0,0,D108/D$12)</f>
        <v>0.12343292644784438</v>
      </c>
      <c r="G108" s="4"/>
      <c r="H108" s="4">
        <v>7255</v>
      </c>
      <c r="I108" s="4"/>
      <c r="J108" s="12">
        <f>IF(H$12=0,0,H108/H$12)</f>
        <v>0.14114785992217899</v>
      </c>
      <c r="K108" s="4"/>
      <c r="L108" s="4">
        <f>+D108-H108</f>
        <v>-2677.09</v>
      </c>
      <c r="M108" s="4"/>
      <c r="N108" s="12">
        <f>IF(H108=0,0,L108/H108)</f>
        <v>-0.36899931082012405</v>
      </c>
      <c r="O108" s="10"/>
      <c r="P108" s="4">
        <v>33227.990000000005</v>
      </c>
      <c r="Q108" s="4"/>
      <c r="R108" s="12">
        <f>IF(P$12=0,0,P108/P$12)</f>
        <v>0.1080077140960706</v>
      </c>
      <c r="S108" s="4"/>
      <c r="T108" s="4">
        <v>45871</v>
      </c>
      <c r="U108" s="4"/>
      <c r="V108" s="12">
        <f>IF(T$12=0,0,T108/T$12)</f>
        <v>0.12881041805609184</v>
      </c>
      <c r="W108" s="4"/>
      <c r="X108" s="4">
        <f>+P108-T108</f>
        <v>-12643.009999999995</v>
      </c>
      <c r="Y108" s="4"/>
      <c r="Z108" s="12">
        <f>IF(T108=0,0,X108/T108)</f>
        <v>-0.2756209805759629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1">
        <f>+D106-D108</f>
        <v>-2280.2999999999993</v>
      </c>
      <c r="E110" s="14"/>
      <c r="F110" s="32">
        <f>IF(D$12=0,0,D110/D$12)</f>
        <v>-6.1483100842746906E-2</v>
      </c>
      <c r="G110" s="14"/>
      <c r="H110" s="31">
        <f>+H106-H108</f>
        <v>10145.253375858214</v>
      </c>
      <c r="I110" s="14"/>
      <c r="J110" s="32">
        <f>IF(H$12=0,0,H110/H$12)</f>
        <v>0.19737847034743608</v>
      </c>
      <c r="K110" s="16"/>
      <c r="L110" s="31">
        <f>D110-H110</f>
        <v>-12425.553375858213</v>
      </c>
      <c r="M110" s="16"/>
      <c r="N110" s="32">
        <f>IF(H110=0,0,L110/H110)</f>
        <v>-1.2247652094551165</v>
      </c>
      <c r="O110" s="28"/>
      <c r="P110" s="31">
        <f>+P106-P108</f>
        <v>160998.33000000002</v>
      </c>
      <c r="Q110" s="14"/>
      <c r="R110" s="32">
        <f>IF(P$12=0,0,P110/P$12)</f>
        <v>0.52332571415197926</v>
      </c>
      <c r="S110" s="14"/>
      <c r="T110" s="31">
        <f>+T106-T108</f>
        <v>167205.69466718478</v>
      </c>
      <c r="U110" s="14"/>
      <c r="V110" s="32">
        <f>IF(T$12=0,0,T110/T$12)</f>
        <v>0.46953054067797334</v>
      </c>
      <c r="W110" s="16"/>
      <c r="X110" s="31">
        <f>P110-T110</f>
        <v>-6207.3646671847673</v>
      </c>
      <c r="Y110" s="16"/>
      <c r="Z110" s="32">
        <f>IF(T110=0,0,X110/T110)</f>
        <v>-3.7124122354446364E-2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5">
        <f>SUM(D110:D112)</f>
        <v>-2280.2999999999993</v>
      </c>
      <c r="E113" s="14"/>
      <c r="F113" s="34">
        <f>IF(D$12=0,0,D113/D$12)</f>
        <v>-6.1483100842746906E-2</v>
      </c>
      <c r="G113" s="14"/>
      <c r="H113" s="35">
        <f>SUM(H110:H112)</f>
        <v>10145.253375858214</v>
      </c>
      <c r="I113" s="14"/>
      <c r="J113" s="34">
        <f>IF(H$12=0,0,H113/H$12)</f>
        <v>0.19737847034743608</v>
      </c>
      <c r="K113" s="16"/>
      <c r="L113" s="35">
        <f>+D113-H113</f>
        <v>-12425.553375858213</v>
      </c>
      <c r="M113" s="16"/>
      <c r="N113" s="34">
        <f>IF(H113=0,0,L113/H113)</f>
        <v>-1.2247652094551165</v>
      </c>
      <c r="O113" s="28"/>
      <c r="P113" s="35">
        <f>SUM(P110:P112)</f>
        <v>160998.33000000002</v>
      </c>
      <c r="Q113" s="14"/>
      <c r="R113" s="34">
        <f>IF(P$12=0,0,P113/P$12)</f>
        <v>0.52332571415197926</v>
      </c>
      <c r="S113" s="14"/>
      <c r="T113" s="35">
        <f>SUM(T110:T112)</f>
        <v>167205.69466718478</v>
      </c>
      <c r="U113" s="14"/>
      <c r="V113" s="34">
        <f>IF(T$12=0,0,T113/T$12)</f>
        <v>0.46953054067797334</v>
      </c>
      <c r="W113" s="16"/>
      <c r="X113" s="35">
        <f>+P113-T113</f>
        <v>-6207.3646671847673</v>
      </c>
      <c r="Y113" s="16"/>
      <c r="Z113" s="34">
        <f>IF(T113=0,0,X113/T113)</f>
        <v>-3.7124122354446364E-2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3">
        <v>43847.445505821757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5" t="s">
        <v>314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6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36849.589999999997</v>
      </c>
      <c r="E12" s="4"/>
      <c r="F12" s="12"/>
      <c r="G12" s="4"/>
      <c r="H12" s="4">
        <f>SUM(OSRRefH13x_0)</f>
        <v>39900</v>
      </c>
      <c r="I12" s="4"/>
      <c r="J12" s="12"/>
      <c r="K12" s="4"/>
      <c r="L12" s="4">
        <f t="shared" ref="L12:L25" si="0">+D12-H12</f>
        <v>-3050.4100000000035</v>
      </c>
      <c r="M12" s="4"/>
      <c r="N12" s="12">
        <f t="shared" ref="N12:N25" si="1">IF(H12=0,0,L12/H12)</f>
        <v>-7.6451378446115381E-2</v>
      </c>
      <c r="O12" s="10"/>
      <c r="P12" s="4">
        <f>SUM(OSRRefP13x_0)</f>
        <v>300095.71000000002</v>
      </c>
      <c r="Q12" s="4"/>
      <c r="R12" s="12"/>
      <c r="S12" s="4"/>
      <c r="T12" s="4">
        <f>SUM(OSRRefT13x_0)</f>
        <v>344612.5</v>
      </c>
      <c r="U12" s="4"/>
      <c r="V12" s="12"/>
      <c r="W12" s="4"/>
      <c r="X12" s="4">
        <f t="shared" ref="X12:X25" si="2">+P12-T12</f>
        <v>-44516.789999999979</v>
      </c>
      <c r="Y12" s="4"/>
      <c r="Z12" s="12">
        <f t="shared" ref="Z12:Z25" si="3">IF(T12=0,0,X12/T12)</f>
        <v>-0.12917926656752143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36100</v>
      </c>
      <c r="I13" s="2"/>
      <c r="J13" s="19"/>
      <c r="K13" s="2"/>
      <c r="L13" s="2">
        <f t="shared" si="0"/>
        <v>-36100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287137.5</v>
      </c>
      <c r="U13" s="2"/>
      <c r="V13" s="19"/>
      <c r="W13" s="2"/>
      <c r="X13" s="2">
        <f t="shared" si="2"/>
        <v>-287137.5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--96.53</f>
        <v>96.53</v>
      </c>
      <c r="E14" s="2"/>
      <c r="F14" s="19"/>
      <c r="G14" s="2"/>
      <c r="H14" s="2"/>
      <c r="I14" s="2"/>
      <c r="J14" s="19"/>
      <c r="K14" s="2"/>
      <c r="L14" s="2">
        <f t="shared" si="0"/>
        <v>96.53</v>
      </c>
      <c r="M14" s="2"/>
      <c r="N14" s="19">
        <f t="shared" si="1"/>
        <v>0</v>
      </c>
      <c r="O14" s="11"/>
      <c r="P14" s="2">
        <f>--97064.88</f>
        <v>97064.88</v>
      </c>
      <c r="Q14" s="2"/>
      <c r="R14" s="19"/>
      <c r="S14" s="2"/>
      <c r="T14" s="2"/>
      <c r="U14" s="2"/>
      <c r="V14" s="19"/>
      <c r="W14" s="2"/>
      <c r="X14" s="2">
        <f t="shared" si="2"/>
        <v>97064.88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--8211.3</f>
        <v>8211.2999999999993</v>
      </c>
      <c r="E15" s="2"/>
      <c r="F15" s="19"/>
      <c r="G15" s="2"/>
      <c r="H15" s="2"/>
      <c r="I15" s="2"/>
      <c r="J15" s="19"/>
      <c r="K15" s="2"/>
      <c r="L15" s="2">
        <f t="shared" si="0"/>
        <v>8211.2999999999993</v>
      </c>
      <c r="M15" s="2"/>
      <c r="N15" s="19">
        <f t="shared" si="1"/>
        <v>0</v>
      </c>
      <c r="O15" s="11"/>
      <c r="P15" s="2">
        <f>--48106.94</f>
        <v>48106.94</v>
      </c>
      <c r="Q15" s="2"/>
      <c r="R15" s="19"/>
      <c r="S15" s="2"/>
      <c r="T15" s="2"/>
      <c r="U15" s="2"/>
      <c r="V15" s="19"/>
      <c r="W15" s="2"/>
      <c r="X15" s="2">
        <f t="shared" si="2"/>
        <v>48106.94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--2.08</f>
        <v>2.08</v>
      </c>
      <c r="E16" s="2"/>
      <c r="F16" s="19"/>
      <c r="G16" s="2"/>
      <c r="H16" s="2"/>
      <c r="I16" s="2"/>
      <c r="J16" s="19"/>
      <c r="K16" s="2"/>
      <c r="L16" s="2">
        <f t="shared" si="0"/>
        <v>2.08</v>
      </c>
      <c r="M16" s="2"/>
      <c r="N16" s="19">
        <f t="shared" si="1"/>
        <v>0</v>
      </c>
      <c r="O16" s="11"/>
      <c r="P16" s="2">
        <f>--104.06</f>
        <v>104.06</v>
      </c>
      <c r="Q16" s="2"/>
      <c r="R16" s="19"/>
      <c r="S16" s="2"/>
      <c r="T16" s="2"/>
      <c r="U16" s="2"/>
      <c r="V16" s="19"/>
      <c r="W16" s="2"/>
      <c r="X16" s="2">
        <f t="shared" si="2"/>
        <v>104.06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--115.39</f>
        <v>115.39</v>
      </c>
      <c r="E17" s="2"/>
      <c r="F17" s="19"/>
      <c r="G17" s="2"/>
      <c r="H17" s="2"/>
      <c r="I17" s="2"/>
      <c r="J17" s="19"/>
      <c r="K17" s="2"/>
      <c r="L17" s="2">
        <f t="shared" si="0"/>
        <v>115.39</v>
      </c>
      <c r="M17" s="2"/>
      <c r="N17" s="19">
        <f t="shared" si="1"/>
        <v>0</v>
      </c>
      <c r="O17" s="11"/>
      <c r="P17" s="2">
        <f>--1793.94</f>
        <v>1793.94</v>
      </c>
      <c r="Q17" s="2"/>
      <c r="R17" s="19"/>
      <c r="S17" s="2"/>
      <c r="T17" s="2"/>
      <c r="U17" s="2"/>
      <c r="V17" s="19"/>
      <c r="W17" s="2"/>
      <c r="X17" s="2">
        <f t="shared" si="2"/>
        <v>1793.94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19" si="4">0</f>
        <v>0</v>
      </c>
      <c r="E18" s="2"/>
      <c r="F18" s="19"/>
      <c r="G18" s="2"/>
      <c r="H18" s="2">
        <v>3800</v>
      </c>
      <c r="I18" s="2"/>
      <c r="J18" s="19"/>
      <c r="K18" s="2"/>
      <c r="L18" s="2">
        <f t="shared" si="0"/>
        <v>-3800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57475</v>
      </c>
      <c r="U18" s="2"/>
      <c r="V18" s="19"/>
      <c r="W18" s="2"/>
      <c r="X18" s="2">
        <f t="shared" si="2"/>
        <v>-57475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/>
      <c r="U19" s="2"/>
      <c r="V19" s="19"/>
      <c r="W19" s="2"/>
      <c r="X19" s="2">
        <f t="shared" si="2"/>
        <v>152.75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--1239.89</f>
        <v>1239.8900000000001</v>
      </c>
      <c r="E20" s="2"/>
      <c r="F20" s="19"/>
      <c r="G20" s="2"/>
      <c r="H20" s="2"/>
      <c r="I20" s="2"/>
      <c r="J20" s="19"/>
      <c r="K20" s="2"/>
      <c r="L20" s="2">
        <f t="shared" si="0"/>
        <v>1239.8900000000001</v>
      </c>
      <c r="M20" s="2"/>
      <c r="N20" s="19">
        <f t="shared" si="1"/>
        <v>0</v>
      </c>
      <c r="O20" s="11"/>
      <c r="P20" s="2">
        <f>--6756.89</f>
        <v>6756.89</v>
      </c>
      <c r="Q20" s="2"/>
      <c r="R20" s="19"/>
      <c r="S20" s="2"/>
      <c r="T20" s="2"/>
      <c r="U20" s="2"/>
      <c r="V20" s="19"/>
      <c r="W20" s="2"/>
      <c r="X20" s="2">
        <f t="shared" si="2"/>
        <v>6756.89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--27126.9</f>
        <v>27126.9</v>
      </c>
      <c r="E21" s="2"/>
      <c r="F21" s="19"/>
      <c r="G21" s="2"/>
      <c r="H21" s="2"/>
      <c r="I21" s="2"/>
      <c r="J21" s="19"/>
      <c r="K21" s="2"/>
      <c r="L21" s="2">
        <f t="shared" si="0"/>
        <v>27126.9</v>
      </c>
      <c r="M21" s="2"/>
      <c r="N21" s="19">
        <f t="shared" si="1"/>
        <v>0</v>
      </c>
      <c r="O21" s="11"/>
      <c r="P21" s="2">
        <f>--146467.95</f>
        <v>146467.95000000001</v>
      </c>
      <c r="Q21" s="2"/>
      <c r="R21" s="19"/>
      <c r="S21" s="2"/>
      <c r="T21" s="2"/>
      <c r="U21" s="2"/>
      <c r="V21" s="19"/>
      <c r="W21" s="2"/>
      <c r="X21" s="2">
        <f t="shared" si="2"/>
        <v>146467.95000000001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--57.5</f>
        <v>57.5</v>
      </c>
      <c r="E22" s="2"/>
      <c r="F22" s="19"/>
      <c r="G22" s="2"/>
      <c r="H22" s="2"/>
      <c r="I22" s="2"/>
      <c r="J22" s="19"/>
      <c r="K22" s="2"/>
      <c r="L22" s="2">
        <f t="shared" si="0"/>
        <v>57.5</v>
      </c>
      <c r="M22" s="2"/>
      <c r="N22" s="19">
        <f t="shared" si="1"/>
        <v>0</v>
      </c>
      <c r="O22" s="11"/>
      <c r="P22" s="2">
        <f>--307.4</f>
        <v>307.39999999999998</v>
      </c>
      <c r="Q22" s="2"/>
      <c r="R22" s="19"/>
      <c r="S22" s="2"/>
      <c r="T22" s="2"/>
      <c r="U22" s="2"/>
      <c r="V22" s="19"/>
      <c r="W22" s="2"/>
      <c r="X22" s="2">
        <f t="shared" si="2"/>
        <v>307.39999999999998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5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-634.75</f>
        <v>-634.75</v>
      </c>
      <c r="Q23" s="2"/>
      <c r="R23" s="19"/>
      <c r="S23" s="2"/>
      <c r="T23" s="2"/>
      <c r="U23" s="2"/>
      <c r="V23" s="19"/>
      <c r="W23" s="2"/>
      <c r="X23" s="2">
        <f t="shared" si="2"/>
        <v>-634.75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/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-8.15</f>
        <v>-8.15</v>
      </c>
      <c r="Q25" s="2"/>
      <c r="R25" s="19"/>
      <c r="S25" s="2"/>
      <c r="T25" s="2"/>
      <c r="U25" s="2"/>
      <c r="V25" s="19"/>
      <c r="W25" s="2"/>
      <c r="X25" s="2">
        <f t="shared" si="2"/>
        <v>-8.15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D12-D27</f>
        <v>36849.589999999997</v>
      </c>
      <c r="E29" s="14"/>
      <c r="F29" s="20">
        <f>IF(D$12=0,0,D29/D$12)</f>
        <v>1</v>
      </c>
      <c r="G29" s="14"/>
      <c r="H29" s="22">
        <f>H12-H27</f>
        <v>39900</v>
      </c>
      <c r="I29" s="14"/>
      <c r="J29" s="20">
        <f>IF(H$12=0,0,H29/H$12)</f>
        <v>1</v>
      </c>
      <c r="K29" s="16"/>
      <c r="L29" s="22">
        <f>+D29-H29</f>
        <v>-3050.4100000000035</v>
      </c>
      <c r="M29" s="16"/>
      <c r="N29" s="20">
        <f>IF(H29=0,0,L29/H29)</f>
        <v>-7.6451378446115381E-2</v>
      </c>
      <c r="O29" s="28"/>
      <c r="P29" s="22">
        <f>P12-P27</f>
        <v>300095.71000000002</v>
      </c>
      <c r="Q29" s="14"/>
      <c r="R29" s="20">
        <f>IF(P$12=0,0,P29/P$12)</f>
        <v>1</v>
      </c>
      <c r="S29" s="14"/>
      <c r="T29" s="22">
        <f>T12-T27</f>
        <v>344612.5</v>
      </c>
      <c r="U29" s="14"/>
      <c r="V29" s="20">
        <f>IF(T$12=0,0,T29/T$12)</f>
        <v>1</v>
      </c>
      <c r="W29" s="16"/>
      <c r="X29" s="22">
        <f>+P29-T29</f>
        <v>-44516.789999999979</v>
      </c>
      <c r="Y29" s="16"/>
      <c r="Z29" s="20">
        <f>IF(T29=0,0,X29/T29)</f>
        <v>-0.12917926656752143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1">
        <f>SUM(OSRRefD22x_0)</f>
        <v>48434.079999999994</v>
      </c>
      <c r="E31" s="21"/>
      <c r="F31" s="30">
        <f t="shared" ref="F31:F41" si="6">IF(D$12=0,0,D31/D$12)</f>
        <v>1.3143722901665935</v>
      </c>
      <c r="G31" s="21"/>
      <c r="H31" s="21">
        <f>SUM(OSRRefH22x_0)</f>
        <v>53103.6400320264</v>
      </c>
      <c r="I31" s="21"/>
      <c r="J31" s="30">
        <f t="shared" ref="J31:J41" si="7">IF(H$12=0,0,H31/H$12)</f>
        <v>1.330918296542015</v>
      </c>
      <c r="K31" s="4"/>
      <c r="L31" s="21">
        <f t="shared" ref="L31:L41" si="8">+D31-H31</f>
        <v>-4669.5600320264057</v>
      </c>
      <c r="M31" s="4"/>
      <c r="N31" s="30">
        <f t="shared" ref="N31:N41" si="9">IF(H31=0,0,L31/H31)</f>
        <v>-8.7932955805105448E-2</v>
      </c>
      <c r="O31" s="10"/>
      <c r="P31" s="21">
        <f>SUM(OSRRefP22x_0)</f>
        <v>272446.40000000008</v>
      </c>
      <c r="Q31" s="21"/>
      <c r="R31" s="30">
        <f t="shared" ref="R31:R41" si="10">IF(P$12=0,0,P31/P$12)</f>
        <v>0.90786502746073927</v>
      </c>
      <c r="S31" s="21"/>
      <c r="T31" s="21">
        <f>SUM(OSRRefT22x_0)</f>
        <v>310754.36248406523</v>
      </c>
      <c r="U31" s="21"/>
      <c r="V31" s="30">
        <f t="shared" ref="V31:V41" si="11">IF(T$12=0,0,T31/T$12)</f>
        <v>0.90175011783979175</v>
      </c>
      <c r="W31" s="4"/>
      <c r="X31" s="21">
        <f t="shared" ref="X31:X41" si="12">+P31-T31</f>
        <v>-38307.962484065152</v>
      </c>
      <c r="Y31" s="4"/>
      <c r="Z31" s="30">
        <f t="shared" ref="Z31:Z41" si="13">IF(T31=0,0,X31/T31)</f>
        <v>-0.12327409397520363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7538.7500000000009</v>
      </c>
      <c r="E32" s="1"/>
      <c r="F32" s="5">
        <f t="shared" si="6"/>
        <v>0.20458165206180046</v>
      </c>
      <c r="G32" s="1"/>
      <c r="H32" s="1">
        <f>SUM(OSRRefH22_0x_0)</f>
        <v>5425.2161599679403</v>
      </c>
      <c r="I32" s="1"/>
      <c r="J32" s="5">
        <f t="shared" si="7"/>
        <v>0.1359703298237579</v>
      </c>
      <c r="K32" s="1"/>
      <c r="L32" s="1">
        <f t="shared" si="8"/>
        <v>2113.5338400320607</v>
      </c>
      <c r="M32" s="1"/>
      <c r="N32" s="5">
        <f t="shared" si="9"/>
        <v>0.38957596853515059</v>
      </c>
      <c r="O32" s="13"/>
      <c r="P32" s="1">
        <f>SUM(OSRRefP22_0x_0)</f>
        <v>47281.36</v>
      </c>
      <c r="Q32" s="1"/>
      <c r="R32" s="5">
        <f t="shared" si="10"/>
        <v>0.15755426826994626</v>
      </c>
      <c r="S32" s="1"/>
      <c r="T32" s="1">
        <f>SUM(OSRRefT22_0x_0)</f>
        <v>34421.712579345185</v>
      </c>
      <c r="U32" s="1"/>
      <c r="V32" s="5">
        <f t="shared" si="11"/>
        <v>9.9885269917211902E-2</v>
      </c>
      <c r="W32" s="1"/>
      <c r="X32" s="1">
        <f t="shared" si="12"/>
        <v>12859.647420654816</v>
      </c>
      <c r="Y32" s="1"/>
      <c r="Z32" s="5">
        <f t="shared" si="13"/>
        <v>0.37359115677385768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6">
        <v>1091.3900000000001</v>
      </c>
      <c r="E33" s="2"/>
      <c r="F33" s="7">
        <f t="shared" si="6"/>
        <v>2.9617425865525238E-2</v>
      </c>
      <c r="G33" s="2"/>
      <c r="H33" s="6">
        <v>1018.9170644538499</v>
      </c>
      <c r="I33" s="2"/>
      <c r="J33" s="7">
        <f t="shared" si="7"/>
        <v>2.5536768532677941E-2</v>
      </c>
      <c r="K33" s="2"/>
      <c r="L33" s="6">
        <f t="shared" si="8"/>
        <v>72.472935546150211</v>
      </c>
      <c r="M33" s="2"/>
      <c r="N33" s="7">
        <f t="shared" si="9"/>
        <v>7.1127413677183296E-2</v>
      </c>
      <c r="O33" s="11"/>
      <c r="P33" s="6">
        <v>7898.16</v>
      </c>
      <c r="Q33" s="2"/>
      <c r="R33" s="7">
        <f t="shared" si="10"/>
        <v>2.6318803424414162E-2</v>
      </c>
      <c r="S33" s="2"/>
      <c r="T33" s="6">
        <v>6934.5249848257099</v>
      </c>
      <c r="U33" s="2"/>
      <c r="V33" s="7">
        <f t="shared" si="11"/>
        <v>2.0122673973885771E-2</v>
      </c>
      <c r="W33" s="2"/>
      <c r="X33" s="6">
        <f t="shared" si="12"/>
        <v>963.63501517428995</v>
      </c>
      <c r="Y33" s="2"/>
      <c r="Z33" s="7">
        <f t="shared" si="13"/>
        <v>0.13896193571772236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6">
        <v>301.45</v>
      </c>
      <c r="E34" s="2"/>
      <c r="F34" s="7">
        <f t="shared" si="6"/>
        <v>8.1805523480722592E-3</v>
      </c>
      <c r="G34" s="2"/>
      <c r="H34" s="6">
        <v>201.09516692307699</v>
      </c>
      <c r="I34" s="2"/>
      <c r="J34" s="7">
        <f t="shared" si="7"/>
        <v>5.0399791208791227E-3</v>
      </c>
      <c r="K34" s="2"/>
      <c r="L34" s="6">
        <f t="shared" si="8"/>
        <v>100.354833076923</v>
      </c>
      <c r="M34" s="2"/>
      <c r="N34" s="7">
        <f t="shared" si="9"/>
        <v>0.49904149668256709</v>
      </c>
      <c r="O34" s="11"/>
      <c r="P34" s="6">
        <v>1193.3599999999999</v>
      </c>
      <c r="Q34" s="2"/>
      <c r="R34" s="7">
        <f t="shared" si="10"/>
        <v>3.9765979993516059E-3</v>
      </c>
      <c r="S34" s="2"/>
      <c r="T34" s="6">
        <v>1307.1185849999999</v>
      </c>
      <c r="U34" s="2"/>
      <c r="V34" s="7">
        <f t="shared" si="11"/>
        <v>3.7930097863542382E-3</v>
      </c>
      <c r="W34" s="2"/>
      <c r="X34" s="6">
        <f t="shared" si="12"/>
        <v>-113.75858500000004</v>
      </c>
      <c r="Y34" s="2"/>
      <c r="Z34" s="7">
        <f t="shared" si="13"/>
        <v>-8.7030041731064545E-2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6">
        <v>3051.28</v>
      </c>
      <c r="E35" s="2"/>
      <c r="F35" s="7">
        <f t="shared" si="6"/>
        <v>8.2803634992953803E-2</v>
      </c>
      <c r="G35" s="2"/>
      <c r="H35" s="6">
        <v>2044</v>
      </c>
      <c r="I35" s="2"/>
      <c r="J35" s="7">
        <f t="shared" si="7"/>
        <v>5.1228070175438595E-2</v>
      </c>
      <c r="K35" s="2"/>
      <c r="L35" s="6">
        <f t="shared" si="8"/>
        <v>1007.2800000000002</v>
      </c>
      <c r="M35" s="2"/>
      <c r="N35" s="7">
        <f t="shared" si="9"/>
        <v>0.49279843444227017</v>
      </c>
      <c r="O35" s="11"/>
      <c r="P35" s="6">
        <v>17383.439999999999</v>
      </c>
      <c r="Q35" s="2"/>
      <c r="R35" s="7">
        <f t="shared" si="10"/>
        <v>5.7926319573178828E-2</v>
      </c>
      <c r="S35" s="2"/>
      <c r="T35" s="6">
        <v>12264</v>
      </c>
      <c r="U35" s="2"/>
      <c r="V35" s="7">
        <f t="shared" si="11"/>
        <v>3.5587797888933223E-2</v>
      </c>
      <c r="W35" s="2"/>
      <c r="X35" s="6">
        <f t="shared" si="12"/>
        <v>5119.4399999999987</v>
      </c>
      <c r="Y35" s="2"/>
      <c r="Z35" s="7">
        <f t="shared" si="13"/>
        <v>0.41743639921722103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6">
        <v>63.88</v>
      </c>
      <c r="E36" s="2"/>
      <c r="F36" s="7">
        <f t="shared" si="6"/>
        <v>1.7335335345657851E-3</v>
      </c>
      <c r="G36" s="2"/>
      <c r="H36" s="6">
        <v>43.355364947352001</v>
      </c>
      <c r="I36" s="2"/>
      <c r="J36" s="7">
        <f t="shared" si="7"/>
        <v>1.0866006252469172E-3</v>
      </c>
      <c r="K36" s="2"/>
      <c r="L36" s="6">
        <f t="shared" si="8"/>
        <v>20.524635052648001</v>
      </c>
      <c r="M36" s="2"/>
      <c r="N36" s="7">
        <f t="shared" si="9"/>
        <v>0.47340473497505586</v>
      </c>
      <c r="O36" s="11"/>
      <c r="P36" s="6">
        <v>312</v>
      </c>
      <c r="Q36" s="2"/>
      <c r="R36" s="7">
        <f t="shared" si="10"/>
        <v>1.0396683111531318E-3</v>
      </c>
      <c r="S36" s="2"/>
      <c r="T36" s="6">
        <v>285.57439847227198</v>
      </c>
      <c r="U36" s="2"/>
      <c r="V36" s="7">
        <f t="shared" si="11"/>
        <v>8.2868264637026218E-4</v>
      </c>
      <c r="W36" s="2"/>
      <c r="X36" s="6">
        <f t="shared" si="12"/>
        <v>26.42560152772802</v>
      </c>
      <c r="Y36" s="2"/>
      <c r="Z36" s="7">
        <f t="shared" si="13"/>
        <v>9.253491093423008E-2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6">
        <v>1187.75</v>
      </c>
      <c r="E37" s="2"/>
      <c r="F37" s="7">
        <f t="shared" si="6"/>
        <v>3.223238033313261E-2</v>
      </c>
      <c r="G37" s="2"/>
      <c r="H37" s="6">
        <v>910.22022923076906</v>
      </c>
      <c r="I37" s="2"/>
      <c r="J37" s="7">
        <f t="shared" si="7"/>
        <v>2.2812537073452859E-2</v>
      </c>
      <c r="K37" s="2"/>
      <c r="L37" s="6">
        <f t="shared" si="8"/>
        <v>277.52977076923094</v>
      </c>
      <c r="M37" s="2"/>
      <c r="N37" s="7">
        <f t="shared" si="9"/>
        <v>0.30490398022000953</v>
      </c>
      <c r="O37" s="11"/>
      <c r="P37" s="6">
        <v>7821.41</v>
      </c>
      <c r="Q37" s="2"/>
      <c r="R37" s="7">
        <f t="shared" si="10"/>
        <v>2.6063051684410948E-2</v>
      </c>
      <c r="S37" s="2"/>
      <c r="T37" s="6">
        <v>5916.4314899999954</v>
      </c>
      <c r="U37" s="2"/>
      <c r="V37" s="7">
        <f t="shared" si="11"/>
        <v>1.7168360085603383E-2</v>
      </c>
      <c r="W37" s="2"/>
      <c r="X37" s="6">
        <f t="shared" si="12"/>
        <v>1904.9785100000045</v>
      </c>
      <c r="Y37" s="2"/>
      <c r="Z37" s="7">
        <f t="shared" si="13"/>
        <v>0.32198099702832966</v>
      </c>
    </row>
    <row r="38" spans="1:26" s="24" customFormat="1" hidden="1" outlineLevel="2" x14ac:dyDescent="0.25">
      <c r="A38" s="26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6"/>
        <v>0</v>
      </c>
      <c r="G38" s="2"/>
      <c r="H38" s="6">
        <v>0</v>
      </c>
      <c r="I38" s="2"/>
      <c r="J38" s="7">
        <f t="shared" si="7"/>
        <v>0</v>
      </c>
      <c r="K38" s="2"/>
      <c r="L38" s="6">
        <f t="shared" si="8"/>
        <v>0</v>
      </c>
      <c r="M38" s="2"/>
      <c r="N38" s="7">
        <f t="shared" si="9"/>
        <v>0</v>
      </c>
      <c r="O38" s="11"/>
      <c r="P38" s="6"/>
      <c r="Q38" s="2"/>
      <c r="R38" s="7">
        <f t="shared" si="10"/>
        <v>0</v>
      </c>
      <c r="S38" s="2"/>
      <c r="T38" s="6">
        <v>0</v>
      </c>
      <c r="U38" s="2"/>
      <c r="V38" s="7">
        <f t="shared" si="11"/>
        <v>0</v>
      </c>
      <c r="W38" s="2"/>
      <c r="X38" s="6">
        <f t="shared" si="12"/>
        <v>0</v>
      </c>
      <c r="Y38" s="2"/>
      <c r="Z38" s="7">
        <f t="shared" si="13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969.46</v>
      </c>
      <c r="E39" s="2"/>
      <c r="F39" s="7">
        <f t="shared" si="6"/>
        <v>2.6308569511899593E-2</v>
      </c>
      <c r="G39" s="2"/>
      <c r="H39" s="6">
        <v>529.19780769230795</v>
      </c>
      <c r="I39" s="2"/>
      <c r="J39" s="7">
        <f t="shared" si="7"/>
        <v>1.3263102949681903E-2</v>
      </c>
      <c r="K39" s="2"/>
      <c r="L39" s="6">
        <f t="shared" si="8"/>
        <v>440.26219230769209</v>
      </c>
      <c r="M39" s="2"/>
      <c r="N39" s="7">
        <f t="shared" si="9"/>
        <v>0.83194258537759136</v>
      </c>
      <c r="O39" s="11"/>
      <c r="P39" s="6">
        <v>6910.41</v>
      </c>
      <c r="Q39" s="2"/>
      <c r="R39" s="7">
        <f t="shared" si="10"/>
        <v>2.3027353506652925E-2</v>
      </c>
      <c r="S39" s="2"/>
      <c r="T39" s="6">
        <v>3439.7857500000018</v>
      </c>
      <c r="U39" s="2"/>
      <c r="V39" s="7">
        <f t="shared" si="11"/>
        <v>9.9816047009322114E-3</v>
      </c>
      <c r="W39" s="2"/>
      <c r="X39" s="6">
        <f t="shared" si="12"/>
        <v>3470.624249999998</v>
      </c>
      <c r="Y39" s="2"/>
      <c r="Z39" s="7">
        <f t="shared" si="13"/>
        <v>1.0089652386053394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556.54</v>
      </c>
      <c r="E40" s="2"/>
      <c r="F40" s="7">
        <f t="shared" si="6"/>
        <v>1.5103017428416436E-2</v>
      </c>
      <c r="G40" s="2"/>
      <c r="H40" s="6">
        <v>378.43052672058502</v>
      </c>
      <c r="I40" s="2"/>
      <c r="J40" s="7">
        <f t="shared" si="7"/>
        <v>9.4844743538993748E-3</v>
      </c>
      <c r="K40" s="2"/>
      <c r="L40" s="6">
        <f t="shared" si="8"/>
        <v>178.10947327941494</v>
      </c>
      <c r="M40" s="2"/>
      <c r="N40" s="7">
        <f t="shared" si="9"/>
        <v>0.47065302797552178</v>
      </c>
      <c r="O40" s="11"/>
      <c r="P40" s="6">
        <v>4096.3</v>
      </c>
      <c r="Q40" s="2"/>
      <c r="R40" s="7">
        <f t="shared" si="10"/>
        <v>1.3649978535181326E-2</v>
      </c>
      <c r="S40" s="2"/>
      <c r="T40" s="6">
        <v>2474.277371047202</v>
      </c>
      <c r="U40" s="2"/>
      <c r="V40" s="7">
        <f t="shared" si="11"/>
        <v>7.1798828279508202E-3</v>
      </c>
      <c r="W40" s="2"/>
      <c r="X40" s="6">
        <f t="shared" si="12"/>
        <v>1622.0226289527982</v>
      </c>
      <c r="Y40" s="2"/>
      <c r="Z40" s="7">
        <f t="shared" si="13"/>
        <v>0.65555408133822146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317</v>
      </c>
      <c r="E41" s="2"/>
      <c r="F41" s="7">
        <f t="shared" si="6"/>
        <v>8.6025380472347195E-3</v>
      </c>
      <c r="G41" s="2"/>
      <c r="H41" s="6">
        <v>300</v>
      </c>
      <c r="I41" s="2"/>
      <c r="J41" s="7">
        <f t="shared" si="7"/>
        <v>7.5187969924812026E-3</v>
      </c>
      <c r="K41" s="2"/>
      <c r="L41" s="6">
        <f t="shared" si="8"/>
        <v>17</v>
      </c>
      <c r="M41" s="2"/>
      <c r="N41" s="7">
        <f t="shared" si="9"/>
        <v>5.6666666666666664E-2</v>
      </c>
      <c r="O41" s="11"/>
      <c r="P41" s="6">
        <v>1666.28</v>
      </c>
      <c r="Q41" s="2"/>
      <c r="R41" s="7">
        <f t="shared" si="10"/>
        <v>5.5524952356033339E-3</v>
      </c>
      <c r="S41" s="2"/>
      <c r="T41" s="6">
        <v>1800</v>
      </c>
      <c r="U41" s="2"/>
      <c r="V41" s="7">
        <f t="shared" si="11"/>
        <v>5.2232580071819796E-3</v>
      </c>
      <c r="W41" s="2"/>
      <c r="X41" s="6">
        <f t="shared" si="12"/>
        <v>-133.72000000000003</v>
      </c>
      <c r="Y41" s="2"/>
      <c r="Z41" s="7">
        <f t="shared" si="13"/>
        <v>-7.4288888888888904E-2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16061.960000000001</v>
      </c>
      <c r="E42" s="1"/>
      <c r="F42" s="5">
        <f t="shared" ref="F42:F52" si="14">IF(D$12=0,0,D42/D$12)</f>
        <v>0.43587893379546427</v>
      </c>
      <c r="G42" s="1"/>
      <c r="H42" s="1">
        <f>SUM(OSRRefH22_1x_0)</f>
        <v>15828.423872058462</v>
      </c>
      <c r="I42" s="1"/>
      <c r="J42" s="5">
        <f t="shared" ref="J42:J52" si="15">IF(H$12=0,0,H42/H$12)</f>
        <v>0.39670235268316945</v>
      </c>
      <c r="K42" s="1"/>
      <c r="L42" s="1">
        <f t="shared" ref="L42:L52" si="16">+D42-H42</f>
        <v>233.53612794153923</v>
      </c>
      <c r="M42" s="1"/>
      <c r="N42" s="5">
        <f t="shared" ref="N42:N52" si="17">IF(H42=0,0,L42/H42)</f>
        <v>1.4754225046613452E-2</v>
      </c>
      <c r="O42" s="13"/>
      <c r="P42" s="1">
        <f>SUM(OSRRefP22_1x_0)</f>
        <v>101860.43</v>
      </c>
      <c r="Q42" s="1"/>
      <c r="R42" s="5">
        <f t="shared" ref="R42:R52" si="18">IF(P$12=0,0,P42/P$12)</f>
        <v>0.33942647830587108</v>
      </c>
      <c r="S42" s="1"/>
      <c r="T42" s="1">
        <f>SUM(OSRRefT22_1x_0)</f>
        <v>104332.64990472</v>
      </c>
      <c r="U42" s="1"/>
      <c r="V42" s="5">
        <f t="shared" ref="V42:V52" si="19">IF(T$12=0,0,T42/T$12)</f>
        <v>0.30275352723630167</v>
      </c>
      <c r="W42" s="1"/>
      <c r="X42" s="1">
        <f t="shared" ref="X42:X52" si="20">+P42-T42</f>
        <v>-2472.219904720012</v>
      </c>
      <c r="Y42" s="1"/>
      <c r="Z42" s="5">
        <f t="shared" ref="Z42:Z52" si="21">IF(T42=0,0,X42/T42)</f>
        <v>-2.369555366395586E-2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14"/>
        <v>0</v>
      </c>
      <c r="G43" s="2"/>
      <c r="H43" s="6">
        <v>5990.5432000000001</v>
      </c>
      <c r="I43" s="2"/>
      <c r="J43" s="7">
        <f t="shared" si="15"/>
        <v>0.15013892731829573</v>
      </c>
      <c r="K43" s="2"/>
      <c r="L43" s="6">
        <f t="shared" si="16"/>
        <v>-5990.5432000000001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38938.5308</v>
      </c>
      <c r="U43" s="2"/>
      <c r="V43" s="7">
        <f t="shared" si="19"/>
        <v>0.1129922182161123</v>
      </c>
      <c r="W43" s="2"/>
      <c r="X43" s="6">
        <f t="shared" si="20"/>
        <v>-38938.5308</v>
      </c>
      <c r="Y43" s="2"/>
      <c r="Z43" s="7">
        <f t="shared" si="21"/>
        <v>-1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11747.2</v>
      </c>
      <c r="E44" s="2"/>
      <c r="F44" s="7">
        <f t="shared" si="14"/>
        <v>0.3187878074084407</v>
      </c>
      <c r="G44" s="2"/>
      <c r="H44" s="6">
        <v>3746.6964615384595</v>
      </c>
      <c r="I44" s="2"/>
      <c r="J44" s="7">
        <f t="shared" si="15"/>
        <v>9.3902166955851116E-2</v>
      </c>
      <c r="K44" s="2"/>
      <c r="L44" s="6">
        <f t="shared" si="16"/>
        <v>8000.5035384615412</v>
      </c>
      <c r="M44" s="2"/>
      <c r="N44" s="7">
        <f t="shared" si="17"/>
        <v>2.1353487320337643</v>
      </c>
      <c r="O44" s="11"/>
      <c r="P44" s="6">
        <v>67593.759999999995</v>
      </c>
      <c r="Q44" s="2"/>
      <c r="R44" s="7">
        <f t="shared" si="18"/>
        <v>0.2252406740502888</v>
      </c>
      <c r="S44" s="2"/>
      <c r="T44" s="6">
        <v>24353.527000000002</v>
      </c>
      <c r="U44" s="2"/>
      <c r="V44" s="7">
        <f t="shared" si="19"/>
        <v>7.0669308281040302E-2</v>
      </c>
      <c r="W44" s="2"/>
      <c r="X44" s="6">
        <f t="shared" si="20"/>
        <v>43240.232999999993</v>
      </c>
      <c r="Y44" s="2"/>
      <c r="Z44" s="7">
        <f t="shared" si="21"/>
        <v>1.7755224120103832</v>
      </c>
    </row>
    <row r="45" spans="1:26" s="24" customFormat="1" hidden="1" outlineLevel="2" x14ac:dyDescent="0.25">
      <c r="A45" s="26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14"/>
        <v>0</v>
      </c>
      <c r="G45" s="2"/>
      <c r="H45" s="6">
        <v>0</v>
      </c>
      <c r="I45" s="2"/>
      <c r="J45" s="7">
        <f t="shared" si="15"/>
        <v>0</v>
      </c>
      <c r="K45" s="2"/>
      <c r="L45" s="6">
        <f t="shared" si="16"/>
        <v>0</v>
      </c>
      <c r="M45" s="2"/>
      <c r="N45" s="7">
        <f t="shared" si="17"/>
        <v>0</v>
      </c>
      <c r="O45" s="11"/>
      <c r="P45" s="6"/>
      <c r="Q45" s="2"/>
      <c r="R45" s="7">
        <f t="shared" si="18"/>
        <v>0</v>
      </c>
      <c r="S45" s="2"/>
      <c r="T45" s="6">
        <v>0</v>
      </c>
      <c r="U45" s="2"/>
      <c r="V45" s="7">
        <f t="shared" si="19"/>
        <v>0</v>
      </c>
      <c r="W45" s="2"/>
      <c r="X45" s="6">
        <f t="shared" si="20"/>
        <v>0</v>
      </c>
      <c r="Y45" s="2"/>
      <c r="Z45" s="7">
        <f t="shared" si="21"/>
        <v>0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14"/>
        <v>0</v>
      </c>
      <c r="G46" s="2"/>
      <c r="H46" s="6">
        <v>2730</v>
      </c>
      <c r="I46" s="2"/>
      <c r="J46" s="7">
        <f t="shared" si="15"/>
        <v>6.8421052631578952E-2</v>
      </c>
      <c r="K46" s="2"/>
      <c r="L46" s="6">
        <f t="shared" si="16"/>
        <v>-2730</v>
      </c>
      <c r="M46" s="2"/>
      <c r="N46" s="7">
        <f t="shared" si="17"/>
        <v>-1</v>
      </c>
      <c r="O46" s="11"/>
      <c r="P46" s="6"/>
      <c r="Q46" s="2"/>
      <c r="R46" s="7">
        <f t="shared" si="18"/>
        <v>0</v>
      </c>
      <c r="S46" s="2"/>
      <c r="T46" s="6">
        <v>18060</v>
      </c>
      <c r="U46" s="2"/>
      <c r="V46" s="7">
        <f t="shared" si="19"/>
        <v>5.24066886720592E-2</v>
      </c>
      <c r="W46" s="2"/>
      <c r="X46" s="6">
        <f t="shared" si="20"/>
        <v>-18060</v>
      </c>
      <c r="Y46" s="2"/>
      <c r="Z46" s="7">
        <f t="shared" si="21"/>
        <v>-1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1897</v>
      </c>
      <c r="E47" s="2"/>
      <c r="F47" s="7">
        <f t="shared" si="14"/>
        <v>5.1479541563420383E-2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1897</v>
      </c>
      <c r="M47" s="2"/>
      <c r="N47" s="7">
        <f t="shared" si="17"/>
        <v>0</v>
      </c>
      <c r="O47" s="11"/>
      <c r="P47" s="6">
        <v>11858</v>
      </c>
      <c r="Q47" s="2"/>
      <c r="R47" s="7">
        <f t="shared" si="18"/>
        <v>3.9514060364275114E-2</v>
      </c>
      <c r="S47" s="2"/>
      <c r="T47" s="6">
        <v>0</v>
      </c>
      <c r="U47" s="2"/>
      <c r="V47" s="7">
        <f t="shared" si="19"/>
        <v>0</v>
      </c>
      <c r="W47" s="2"/>
      <c r="X47" s="6">
        <f t="shared" si="20"/>
        <v>11858</v>
      </c>
      <c r="Y47" s="2"/>
      <c r="Z47" s="7">
        <f t="shared" si="21"/>
        <v>0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14"/>
        <v>0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/>
      <c r="Q48" s="2"/>
      <c r="R48" s="7">
        <f t="shared" si="18"/>
        <v>0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0</v>
      </c>
      <c r="Y48" s="2"/>
      <c r="Z48" s="7">
        <f t="shared" si="21"/>
        <v>0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2417.7600000000002</v>
      </c>
      <c r="E49" s="2"/>
      <c r="F49" s="7">
        <f t="shared" si="14"/>
        <v>6.56115848236032E-2</v>
      </c>
      <c r="G49" s="2"/>
      <c r="H49" s="6">
        <v>0</v>
      </c>
      <c r="I49" s="2"/>
      <c r="J49" s="7">
        <f t="shared" si="15"/>
        <v>0</v>
      </c>
      <c r="K49" s="2"/>
      <c r="L49" s="6">
        <f t="shared" si="16"/>
        <v>2417.7600000000002</v>
      </c>
      <c r="M49" s="2"/>
      <c r="N49" s="7">
        <f t="shared" si="17"/>
        <v>0</v>
      </c>
      <c r="O49" s="11"/>
      <c r="P49" s="6">
        <v>22408.670000000002</v>
      </c>
      <c r="Q49" s="2"/>
      <c r="R49" s="7">
        <f t="shared" si="18"/>
        <v>7.4671743891307207E-2</v>
      </c>
      <c r="S49" s="2"/>
      <c r="T49" s="6">
        <v>3756.1363631999998</v>
      </c>
      <c r="U49" s="2"/>
      <c r="V49" s="7">
        <f t="shared" si="19"/>
        <v>1.0899594075084333E-2</v>
      </c>
      <c r="W49" s="2"/>
      <c r="X49" s="6">
        <f t="shared" si="20"/>
        <v>18652.533636800003</v>
      </c>
      <c r="Y49" s="2"/>
      <c r="Z49" s="7">
        <f t="shared" si="21"/>
        <v>4.9658829800601749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14"/>
        <v>0</v>
      </c>
      <c r="G50" s="2"/>
      <c r="H50" s="6">
        <v>3361.1842105200003</v>
      </c>
      <c r="I50" s="2"/>
      <c r="J50" s="7">
        <f t="shared" si="15"/>
        <v>8.4240205777443622E-2</v>
      </c>
      <c r="K50" s="2"/>
      <c r="L50" s="6">
        <f t="shared" si="16"/>
        <v>-3361.1842105200003</v>
      </c>
      <c r="M50" s="2"/>
      <c r="N50" s="7">
        <f t="shared" si="17"/>
        <v>-1</v>
      </c>
      <c r="O50" s="11"/>
      <c r="P50" s="6"/>
      <c r="Q50" s="2"/>
      <c r="R50" s="7">
        <f t="shared" si="18"/>
        <v>0</v>
      </c>
      <c r="S50" s="2"/>
      <c r="T50" s="6">
        <v>19224.45574152</v>
      </c>
      <c r="U50" s="2"/>
      <c r="V50" s="7">
        <f t="shared" si="19"/>
        <v>5.5785717992005511E-2</v>
      </c>
      <c r="W50" s="2"/>
      <c r="X50" s="6">
        <f t="shared" si="20"/>
        <v>-19224.45574152</v>
      </c>
      <c r="Y50" s="2"/>
      <c r="Z50" s="7">
        <f t="shared" si="21"/>
        <v>-1</v>
      </c>
    </row>
    <row r="51" spans="1:26" s="24" customFormat="1" hidden="1" outlineLevel="2" x14ac:dyDescent="0.25">
      <c r="A51" s="26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/>
      <c r="Q51" s="2"/>
      <c r="R51" s="7">
        <f t="shared" si="18"/>
        <v>0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0</v>
      </c>
      <c r="Y51" s="2"/>
      <c r="Z51" s="7">
        <f t="shared" si="21"/>
        <v>0</v>
      </c>
    </row>
    <row r="52" spans="1:26" s="24" customFormat="1" hidden="1" outlineLevel="2" x14ac:dyDescent="0.25">
      <c r="A52" s="26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14"/>
        <v>0</v>
      </c>
      <c r="G52" s="2"/>
      <c r="H52" s="6">
        <v>0</v>
      </c>
      <c r="I52" s="2"/>
      <c r="J52" s="7">
        <f t="shared" si="15"/>
        <v>0</v>
      </c>
      <c r="K52" s="2"/>
      <c r="L52" s="6">
        <f t="shared" si="16"/>
        <v>0</v>
      </c>
      <c r="M52" s="2"/>
      <c r="N52" s="7">
        <f t="shared" si="17"/>
        <v>0</v>
      </c>
      <c r="O52" s="11"/>
      <c r="P52" s="6"/>
      <c r="Q52" s="2"/>
      <c r="R52" s="7">
        <f t="shared" si="18"/>
        <v>0</v>
      </c>
      <c r="S52" s="2"/>
      <c r="T52" s="6">
        <v>0</v>
      </c>
      <c r="U52" s="2"/>
      <c r="V52" s="7">
        <f t="shared" si="19"/>
        <v>0</v>
      </c>
      <c r="W52" s="2"/>
      <c r="X52" s="6">
        <f t="shared" si="20"/>
        <v>0</v>
      </c>
      <c r="Y52" s="2"/>
      <c r="Z52" s="7">
        <f t="shared" si="21"/>
        <v>0</v>
      </c>
    </row>
    <row r="53" spans="1:26" s="25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397.5</v>
      </c>
      <c r="E53" s="1"/>
      <c r="F53" s="5">
        <f t="shared" ref="F53:F69" si="22">IF(D$12=0,0,D53/D$12)</f>
        <v>1.0787094239040382E-2</v>
      </c>
      <c r="G53" s="1"/>
      <c r="H53" s="1">
        <f>SUM(OSRRefH22_2x_0)</f>
        <v>100</v>
      </c>
      <c r="I53" s="1"/>
      <c r="J53" s="5">
        <f t="shared" ref="J53:J69" si="23">IF(H$12=0,0,H53/H$12)</f>
        <v>2.5062656641604009E-3</v>
      </c>
      <c r="K53" s="1"/>
      <c r="L53" s="1">
        <f t="shared" ref="L53:L69" si="24">+D53-H53</f>
        <v>297.5</v>
      </c>
      <c r="M53" s="1"/>
      <c r="N53" s="5">
        <f t="shared" ref="N53:N69" si="25">IF(H53=0,0,L53/H53)</f>
        <v>2.9750000000000001</v>
      </c>
      <c r="O53" s="13"/>
      <c r="P53" s="1">
        <f>SUM(OSRRefP22_2x_0)</f>
        <v>397.5</v>
      </c>
      <c r="Q53" s="1"/>
      <c r="R53" s="5">
        <f t="shared" ref="R53:R69" si="26">IF(P$12=0,0,P53/P$12)</f>
        <v>1.3245774156518265E-3</v>
      </c>
      <c r="S53" s="1"/>
      <c r="T53" s="1">
        <f>SUM(OSRRefT22_2x_0)</f>
        <v>600</v>
      </c>
      <c r="U53" s="1"/>
      <c r="V53" s="5">
        <f t="shared" ref="V53:V69" si="27">IF(T$12=0,0,T53/T$12)</f>
        <v>1.7410860023939932E-3</v>
      </c>
      <c r="W53" s="1"/>
      <c r="X53" s="1">
        <f t="shared" ref="X53:X69" si="28">+P53-T53</f>
        <v>-202.5</v>
      </c>
      <c r="Y53" s="1"/>
      <c r="Z53" s="5">
        <f t="shared" ref="Z53:Z69" si="29">IF(T53=0,0,X53/T53)</f>
        <v>-0.33750000000000002</v>
      </c>
    </row>
    <row r="54" spans="1:26" s="24" customFormat="1" hidden="1" outlineLevel="2" x14ac:dyDescent="0.25">
      <c r="A54" s="26"/>
      <c r="B54" s="11" t="str">
        <f>CONCATENATE("          ", "6362", " - ", "ADVERTISING EXPENSE")</f>
        <v xml:space="preserve">          6362 - ADVERTISING EXPENSE</v>
      </c>
      <c r="C54" s="11"/>
      <c r="D54" s="6">
        <v>397.5</v>
      </c>
      <c r="E54" s="2"/>
      <c r="F54" s="7">
        <f t="shared" si="22"/>
        <v>1.0787094239040382E-2</v>
      </c>
      <c r="G54" s="2"/>
      <c r="H54" s="6">
        <v>100</v>
      </c>
      <c r="I54" s="2"/>
      <c r="J54" s="7">
        <f t="shared" si="23"/>
        <v>2.5062656641604009E-3</v>
      </c>
      <c r="K54" s="2"/>
      <c r="L54" s="6">
        <f t="shared" si="24"/>
        <v>297.5</v>
      </c>
      <c r="M54" s="2"/>
      <c r="N54" s="7">
        <f t="shared" si="25"/>
        <v>2.9750000000000001</v>
      </c>
      <c r="O54" s="11"/>
      <c r="P54" s="6">
        <v>397.5</v>
      </c>
      <c r="Q54" s="2"/>
      <c r="R54" s="7">
        <f t="shared" si="26"/>
        <v>1.3245774156518265E-3</v>
      </c>
      <c r="S54" s="2"/>
      <c r="T54" s="6">
        <v>600</v>
      </c>
      <c r="U54" s="2"/>
      <c r="V54" s="7">
        <f t="shared" si="27"/>
        <v>1.7410860023939932E-3</v>
      </c>
      <c r="W54" s="2"/>
      <c r="X54" s="6">
        <f t="shared" si="28"/>
        <v>-202.5</v>
      </c>
      <c r="Y54" s="2"/>
      <c r="Z54" s="7">
        <f t="shared" si="29"/>
        <v>-0.33750000000000002</v>
      </c>
    </row>
    <row r="55" spans="1:26" s="25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169.88</v>
      </c>
      <c r="E55" s="1"/>
      <c r="F55" s="5">
        <f t="shared" si="22"/>
        <v>4.6100919983098863E-3</v>
      </c>
      <c r="G55" s="1"/>
      <c r="H55" s="1">
        <f>SUM(OSRRefH22_3x_0)</f>
        <v>0</v>
      </c>
      <c r="I55" s="1"/>
      <c r="J55" s="5">
        <f t="shared" si="23"/>
        <v>0</v>
      </c>
      <c r="K55" s="1"/>
      <c r="L55" s="1">
        <f t="shared" si="24"/>
        <v>169.88</v>
      </c>
      <c r="M55" s="1"/>
      <c r="N55" s="5">
        <f t="shared" si="25"/>
        <v>0</v>
      </c>
      <c r="O55" s="13"/>
      <c r="P55" s="1">
        <f>SUM(OSRRefP22_3x_0)</f>
        <v>169.88</v>
      </c>
      <c r="Q55" s="1"/>
      <c r="R55" s="5">
        <f t="shared" si="26"/>
        <v>5.6608606634196798E-4</v>
      </c>
      <c r="S55" s="1"/>
      <c r="T55" s="1">
        <f>SUM(OSRRefT22_3x_0)</f>
        <v>0</v>
      </c>
      <c r="U55" s="1"/>
      <c r="V55" s="5">
        <f t="shared" si="27"/>
        <v>0</v>
      </c>
      <c r="W55" s="1"/>
      <c r="X55" s="1">
        <f t="shared" si="28"/>
        <v>169.88</v>
      </c>
      <c r="Y55" s="1"/>
      <c r="Z55" s="5">
        <f t="shared" si="29"/>
        <v>0</v>
      </c>
    </row>
    <row r="56" spans="1:26" s="24" customFormat="1" hidden="1" outlineLevel="2" x14ac:dyDescent="0.25">
      <c r="A56" s="26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169.88</v>
      </c>
      <c r="E56" s="2"/>
      <c r="F56" s="7">
        <f t="shared" si="22"/>
        <v>4.6100919983098863E-3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169.88</v>
      </c>
      <c r="M56" s="2"/>
      <c r="N56" s="7">
        <f t="shared" si="25"/>
        <v>0</v>
      </c>
      <c r="O56" s="11"/>
      <c r="P56" s="6">
        <v>169.88</v>
      </c>
      <c r="Q56" s="2"/>
      <c r="R56" s="7">
        <f t="shared" si="26"/>
        <v>5.6608606634196798E-4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169.88</v>
      </c>
      <c r="Y56" s="2"/>
      <c r="Z56" s="7">
        <f t="shared" si="29"/>
        <v>0</v>
      </c>
    </row>
    <row r="57" spans="1:26" s="25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43.8</v>
      </c>
      <c r="E57" s="1"/>
      <c r="F57" s="5">
        <f t="shared" si="22"/>
        <v>1.1886156670942608E-3</v>
      </c>
      <c r="G57" s="1"/>
      <c r="H57" s="1">
        <f>SUM(OSRRefH22_4x_0)</f>
        <v>600</v>
      </c>
      <c r="I57" s="1"/>
      <c r="J57" s="5">
        <f t="shared" si="23"/>
        <v>1.5037593984962405E-2</v>
      </c>
      <c r="K57" s="1"/>
      <c r="L57" s="1">
        <f t="shared" si="24"/>
        <v>-556.20000000000005</v>
      </c>
      <c r="M57" s="1"/>
      <c r="N57" s="5">
        <f t="shared" si="25"/>
        <v>-0.92700000000000005</v>
      </c>
      <c r="O57" s="13"/>
      <c r="P57" s="1">
        <f>SUM(OSRRefP22_4x_0)</f>
        <v>464.27</v>
      </c>
      <c r="Q57" s="1"/>
      <c r="R57" s="5">
        <f t="shared" si="26"/>
        <v>1.5470730987790526E-3</v>
      </c>
      <c r="S57" s="1"/>
      <c r="T57" s="1">
        <f>SUM(OSRRefT22_4x_0)</f>
        <v>4000</v>
      </c>
      <c r="U57" s="1"/>
      <c r="V57" s="5">
        <f t="shared" si="27"/>
        <v>1.1607240015959955E-2</v>
      </c>
      <c r="W57" s="1"/>
      <c r="X57" s="1">
        <f t="shared" si="28"/>
        <v>-3535.73</v>
      </c>
      <c r="Y57" s="1"/>
      <c r="Z57" s="5">
        <f t="shared" si="29"/>
        <v>-0.88393250000000001</v>
      </c>
    </row>
    <row r="58" spans="1:26" s="24" customFormat="1" hidden="1" outlineLevel="2" x14ac:dyDescent="0.25">
      <c r="A58" s="26"/>
      <c r="B58" s="11" t="str">
        <f>CONCATENATE("          ", "6382", " - ", "DISCOUNTS/MARK DOWNS")</f>
        <v xml:space="preserve">          6382 - DISCOUNTS/MARK DOWNS</v>
      </c>
      <c r="C58" s="11"/>
      <c r="D58" s="6">
        <v>43.8</v>
      </c>
      <c r="E58" s="2"/>
      <c r="F58" s="7">
        <f t="shared" si="22"/>
        <v>1.1886156670942608E-3</v>
      </c>
      <c r="G58" s="2"/>
      <c r="H58" s="6">
        <v>600</v>
      </c>
      <c r="I58" s="2"/>
      <c r="J58" s="7">
        <f t="shared" si="23"/>
        <v>1.5037593984962405E-2</v>
      </c>
      <c r="K58" s="2"/>
      <c r="L58" s="6">
        <f t="shared" si="24"/>
        <v>-556.20000000000005</v>
      </c>
      <c r="M58" s="2"/>
      <c r="N58" s="7">
        <f t="shared" si="25"/>
        <v>-0.92700000000000005</v>
      </c>
      <c r="O58" s="11"/>
      <c r="P58" s="6">
        <v>464.27</v>
      </c>
      <c r="Q58" s="2"/>
      <c r="R58" s="7">
        <f t="shared" si="26"/>
        <v>1.5470730987790526E-3</v>
      </c>
      <c r="S58" s="2"/>
      <c r="T58" s="6">
        <v>4000</v>
      </c>
      <c r="U58" s="2"/>
      <c r="V58" s="7">
        <f t="shared" si="27"/>
        <v>1.1607240015959955E-2</v>
      </c>
      <c r="W58" s="2"/>
      <c r="X58" s="6">
        <f t="shared" si="28"/>
        <v>-3535.73</v>
      </c>
      <c r="Y58" s="2"/>
      <c r="Z58" s="7">
        <f t="shared" si="29"/>
        <v>-0.88393250000000001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SUM(OSRRefD22_5x_0)</f>
        <v>0</v>
      </c>
      <c r="E59" s="1"/>
      <c r="F59" s="5">
        <f t="shared" si="22"/>
        <v>0</v>
      </c>
      <c r="G59" s="1"/>
      <c r="H59" s="1">
        <f>SUM(OSRRefH22_5x_0)</f>
        <v>100</v>
      </c>
      <c r="I59" s="1"/>
      <c r="J59" s="5">
        <f t="shared" si="23"/>
        <v>2.5062656641604009E-3</v>
      </c>
      <c r="K59" s="1"/>
      <c r="L59" s="1">
        <f t="shared" si="24"/>
        <v>-100</v>
      </c>
      <c r="M59" s="1"/>
      <c r="N59" s="5">
        <f t="shared" si="25"/>
        <v>-1</v>
      </c>
      <c r="O59" s="13"/>
      <c r="P59" s="1">
        <f>SUM(OSRRefP22_5x_0)</f>
        <v>0</v>
      </c>
      <c r="Q59" s="1"/>
      <c r="R59" s="5">
        <f t="shared" si="26"/>
        <v>0</v>
      </c>
      <c r="S59" s="1"/>
      <c r="T59" s="1">
        <f>SUM(OSRRefT22_5x_0)</f>
        <v>600</v>
      </c>
      <c r="U59" s="1"/>
      <c r="V59" s="5">
        <f t="shared" si="27"/>
        <v>1.7410860023939932E-3</v>
      </c>
      <c r="W59" s="1"/>
      <c r="X59" s="1">
        <f t="shared" si="28"/>
        <v>-600</v>
      </c>
      <c r="Y59" s="1"/>
      <c r="Z59" s="5">
        <f t="shared" si="29"/>
        <v>-1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2"/>
        <v>0</v>
      </c>
      <c r="G60" s="2"/>
      <c r="H60" s="6">
        <v>100</v>
      </c>
      <c r="I60" s="2"/>
      <c r="J60" s="7">
        <f t="shared" si="23"/>
        <v>2.5062656641604009E-3</v>
      </c>
      <c r="K60" s="2"/>
      <c r="L60" s="6">
        <f t="shared" si="24"/>
        <v>-100</v>
      </c>
      <c r="M60" s="2"/>
      <c r="N60" s="7">
        <f t="shared" si="25"/>
        <v>-1</v>
      </c>
      <c r="O60" s="11"/>
      <c r="P60" s="6"/>
      <c r="Q60" s="2"/>
      <c r="R60" s="7">
        <f t="shared" si="26"/>
        <v>0</v>
      </c>
      <c r="S60" s="2"/>
      <c r="T60" s="6">
        <v>600</v>
      </c>
      <c r="U60" s="2"/>
      <c r="V60" s="7">
        <f t="shared" si="27"/>
        <v>1.7410860023939932E-3</v>
      </c>
      <c r="W60" s="2"/>
      <c r="X60" s="6">
        <f t="shared" si="28"/>
        <v>-600</v>
      </c>
      <c r="Y60" s="2"/>
      <c r="Z60" s="7">
        <f t="shared" si="29"/>
        <v>-1</v>
      </c>
    </row>
    <row r="61" spans="1:26" s="25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SUM(OSRRefD22_6x_0)</f>
        <v>0</v>
      </c>
      <c r="E61" s="1"/>
      <c r="F61" s="5">
        <f t="shared" si="22"/>
        <v>0</v>
      </c>
      <c r="G61" s="1"/>
      <c r="H61" s="1">
        <f>SUM(OSRRefH22_6x_0)</f>
        <v>3000</v>
      </c>
      <c r="I61" s="1"/>
      <c r="J61" s="5">
        <f t="shared" si="23"/>
        <v>7.5187969924812026E-2</v>
      </c>
      <c r="K61" s="1"/>
      <c r="L61" s="1">
        <f t="shared" si="24"/>
        <v>-3000</v>
      </c>
      <c r="M61" s="1"/>
      <c r="N61" s="5">
        <f t="shared" si="25"/>
        <v>-1</v>
      </c>
      <c r="O61" s="13"/>
      <c r="P61" s="1">
        <f>SUM(OSRRefP22_6x_0)</f>
        <v>9932.16</v>
      </c>
      <c r="Q61" s="1"/>
      <c r="R61" s="5">
        <f t="shared" si="26"/>
        <v>3.3096641068277845E-2</v>
      </c>
      <c r="S61" s="1"/>
      <c r="T61" s="1">
        <f>SUM(OSRRefT22_6x_0)</f>
        <v>18000</v>
      </c>
      <c r="U61" s="1"/>
      <c r="V61" s="5">
        <f t="shared" si="27"/>
        <v>5.2232580071819801E-2</v>
      </c>
      <c r="W61" s="1"/>
      <c r="X61" s="1">
        <f t="shared" si="28"/>
        <v>-8067.84</v>
      </c>
      <c r="Y61" s="1"/>
      <c r="Z61" s="5">
        <f t="shared" si="29"/>
        <v>-0.44821333333333335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22"/>
        <v>0</v>
      </c>
      <c r="G62" s="2"/>
      <c r="H62" s="6">
        <v>3000</v>
      </c>
      <c r="I62" s="2"/>
      <c r="J62" s="7">
        <f t="shared" si="23"/>
        <v>7.5187969924812026E-2</v>
      </c>
      <c r="K62" s="2"/>
      <c r="L62" s="6">
        <f t="shared" si="24"/>
        <v>-3000</v>
      </c>
      <c r="M62" s="2"/>
      <c r="N62" s="7">
        <f t="shared" si="25"/>
        <v>-1</v>
      </c>
      <c r="O62" s="11"/>
      <c r="P62" s="6">
        <v>9932.16</v>
      </c>
      <c r="Q62" s="2"/>
      <c r="R62" s="7">
        <f t="shared" si="26"/>
        <v>3.3096641068277845E-2</v>
      </c>
      <c r="S62" s="2"/>
      <c r="T62" s="6">
        <v>18000</v>
      </c>
      <c r="U62" s="2"/>
      <c r="V62" s="7">
        <f t="shared" si="27"/>
        <v>5.2232580071819801E-2</v>
      </c>
      <c r="W62" s="2"/>
      <c r="X62" s="6">
        <f t="shared" si="28"/>
        <v>-8067.84</v>
      </c>
      <c r="Y62" s="2"/>
      <c r="Z62" s="7">
        <f t="shared" si="29"/>
        <v>-0.44821333333333335</v>
      </c>
    </row>
    <row r="63" spans="1:26" s="25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SUM(OSRRefD22_7x_0)</f>
        <v>0</v>
      </c>
      <c r="E63" s="1"/>
      <c r="F63" s="5">
        <f t="shared" si="22"/>
        <v>0</v>
      </c>
      <c r="G63" s="1"/>
      <c r="H63" s="1">
        <f>SUM(OSRRefH22_7x_0)</f>
        <v>-300</v>
      </c>
      <c r="I63" s="1"/>
      <c r="J63" s="5">
        <f t="shared" si="23"/>
        <v>-7.5187969924812026E-3</v>
      </c>
      <c r="K63" s="1"/>
      <c r="L63" s="1">
        <f t="shared" si="24"/>
        <v>300</v>
      </c>
      <c r="M63" s="1"/>
      <c r="N63" s="5">
        <f t="shared" si="25"/>
        <v>-1</v>
      </c>
      <c r="O63" s="13"/>
      <c r="P63" s="1">
        <f>SUM(OSRRefP22_7x_0)</f>
        <v>9.1300000000000008</v>
      </c>
      <c r="Q63" s="1"/>
      <c r="R63" s="5">
        <f t="shared" si="26"/>
        <v>3.0423627182141325E-5</v>
      </c>
      <c r="S63" s="1"/>
      <c r="T63" s="1">
        <f>SUM(OSRRefT22_7x_0)</f>
        <v>-1800</v>
      </c>
      <c r="U63" s="1"/>
      <c r="V63" s="5">
        <f t="shared" si="27"/>
        <v>-5.2232580071819796E-3</v>
      </c>
      <c r="W63" s="1"/>
      <c r="X63" s="1">
        <f t="shared" si="28"/>
        <v>1809.13</v>
      </c>
      <c r="Y63" s="1"/>
      <c r="Z63" s="5">
        <f t="shared" si="29"/>
        <v>-1.0050722222222224</v>
      </c>
    </row>
    <row r="64" spans="1:26" s="24" customFormat="1" hidden="1" outlineLevel="2" x14ac:dyDescent="0.25">
      <c r="A64" s="26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2"/>
        <v>0</v>
      </c>
      <c r="G64" s="2"/>
      <c r="H64" s="6">
        <v>-300</v>
      </c>
      <c r="I64" s="2"/>
      <c r="J64" s="7">
        <f t="shared" si="23"/>
        <v>-7.5187969924812026E-3</v>
      </c>
      <c r="K64" s="2"/>
      <c r="L64" s="6">
        <f t="shared" si="24"/>
        <v>300</v>
      </c>
      <c r="M64" s="2"/>
      <c r="N64" s="7">
        <f t="shared" si="25"/>
        <v>-1</v>
      </c>
      <c r="O64" s="11"/>
      <c r="P64" s="6">
        <v>9.1300000000000008</v>
      </c>
      <c r="Q64" s="2"/>
      <c r="R64" s="7">
        <f t="shared" si="26"/>
        <v>3.0423627182141325E-5</v>
      </c>
      <c r="S64" s="2"/>
      <c r="T64" s="6">
        <v>-1800</v>
      </c>
      <c r="U64" s="2"/>
      <c r="V64" s="7">
        <f t="shared" si="27"/>
        <v>-5.2232580071819796E-3</v>
      </c>
      <c r="W64" s="2"/>
      <c r="X64" s="6">
        <f t="shared" si="28"/>
        <v>1809.13</v>
      </c>
      <c r="Y64" s="2"/>
      <c r="Z64" s="7">
        <f t="shared" si="29"/>
        <v>-1.0050722222222224</v>
      </c>
    </row>
    <row r="65" spans="1:26" s="25" customFormat="1" outlineLevel="1" collapsed="1" x14ac:dyDescent="0.25">
      <c r="A65" s="27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SUM(OSRRefD22_8x_0)</f>
        <v>75</v>
      </c>
      <c r="E65" s="1"/>
      <c r="F65" s="5">
        <f t="shared" si="22"/>
        <v>2.0353007998189397E-3</v>
      </c>
      <c r="G65" s="1"/>
      <c r="H65" s="1">
        <f>SUM(OSRRefH22_8x_0)</f>
        <v>200</v>
      </c>
      <c r="I65" s="1"/>
      <c r="J65" s="5">
        <f t="shared" si="23"/>
        <v>5.0125313283208017E-3</v>
      </c>
      <c r="K65" s="1"/>
      <c r="L65" s="1">
        <f t="shared" si="24"/>
        <v>-125</v>
      </c>
      <c r="M65" s="1"/>
      <c r="N65" s="5">
        <f t="shared" si="25"/>
        <v>-0.625</v>
      </c>
      <c r="O65" s="13"/>
      <c r="P65" s="1">
        <f>SUM(OSRRefP22_8x_0)</f>
        <v>75</v>
      </c>
      <c r="Q65" s="1"/>
      <c r="R65" s="5">
        <f t="shared" si="26"/>
        <v>2.4992026710411822E-4</v>
      </c>
      <c r="S65" s="1"/>
      <c r="T65" s="1">
        <f>SUM(OSRRefT22_8x_0)</f>
        <v>1200</v>
      </c>
      <c r="U65" s="1"/>
      <c r="V65" s="5">
        <f t="shared" si="27"/>
        <v>3.4821720047879864E-3</v>
      </c>
      <c r="W65" s="1"/>
      <c r="X65" s="1">
        <f t="shared" si="28"/>
        <v>-1125</v>
      </c>
      <c r="Y65" s="1"/>
      <c r="Z65" s="5">
        <f t="shared" si="29"/>
        <v>-0.9375</v>
      </c>
    </row>
    <row r="66" spans="1:26" s="24" customFormat="1" hidden="1" outlineLevel="2" x14ac:dyDescent="0.25">
      <c r="A66" s="26"/>
      <c r="B66" s="11" t="str">
        <f>CONCATENATE("          ", "6279", " - ", "GENERAL EXPENSE")</f>
        <v xml:space="preserve">          6279 - GENERAL EXPENSE</v>
      </c>
      <c r="C66" s="11"/>
      <c r="D66" s="6">
        <v>75</v>
      </c>
      <c r="E66" s="2"/>
      <c r="F66" s="7">
        <f t="shared" si="22"/>
        <v>2.0353007998189397E-3</v>
      </c>
      <c r="G66" s="2"/>
      <c r="H66" s="6">
        <v>200</v>
      </c>
      <c r="I66" s="2"/>
      <c r="J66" s="7">
        <f t="shared" si="23"/>
        <v>5.0125313283208017E-3</v>
      </c>
      <c r="K66" s="2"/>
      <c r="L66" s="6">
        <f t="shared" si="24"/>
        <v>-125</v>
      </c>
      <c r="M66" s="2"/>
      <c r="N66" s="7">
        <f t="shared" si="25"/>
        <v>-0.625</v>
      </c>
      <c r="O66" s="11"/>
      <c r="P66" s="6">
        <v>75</v>
      </c>
      <c r="Q66" s="2"/>
      <c r="R66" s="7">
        <f t="shared" si="26"/>
        <v>2.4992026710411822E-4</v>
      </c>
      <c r="S66" s="2"/>
      <c r="T66" s="6">
        <v>1200</v>
      </c>
      <c r="U66" s="2"/>
      <c r="V66" s="7">
        <f t="shared" si="27"/>
        <v>3.4821720047879864E-3</v>
      </c>
      <c r="W66" s="2"/>
      <c r="X66" s="6">
        <f t="shared" si="28"/>
        <v>-1125</v>
      </c>
      <c r="Y66" s="2"/>
      <c r="Z66" s="7">
        <f t="shared" si="29"/>
        <v>-0.9375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SUM(OSRRefD22_9x_0)</f>
        <v>7066.2099999999991</v>
      </c>
      <c r="E67" s="1"/>
      <c r="F67" s="5">
        <f t="shared" si="22"/>
        <v>0.19175817152918118</v>
      </c>
      <c r="G67" s="1"/>
      <c r="H67" s="1">
        <f>SUM(OSRRefH22_9x_0)</f>
        <v>7000</v>
      </c>
      <c r="I67" s="1"/>
      <c r="J67" s="5">
        <f t="shared" si="23"/>
        <v>0.17543859649122806</v>
      </c>
      <c r="K67" s="1"/>
      <c r="L67" s="1">
        <f t="shared" si="24"/>
        <v>66.209999999999127</v>
      </c>
      <c r="M67" s="1"/>
      <c r="N67" s="5">
        <f t="shared" si="25"/>
        <v>9.4585714285713041E-3</v>
      </c>
      <c r="O67" s="13"/>
      <c r="P67" s="1">
        <f>SUM(OSRRefP22_9x_0)</f>
        <v>36516.17</v>
      </c>
      <c r="Q67" s="1"/>
      <c r="R67" s="5">
        <f t="shared" si="26"/>
        <v>0.12168174613359183</v>
      </c>
      <c r="S67" s="1"/>
      <c r="T67" s="1">
        <f>SUM(OSRRefT22_9x_0)</f>
        <v>42000</v>
      </c>
      <c r="U67" s="1"/>
      <c r="V67" s="5">
        <f t="shared" si="27"/>
        <v>0.12187602016757952</v>
      </c>
      <c r="W67" s="1"/>
      <c r="X67" s="1">
        <f t="shared" si="28"/>
        <v>-5483.8300000000017</v>
      </c>
      <c r="Y67" s="1"/>
      <c r="Z67" s="5">
        <f t="shared" si="29"/>
        <v>-0.13056738095238099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6696.73</v>
      </c>
      <c r="E68" s="2"/>
      <c r="F68" s="7">
        <f t="shared" si="22"/>
        <v>0.18173146566895318</v>
      </c>
      <c r="G68" s="2"/>
      <c r="H68" s="6">
        <v>7000</v>
      </c>
      <c r="I68" s="2"/>
      <c r="J68" s="7">
        <f t="shared" si="23"/>
        <v>0.17543859649122806</v>
      </c>
      <c r="K68" s="2"/>
      <c r="L68" s="6">
        <f t="shared" si="24"/>
        <v>-303.27000000000044</v>
      </c>
      <c r="M68" s="2"/>
      <c r="N68" s="7">
        <f t="shared" si="25"/>
        <v>-4.3324285714285773E-2</v>
      </c>
      <c r="O68" s="11"/>
      <c r="P68" s="6">
        <v>36146.689999999995</v>
      </c>
      <c r="Q68" s="2"/>
      <c r="R68" s="7">
        <f t="shared" si="26"/>
        <v>0.12045053892973009</v>
      </c>
      <c r="S68" s="2"/>
      <c r="T68" s="6">
        <v>42000</v>
      </c>
      <c r="U68" s="2"/>
      <c r="V68" s="7">
        <f t="shared" si="27"/>
        <v>0.12187602016757952</v>
      </c>
      <c r="W68" s="2"/>
      <c r="X68" s="6">
        <f t="shared" si="28"/>
        <v>-5853.3100000000049</v>
      </c>
      <c r="Y68" s="2"/>
      <c r="Z68" s="7">
        <f t="shared" si="29"/>
        <v>-0.13936452380952394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369.48</v>
      </c>
      <c r="E69" s="2"/>
      <c r="F69" s="7">
        <f t="shared" si="22"/>
        <v>1.0026705860228026E-2</v>
      </c>
      <c r="G69" s="2"/>
      <c r="H69" s="6"/>
      <c r="I69" s="2"/>
      <c r="J69" s="7">
        <f t="shared" si="23"/>
        <v>0</v>
      </c>
      <c r="K69" s="2"/>
      <c r="L69" s="6">
        <f t="shared" si="24"/>
        <v>369.48</v>
      </c>
      <c r="M69" s="2"/>
      <c r="N69" s="7">
        <f t="shared" si="25"/>
        <v>0</v>
      </c>
      <c r="O69" s="11"/>
      <c r="P69" s="6">
        <v>369.48</v>
      </c>
      <c r="Q69" s="2"/>
      <c r="R69" s="7">
        <f t="shared" si="26"/>
        <v>1.2312072038617279E-3</v>
      </c>
      <c r="S69" s="2"/>
      <c r="T69" s="6"/>
      <c r="U69" s="2"/>
      <c r="V69" s="7">
        <f t="shared" si="27"/>
        <v>0</v>
      </c>
      <c r="W69" s="2"/>
      <c r="X69" s="6">
        <f t="shared" si="28"/>
        <v>369.48</v>
      </c>
      <c r="Y69" s="2"/>
      <c r="Z69" s="7">
        <f t="shared" si="29"/>
        <v>0</v>
      </c>
    </row>
    <row r="70" spans="1:26" s="25" customFormat="1" outlineLevel="1" collapsed="1" x14ac:dyDescent="0.25">
      <c r="A70" s="27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SUM(OSRRefD22_10x_0)</f>
        <v>12692.3</v>
      </c>
      <c r="E70" s="1"/>
      <c r="F70" s="5">
        <f t="shared" ref="F70:F72" si="30">IF(D$12=0,0,D70/D$12)</f>
        <v>0.34443531122055904</v>
      </c>
      <c r="G70" s="1"/>
      <c r="H70" s="1">
        <f>SUM(OSRRefH22_10x_0)</f>
        <v>11000</v>
      </c>
      <c r="I70" s="1"/>
      <c r="J70" s="5">
        <f t="shared" ref="J70:J72" si="31">IF(H$12=0,0,H70/H$12)</f>
        <v>0.27568922305764409</v>
      </c>
      <c r="K70" s="1"/>
      <c r="L70" s="1">
        <f t="shared" ref="L70:L72" si="32">+D70-H70</f>
        <v>1692.2999999999993</v>
      </c>
      <c r="M70" s="1"/>
      <c r="N70" s="5">
        <f t="shared" ref="N70:N72" si="33">IF(H70=0,0,L70/H70)</f>
        <v>0.15384545454545448</v>
      </c>
      <c r="O70" s="13"/>
      <c r="P70" s="1">
        <f>SUM(OSRRefP22_10x_0)</f>
        <v>56559.98</v>
      </c>
      <c r="Q70" s="1"/>
      <c r="R70" s="5">
        <f t="shared" ref="R70:R72" si="34">IF(P$12=0,0,P70/P$12)</f>
        <v>0.18847313745338112</v>
      </c>
      <c r="S70" s="1"/>
      <c r="T70" s="1">
        <f>SUM(OSRRefT22_10x_0)</f>
        <v>66000</v>
      </c>
      <c r="U70" s="1"/>
      <c r="V70" s="5">
        <f t="shared" ref="V70:V72" si="35">IF(T$12=0,0,T70/T$12)</f>
        <v>0.19151946026333927</v>
      </c>
      <c r="W70" s="1"/>
      <c r="X70" s="1">
        <f t="shared" ref="X70:X72" si="36">+P70-T70</f>
        <v>-9440.0199999999968</v>
      </c>
      <c r="Y70" s="1"/>
      <c r="Z70" s="5">
        <f t="shared" ref="Z70:Z72" si="37">IF(T70=0,0,X70/T70)</f>
        <v>-0.14303060606060602</v>
      </c>
    </row>
    <row r="71" spans="1:26" s="24" customFormat="1" hidden="1" outlineLevel="2" x14ac:dyDescent="0.25">
      <c r="A71" s="26"/>
      <c r="B71" s="11" t="str">
        <f>CONCATENATE("          ", "6254", " - ", "ROYALTY &amp; COMMISSIONS")</f>
        <v xml:space="preserve">          6254 - ROYALTY &amp; COMMISSIONS</v>
      </c>
      <c r="C71" s="11"/>
      <c r="D71" s="6"/>
      <c r="E71" s="2"/>
      <c r="F71" s="7">
        <f t="shared" si="30"/>
        <v>0</v>
      </c>
      <c r="G71" s="2"/>
      <c r="H71" s="6">
        <v>11000</v>
      </c>
      <c r="I71" s="2"/>
      <c r="J71" s="7">
        <f t="shared" si="31"/>
        <v>0.27568922305764409</v>
      </c>
      <c r="K71" s="2"/>
      <c r="L71" s="6">
        <f t="shared" si="32"/>
        <v>-11000</v>
      </c>
      <c r="M71" s="2"/>
      <c r="N71" s="7">
        <f t="shared" si="33"/>
        <v>-1</v>
      </c>
      <c r="O71" s="11"/>
      <c r="P71" s="6"/>
      <c r="Q71" s="2"/>
      <c r="R71" s="7">
        <f t="shared" si="34"/>
        <v>0</v>
      </c>
      <c r="S71" s="2"/>
      <c r="T71" s="6">
        <v>66000</v>
      </c>
      <c r="U71" s="2"/>
      <c r="V71" s="7">
        <f t="shared" si="35"/>
        <v>0.19151946026333927</v>
      </c>
      <c r="W71" s="2"/>
      <c r="X71" s="6">
        <f t="shared" si="36"/>
        <v>-66000</v>
      </c>
      <c r="Y71" s="2"/>
      <c r="Z71" s="7">
        <f t="shared" si="37"/>
        <v>-1</v>
      </c>
    </row>
    <row r="72" spans="1:26" s="24" customFormat="1" hidden="1" outlineLevel="2" x14ac:dyDescent="0.25">
      <c r="A72" s="26"/>
      <c r="B72" s="11" t="str">
        <f>CONCATENATE("          ", "6259", " - ", "ROYALTY &amp; COMMISSIONS")</f>
        <v xml:space="preserve">          6259 - ROYALTY &amp; COMMISSIONS</v>
      </c>
      <c r="C72" s="11"/>
      <c r="D72" s="6">
        <v>12692.3</v>
      </c>
      <c r="E72" s="2"/>
      <c r="F72" s="7">
        <f t="shared" si="30"/>
        <v>0.34443531122055904</v>
      </c>
      <c r="G72" s="2"/>
      <c r="H72" s="6"/>
      <c r="I72" s="2"/>
      <c r="J72" s="7">
        <f t="shared" si="31"/>
        <v>0</v>
      </c>
      <c r="K72" s="2"/>
      <c r="L72" s="6">
        <f t="shared" si="32"/>
        <v>12692.3</v>
      </c>
      <c r="M72" s="2"/>
      <c r="N72" s="7">
        <f t="shared" si="33"/>
        <v>0</v>
      </c>
      <c r="O72" s="11"/>
      <c r="P72" s="6">
        <v>56559.98</v>
      </c>
      <c r="Q72" s="2"/>
      <c r="R72" s="7">
        <f t="shared" si="34"/>
        <v>0.18847313745338112</v>
      </c>
      <c r="S72" s="2"/>
      <c r="T72" s="6"/>
      <c r="U72" s="2"/>
      <c r="V72" s="7">
        <f t="shared" si="35"/>
        <v>0</v>
      </c>
      <c r="W72" s="2"/>
      <c r="X72" s="6">
        <f t="shared" si="36"/>
        <v>56559.98</v>
      </c>
      <c r="Y72" s="2"/>
      <c r="Z72" s="7">
        <f t="shared" si="37"/>
        <v>0</v>
      </c>
    </row>
    <row r="73" spans="1:26" s="25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SUM(OSRRefD22_11x_0)</f>
        <v>4284.13</v>
      </c>
      <c r="E73" s="1"/>
      <c r="F73" s="5">
        <f t="shared" ref="F73:F78" si="38">IF(D$12=0,0,D73/D$12)</f>
        <v>0.11625990954037753</v>
      </c>
      <c r="G73" s="1"/>
      <c r="H73" s="1">
        <f>SUM(OSRRefH22_11x_0)</f>
        <v>9950</v>
      </c>
      <c r="I73" s="1"/>
      <c r="J73" s="5">
        <f t="shared" ref="J73:J78" si="39">IF(H$12=0,0,H73/H$12)</f>
        <v>0.24937343358395989</v>
      </c>
      <c r="K73" s="1"/>
      <c r="L73" s="1">
        <f t="shared" ref="L73:L78" si="40">+D73-H73</f>
        <v>-5665.87</v>
      </c>
      <c r="M73" s="1"/>
      <c r="N73" s="5">
        <f t="shared" ref="N73:N78" si="41">IF(H73=0,0,L73/H73)</f>
        <v>-0.56943417085427139</v>
      </c>
      <c r="O73" s="13"/>
      <c r="P73" s="1">
        <f>SUM(OSRRefP22_11x_0)</f>
        <v>18267.86</v>
      </c>
      <c r="Q73" s="1"/>
      <c r="R73" s="5">
        <f t="shared" ref="R73:R78" si="42">IF(P$12=0,0,P73/P$12)</f>
        <v>6.0873446008275156E-2</v>
      </c>
      <c r="S73" s="1"/>
      <c r="T73" s="1">
        <f>SUM(OSRRefT22_11x_0)</f>
        <v>40200</v>
      </c>
      <c r="U73" s="1"/>
      <c r="V73" s="5">
        <f t="shared" ref="V73:V78" si="43">IF(T$12=0,0,T73/T$12)</f>
        <v>0.11665276216039755</v>
      </c>
      <c r="W73" s="1"/>
      <c r="X73" s="1">
        <f t="shared" ref="X73:X78" si="44">+P73-T73</f>
        <v>-21932.14</v>
      </c>
      <c r="Y73" s="1"/>
      <c r="Z73" s="5">
        <f t="shared" ref="Z73:Z78" si="45">IF(T73=0,0,X73/T73)</f>
        <v>-0.5455756218905472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38"/>
        <v>0</v>
      </c>
      <c r="G74" s="2"/>
      <c r="H74" s="6"/>
      <c r="I74" s="2"/>
      <c r="J74" s="7">
        <f t="shared" si="39"/>
        <v>0</v>
      </c>
      <c r="K74" s="2"/>
      <c r="L74" s="6">
        <f t="shared" si="40"/>
        <v>0</v>
      </c>
      <c r="M74" s="2"/>
      <c r="N74" s="7">
        <f t="shared" si="41"/>
        <v>0</v>
      </c>
      <c r="O74" s="11"/>
      <c r="P74" s="6">
        <v>1017.27</v>
      </c>
      <c r="Q74" s="2"/>
      <c r="R74" s="7">
        <f t="shared" si="42"/>
        <v>3.3898185348934175E-3</v>
      </c>
      <c r="S74" s="2"/>
      <c r="T74" s="6"/>
      <c r="U74" s="2"/>
      <c r="V74" s="7">
        <f t="shared" si="43"/>
        <v>0</v>
      </c>
      <c r="W74" s="2"/>
      <c r="X74" s="6">
        <f t="shared" si="44"/>
        <v>1017.27</v>
      </c>
      <c r="Y74" s="2"/>
      <c r="Z74" s="7">
        <f t="shared" si="45"/>
        <v>0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6">
        <v>43.15</v>
      </c>
      <c r="E75" s="2"/>
      <c r="F75" s="7">
        <f t="shared" si="38"/>
        <v>1.1709763934958301E-3</v>
      </c>
      <c r="G75" s="2"/>
      <c r="H75" s="6"/>
      <c r="I75" s="2"/>
      <c r="J75" s="7">
        <f t="shared" si="39"/>
        <v>0</v>
      </c>
      <c r="K75" s="2"/>
      <c r="L75" s="6">
        <f t="shared" si="40"/>
        <v>43.15</v>
      </c>
      <c r="M75" s="2"/>
      <c r="N75" s="7">
        <f t="shared" si="41"/>
        <v>0</v>
      </c>
      <c r="O75" s="11"/>
      <c r="P75" s="6">
        <v>43.15</v>
      </c>
      <c r="Q75" s="2"/>
      <c r="R75" s="7">
        <f t="shared" si="42"/>
        <v>1.4378746034056933E-4</v>
      </c>
      <c r="S75" s="2"/>
      <c r="T75" s="6"/>
      <c r="U75" s="2"/>
      <c r="V75" s="7">
        <f t="shared" si="43"/>
        <v>0</v>
      </c>
      <c r="W75" s="2"/>
      <c r="X75" s="6">
        <f t="shared" si="44"/>
        <v>43.15</v>
      </c>
      <c r="Y75" s="2"/>
      <c r="Z75" s="7">
        <f t="shared" si="45"/>
        <v>0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6">
        <v>3229.02</v>
      </c>
      <c r="E76" s="2"/>
      <c r="F76" s="7">
        <f t="shared" si="38"/>
        <v>8.7627026515084708E-2</v>
      </c>
      <c r="G76" s="2"/>
      <c r="H76" s="6">
        <v>250</v>
      </c>
      <c r="I76" s="2"/>
      <c r="J76" s="7">
        <f t="shared" si="39"/>
        <v>6.2656641604010022E-3</v>
      </c>
      <c r="K76" s="2"/>
      <c r="L76" s="6">
        <f t="shared" si="40"/>
        <v>2979.02</v>
      </c>
      <c r="M76" s="2"/>
      <c r="N76" s="7">
        <f t="shared" si="41"/>
        <v>11.916079999999999</v>
      </c>
      <c r="O76" s="11"/>
      <c r="P76" s="6">
        <v>9558.5</v>
      </c>
      <c r="Q76" s="2"/>
      <c r="R76" s="7">
        <f t="shared" si="42"/>
        <v>3.1851504974862853E-2</v>
      </c>
      <c r="S76" s="2"/>
      <c r="T76" s="6">
        <v>1500</v>
      </c>
      <c r="U76" s="2"/>
      <c r="V76" s="7">
        <f t="shared" si="43"/>
        <v>4.3527150059849834E-3</v>
      </c>
      <c r="W76" s="2"/>
      <c r="X76" s="6">
        <f t="shared" si="44"/>
        <v>8058.5</v>
      </c>
      <c r="Y76" s="2"/>
      <c r="Z76" s="7">
        <f t="shared" si="45"/>
        <v>5.3723333333333336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>
        <v>748.76</v>
      </c>
      <c r="E77" s="2"/>
      <c r="F77" s="7">
        <f t="shared" si="38"/>
        <v>2.031935769163239E-2</v>
      </c>
      <c r="G77" s="2"/>
      <c r="H77" s="6"/>
      <c r="I77" s="2"/>
      <c r="J77" s="7">
        <f t="shared" si="39"/>
        <v>0</v>
      </c>
      <c r="K77" s="2"/>
      <c r="L77" s="6">
        <f t="shared" si="40"/>
        <v>748.76</v>
      </c>
      <c r="M77" s="2"/>
      <c r="N77" s="7">
        <f t="shared" si="41"/>
        <v>0</v>
      </c>
      <c r="O77" s="11"/>
      <c r="P77" s="6">
        <v>1213.18</v>
      </c>
      <c r="Q77" s="2"/>
      <c r="R77" s="7">
        <f t="shared" si="42"/>
        <v>4.0426435952716552E-3</v>
      </c>
      <c r="S77" s="2"/>
      <c r="T77" s="6"/>
      <c r="U77" s="2"/>
      <c r="V77" s="7">
        <f t="shared" si="43"/>
        <v>0</v>
      </c>
      <c r="W77" s="2"/>
      <c r="X77" s="6">
        <f t="shared" si="44"/>
        <v>1213.18</v>
      </c>
      <c r="Y77" s="2"/>
      <c r="Z77" s="7">
        <f t="shared" si="45"/>
        <v>0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>
        <v>263.2</v>
      </c>
      <c r="E78" s="2"/>
      <c r="F78" s="7">
        <f t="shared" si="38"/>
        <v>7.1425489401645992E-3</v>
      </c>
      <c r="G78" s="2"/>
      <c r="H78" s="6">
        <v>9700</v>
      </c>
      <c r="I78" s="2"/>
      <c r="J78" s="7">
        <f t="shared" si="39"/>
        <v>0.24310776942355888</v>
      </c>
      <c r="K78" s="2"/>
      <c r="L78" s="6">
        <f t="shared" si="40"/>
        <v>-9436.7999999999993</v>
      </c>
      <c r="M78" s="2"/>
      <c r="N78" s="7">
        <f t="shared" si="41"/>
        <v>-0.97286597938144326</v>
      </c>
      <c r="O78" s="11"/>
      <c r="P78" s="6">
        <v>6435.76</v>
      </c>
      <c r="Q78" s="2"/>
      <c r="R78" s="7">
        <f t="shared" si="42"/>
        <v>2.1445691442906666E-2</v>
      </c>
      <c r="S78" s="2"/>
      <c r="T78" s="6">
        <v>38700</v>
      </c>
      <c r="U78" s="2"/>
      <c r="V78" s="7">
        <f t="shared" si="43"/>
        <v>0.11230004715441257</v>
      </c>
      <c r="W78" s="2"/>
      <c r="X78" s="6">
        <f t="shared" si="44"/>
        <v>-32264.239999999998</v>
      </c>
      <c r="Y78" s="2"/>
      <c r="Z78" s="7">
        <f t="shared" si="45"/>
        <v>-0.83370129198966403</v>
      </c>
    </row>
    <row r="79" spans="1:26" s="25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SUM(OSRRefD22_12x_0)</f>
        <v>104.55</v>
      </c>
      <c r="E79" s="1"/>
      <c r="F79" s="5">
        <f t="shared" ref="F79:F81" si="46">IF(D$12=0,0,D79/D$12)</f>
        <v>2.8372093149476021E-3</v>
      </c>
      <c r="G79" s="1"/>
      <c r="H79" s="1">
        <f>SUM(OSRRefH22_12x_0)</f>
        <v>200</v>
      </c>
      <c r="I79" s="1"/>
      <c r="J79" s="5">
        <f t="shared" ref="J79:J81" si="47">IF(H$12=0,0,H79/H$12)</f>
        <v>5.0125313283208017E-3</v>
      </c>
      <c r="K79" s="1"/>
      <c r="L79" s="1">
        <f t="shared" ref="L79:L81" si="48">+D79-H79</f>
        <v>-95.45</v>
      </c>
      <c r="M79" s="1"/>
      <c r="N79" s="5">
        <f t="shared" ref="N79:N81" si="49">IF(H79=0,0,L79/H79)</f>
        <v>-0.47725000000000001</v>
      </c>
      <c r="O79" s="13"/>
      <c r="P79" s="1">
        <f>SUM(OSRRefP22_12x_0)</f>
        <v>814.95</v>
      </c>
      <c r="Q79" s="1"/>
      <c r="R79" s="5">
        <f t="shared" ref="R79:R81" si="50">IF(P$12=0,0,P79/P$12)</f>
        <v>2.7156336223533484E-3</v>
      </c>
      <c r="S79" s="1"/>
      <c r="T79" s="1">
        <f>SUM(OSRRefT22_12x_0)</f>
        <v>1200</v>
      </c>
      <c r="U79" s="1"/>
      <c r="V79" s="5">
        <f t="shared" ref="V79:V81" si="51">IF(T$12=0,0,T79/T$12)</f>
        <v>3.4821720047879864E-3</v>
      </c>
      <c r="W79" s="1"/>
      <c r="X79" s="1">
        <f t="shared" ref="X79:X81" si="52">+P79-T79</f>
        <v>-385.04999999999995</v>
      </c>
      <c r="Y79" s="1"/>
      <c r="Z79" s="5">
        <f t="shared" ref="Z79:Z81" si="53">IF(T79=0,0,X79/T79)</f>
        <v>-0.32087499999999997</v>
      </c>
    </row>
    <row r="80" spans="1:26" s="24" customFormat="1" hidden="1" outlineLevel="2" x14ac:dyDescent="0.25">
      <c r="A80" s="26"/>
      <c r="B80" s="11" t="str">
        <f>CONCATENATE("          ", "6303", " - ", "DATA PHONE LINES")</f>
        <v xml:space="preserve">          6303 - DATA PHONE LINES</v>
      </c>
      <c r="C80" s="11"/>
      <c r="D80" s="6"/>
      <c r="E80" s="2"/>
      <c r="F80" s="7">
        <f t="shared" si="46"/>
        <v>0</v>
      </c>
      <c r="G80" s="2"/>
      <c r="H80" s="6">
        <v>200</v>
      </c>
      <c r="I80" s="2"/>
      <c r="J80" s="7">
        <f t="shared" si="47"/>
        <v>5.0125313283208017E-3</v>
      </c>
      <c r="K80" s="2"/>
      <c r="L80" s="6">
        <f t="shared" si="48"/>
        <v>-200</v>
      </c>
      <c r="M80" s="2"/>
      <c r="N80" s="7">
        <f t="shared" si="49"/>
        <v>-1</v>
      </c>
      <c r="O80" s="11"/>
      <c r="P80" s="6"/>
      <c r="Q80" s="2"/>
      <c r="R80" s="7">
        <f t="shared" si="50"/>
        <v>0</v>
      </c>
      <c r="S80" s="2"/>
      <c r="T80" s="6">
        <v>1200</v>
      </c>
      <c r="U80" s="2"/>
      <c r="V80" s="7">
        <f t="shared" si="51"/>
        <v>3.4821720047879864E-3</v>
      </c>
      <c r="W80" s="2"/>
      <c r="X80" s="6">
        <f t="shared" si="52"/>
        <v>-1200</v>
      </c>
      <c r="Y80" s="2"/>
      <c r="Z80" s="7">
        <f t="shared" si="53"/>
        <v>-1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104.55</v>
      </c>
      <c r="E81" s="2"/>
      <c r="F81" s="7">
        <f t="shared" si="46"/>
        <v>2.8372093149476021E-3</v>
      </c>
      <c r="G81" s="2"/>
      <c r="H81" s="6"/>
      <c r="I81" s="2"/>
      <c r="J81" s="7">
        <f t="shared" si="47"/>
        <v>0</v>
      </c>
      <c r="K81" s="2"/>
      <c r="L81" s="6">
        <f t="shared" si="48"/>
        <v>104.55</v>
      </c>
      <c r="M81" s="2"/>
      <c r="N81" s="7">
        <f t="shared" si="49"/>
        <v>0</v>
      </c>
      <c r="O81" s="11"/>
      <c r="P81" s="6">
        <v>814.95</v>
      </c>
      <c r="Q81" s="2"/>
      <c r="R81" s="7">
        <f t="shared" si="50"/>
        <v>2.7156336223533484E-3</v>
      </c>
      <c r="S81" s="2"/>
      <c r="T81" s="6"/>
      <c r="U81" s="2"/>
      <c r="V81" s="7">
        <f t="shared" si="51"/>
        <v>0</v>
      </c>
      <c r="W81" s="2"/>
      <c r="X81" s="6">
        <f t="shared" si="52"/>
        <v>814.95</v>
      </c>
      <c r="Y81" s="2"/>
      <c r="Z81" s="7">
        <f t="shared" si="53"/>
        <v>0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SUM(OSRRefD22_13x_0)</f>
        <v>0</v>
      </c>
      <c r="E82" s="1"/>
      <c r="F82" s="5">
        <f t="shared" ref="F82:F83" si="54">IF(D$12=0,0,D82/D$12)</f>
        <v>0</v>
      </c>
      <c r="G82" s="1"/>
      <c r="H82" s="1">
        <f>SUM(OSRRefH22_13x_0)</f>
        <v>0</v>
      </c>
      <c r="I82" s="1"/>
      <c r="J82" s="5">
        <f t="shared" ref="J82:J83" si="55">IF(H$12=0,0,H82/H$12)</f>
        <v>0</v>
      </c>
      <c r="K82" s="1"/>
      <c r="L82" s="1">
        <f t="shared" ref="L82:L83" si="56">+D82-H82</f>
        <v>0</v>
      </c>
      <c r="M82" s="1"/>
      <c r="N82" s="5">
        <f t="shared" ref="N82:N83" si="57">IF(H82=0,0,L82/H82)</f>
        <v>0</v>
      </c>
      <c r="O82" s="13"/>
      <c r="P82" s="1">
        <f>SUM(OSRRefP22_13x_0)</f>
        <v>97.71</v>
      </c>
      <c r="Q82" s="1"/>
      <c r="R82" s="5">
        <f t="shared" ref="R82:R83" si="58">IF(P$12=0,0,P82/P$12)</f>
        <v>3.2559612398324516E-4</v>
      </c>
      <c r="S82" s="1"/>
      <c r="T82" s="1">
        <f>SUM(OSRRefT22_13x_0)</f>
        <v>0</v>
      </c>
      <c r="U82" s="1"/>
      <c r="V82" s="5">
        <f t="shared" ref="V82:V83" si="59">IF(T$12=0,0,T82/T$12)</f>
        <v>0</v>
      </c>
      <c r="W82" s="1"/>
      <c r="X82" s="1">
        <f t="shared" ref="X82:X83" si="60">+P82-T82</f>
        <v>97.71</v>
      </c>
      <c r="Y82" s="1"/>
      <c r="Z82" s="5">
        <f t="shared" ref="Z82:Z83" si="61">IF(T82=0,0,X82/T82)</f>
        <v>0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4"/>
        <v>0</v>
      </c>
      <c r="G83" s="2"/>
      <c r="H83" s="6"/>
      <c r="I83" s="2"/>
      <c r="J83" s="7">
        <f t="shared" si="55"/>
        <v>0</v>
      </c>
      <c r="K83" s="2"/>
      <c r="L83" s="6">
        <f t="shared" si="56"/>
        <v>0</v>
      </c>
      <c r="M83" s="2"/>
      <c r="N83" s="7">
        <f t="shared" si="57"/>
        <v>0</v>
      </c>
      <c r="O83" s="11"/>
      <c r="P83" s="6">
        <v>97.71</v>
      </c>
      <c r="Q83" s="2"/>
      <c r="R83" s="7">
        <f t="shared" si="58"/>
        <v>3.2559612398324516E-4</v>
      </c>
      <c r="S83" s="2"/>
      <c r="T83" s="6"/>
      <c r="U83" s="2"/>
      <c r="V83" s="7">
        <f t="shared" si="59"/>
        <v>0</v>
      </c>
      <c r="W83" s="2"/>
      <c r="X83" s="6">
        <f t="shared" si="60"/>
        <v>97.71</v>
      </c>
      <c r="Y83" s="2"/>
      <c r="Z83" s="7">
        <f t="shared" si="61"/>
        <v>0</v>
      </c>
    </row>
    <row r="84" spans="1:26" s="5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8" t="s">
        <v>0</v>
      </c>
      <c r="C85" s="10"/>
      <c r="D85" s="4">
        <f>SUM(OSRRefD25x_0)</f>
        <v>13269</v>
      </c>
      <c r="E85" s="4"/>
      <c r="F85" s="12">
        <f t="shared" ref="F85:F87" si="62">IF(D$12=0,0,D85/D$12)</f>
        <v>0.36008541750396683</v>
      </c>
      <c r="G85" s="4"/>
      <c r="H85" s="4">
        <f>SUM(OSRRefH25x_0)</f>
        <v>12250</v>
      </c>
      <c r="I85" s="4"/>
      <c r="J85" s="12">
        <f t="shared" ref="J85:J87" si="63">IF(H$12=0,0,H85/H$12)</f>
        <v>0.30701754385964913</v>
      </c>
      <c r="K85" s="4"/>
      <c r="L85" s="4">
        <f t="shared" ref="L85:L87" si="64">+D85-H85</f>
        <v>1019</v>
      </c>
      <c r="M85" s="4"/>
      <c r="N85" s="12">
        <f t="shared" ref="N85:N87" si="65">IF(H85=0,0,L85/H85)</f>
        <v>8.3183673469387751E-2</v>
      </c>
      <c r="O85" s="10"/>
      <c r="P85" s="4">
        <f>SUM(OSRRefP25x_0)</f>
        <v>79614</v>
      </c>
      <c r="Q85" s="4"/>
      <c r="R85" s="12">
        <f t="shared" ref="R85:R87" si="66">IF(P$12=0,0,P85/P$12)</f>
        <v>0.26529536193636355</v>
      </c>
      <c r="S85" s="4"/>
      <c r="T85" s="4">
        <f>SUM(OSRRefT25x_0)</f>
        <v>73500</v>
      </c>
      <c r="U85" s="4"/>
      <c r="V85" s="12">
        <f t="shared" ref="V85:V87" si="67">IF(T$12=0,0,T85/T$12)</f>
        <v>0.21328303529326417</v>
      </c>
      <c r="W85" s="4"/>
      <c r="X85" s="4">
        <f t="shared" ref="X85:X87" si="68">+P85-T85</f>
        <v>6114</v>
      </c>
      <c r="Y85" s="4"/>
      <c r="Z85" s="12">
        <f t="shared" ref="Z85:Z87" si="69">IF(T85=0,0,X85/T85)</f>
        <v>8.3183673469387751E-2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>--13269</f>
        <v>13269</v>
      </c>
      <c r="E86" s="2"/>
      <c r="F86" s="19">
        <f t="shared" si="62"/>
        <v>0.36008541750396683</v>
      </c>
      <c r="G86" s="2"/>
      <c r="H86" s="2"/>
      <c r="I86" s="2"/>
      <c r="J86" s="19">
        <f t="shared" si="63"/>
        <v>0</v>
      </c>
      <c r="K86" s="2"/>
      <c r="L86" s="2">
        <f t="shared" si="64"/>
        <v>13269</v>
      </c>
      <c r="M86" s="2"/>
      <c r="N86" s="19">
        <f t="shared" si="65"/>
        <v>0</v>
      </c>
      <c r="O86" s="11"/>
      <c r="P86" s="2">
        <f>--79614</f>
        <v>79614</v>
      </c>
      <c r="Q86" s="2"/>
      <c r="R86" s="19">
        <f t="shared" si="66"/>
        <v>0.26529536193636355</v>
      </c>
      <c r="S86" s="2"/>
      <c r="T86" s="2">
        <v>12250</v>
      </c>
      <c r="U86" s="2"/>
      <c r="V86" s="19">
        <f t="shared" si="67"/>
        <v>3.5547172548877362E-2</v>
      </c>
      <c r="W86" s="2"/>
      <c r="X86" s="2">
        <f t="shared" si="68"/>
        <v>67364</v>
      </c>
      <c r="Y86" s="2"/>
      <c r="Z86" s="19">
        <f t="shared" si="69"/>
        <v>5.4991020408163269</v>
      </c>
    </row>
    <row r="87" spans="1:26" s="24" customFormat="1" hidden="1" outlineLevel="1" x14ac:dyDescent="0.25">
      <c r="A87" s="44"/>
      <c r="B87" s="11" t="str">
        <f>CONCATENATE("          ", "9151", " - ", "MISC. INCOME")</f>
        <v xml:space="preserve">          9151 - MISC. INCOME</v>
      </c>
      <c r="C87" s="11"/>
      <c r="D87" s="2">
        <f>0</f>
        <v>0</v>
      </c>
      <c r="E87" s="2"/>
      <c r="F87" s="19">
        <f t="shared" si="62"/>
        <v>0</v>
      </c>
      <c r="G87" s="2"/>
      <c r="H87" s="2">
        <v>12250</v>
      </c>
      <c r="I87" s="2"/>
      <c r="J87" s="19">
        <f t="shared" si="63"/>
        <v>0.30701754385964913</v>
      </c>
      <c r="K87" s="2"/>
      <c r="L87" s="2">
        <f t="shared" si="64"/>
        <v>-12250</v>
      </c>
      <c r="M87" s="2"/>
      <c r="N87" s="19">
        <f t="shared" si="65"/>
        <v>-1</v>
      </c>
      <c r="O87" s="11"/>
      <c r="P87" s="2">
        <f>0</f>
        <v>0</v>
      </c>
      <c r="Q87" s="2"/>
      <c r="R87" s="19">
        <f t="shared" si="66"/>
        <v>0</v>
      </c>
      <c r="S87" s="2"/>
      <c r="T87" s="2">
        <v>61250</v>
      </c>
      <c r="U87" s="2"/>
      <c r="V87" s="19">
        <f t="shared" si="67"/>
        <v>0.17773586274438682</v>
      </c>
      <c r="W87" s="2"/>
      <c r="X87" s="2">
        <f t="shared" si="68"/>
        <v>-61250</v>
      </c>
      <c r="Y87" s="2"/>
      <c r="Z87" s="19">
        <f t="shared" si="69"/>
        <v>-1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2">
        <f>+D29-D31+D85</f>
        <v>1684.510000000002</v>
      </c>
      <c r="E89" s="14"/>
      <c r="F89" s="20">
        <f>IF(D$12=0,0,D89/D$12)</f>
        <v>4.571312733737342E-2</v>
      </c>
      <c r="G89" s="14"/>
      <c r="H89" s="22">
        <f>+H29-H31+H85</f>
        <v>-953.64003202640015</v>
      </c>
      <c r="I89" s="14"/>
      <c r="J89" s="20">
        <f>IF(H$12=0,0,H89/H$12)</f>
        <v>-2.3900752682365918E-2</v>
      </c>
      <c r="K89" s="16"/>
      <c r="L89" s="22">
        <f>+D89-H89</f>
        <v>2638.1500320264022</v>
      </c>
      <c r="M89" s="16"/>
      <c r="N89" s="20">
        <f>IF(H89=0,0,L89/H89)</f>
        <v>-2.7664002594569865</v>
      </c>
      <c r="O89" s="28"/>
      <c r="P89" s="22">
        <f>+P29-P31+P85</f>
        <v>107263.30999999994</v>
      </c>
      <c r="Q89" s="14"/>
      <c r="R89" s="20">
        <f>IF(P$12=0,0,P89/P$12)</f>
        <v>0.35743033447562422</v>
      </c>
      <c r="S89" s="14"/>
      <c r="T89" s="22">
        <f>+T29-T31+T85</f>
        <v>107358.13751593477</v>
      </c>
      <c r="U89" s="14"/>
      <c r="V89" s="20">
        <f>IF(T$12=0,0,T89/T$12)</f>
        <v>0.31153291745347245</v>
      </c>
      <c r="W89" s="16"/>
      <c r="X89" s="22">
        <f>+P89-T89</f>
        <v>-94.827515934826806</v>
      </c>
      <c r="Y89" s="16"/>
      <c r="Z89" s="20">
        <f>IF(T89=0,0,X89/T89)</f>
        <v>-8.8328205135592927E-4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14</v>
      </c>
      <c r="C91" s="10"/>
      <c r="D91" s="4">
        <v>4536.67</v>
      </c>
      <c r="E91" s="4"/>
      <c r="F91" s="12">
        <f>IF(D$12=0,0,D91/D$12)</f>
        <v>0.12311317439352787</v>
      </c>
      <c r="G91" s="4"/>
      <c r="H91" s="4">
        <v>5774</v>
      </c>
      <c r="I91" s="4"/>
      <c r="J91" s="12">
        <f>IF(H$12=0,0,H91/H$12)</f>
        <v>0.14471177944862154</v>
      </c>
      <c r="K91" s="4"/>
      <c r="L91" s="4">
        <f>+D91-H91</f>
        <v>-1237.33</v>
      </c>
      <c r="M91" s="4"/>
      <c r="N91" s="12">
        <f>IF(H91=0,0,L91/H91)</f>
        <v>-0.21429338413578108</v>
      </c>
      <c r="O91" s="10"/>
      <c r="P91" s="4">
        <v>32412.649999999998</v>
      </c>
      <c r="Q91" s="4"/>
      <c r="R91" s="12">
        <f>IF(P$12=0,0,P91/P$12)</f>
        <v>0.10800770860736394</v>
      </c>
      <c r="S91" s="4"/>
      <c r="T91" s="4">
        <v>44390</v>
      </c>
      <c r="U91" s="4"/>
      <c r="V91" s="12">
        <f>IF(T$12=0,0,T91/T$12)</f>
        <v>0.12881134607711561</v>
      </c>
      <c r="W91" s="4"/>
      <c r="X91" s="4">
        <f>+P91-T91</f>
        <v>-11977.350000000002</v>
      </c>
      <c r="Y91" s="4"/>
      <c r="Z91" s="12">
        <f>IF(T91=0,0,X91/T91)</f>
        <v>-0.26982090560937155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1">
        <f>+D89-D91</f>
        <v>-2852.159999999998</v>
      </c>
      <c r="E93" s="14"/>
      <c r="F93" s="32">
        <f>IF(D$12=0,0,D93/D$12)</f>
        <v>-7.7400047056154442E-2</v>
      </c>
      <c r="G93" s="14"/>
      <c r="H93" s="31">
        <f>+H89-H91</f>
        <v>-6727.6400320264001</v>
      </c>
      <c r="I93" s="14"/>
      <c r="J93" s="32">
        <f>IF(H$12=0,0,H93/H$12)</f>
        <v>-0.16861253213098748</v>
      </c>
      <c r="K93" s="16"/>
      <c r="L93" s="31">
        <f>D93-H93</f>
        <v>3875.4800320264021</v>
      </c>
      <c r="M93" s="16"/>
      <c r="N93" s="32">
        <f>IF(H93=0,0,L93/H93)</f>
        <v>-0.57605341748034744</v>
      </c>
      <c r="O93" s="28"/>
      <c r="P93" s="31">
        <f>+P89-P91</f>
        <v>74850.659999999945</v>
      </c>
      <c r="Q93" s="14"/>
      <c r="R93" s="32">
        <f>IF(P$12=0,0,P93/P$12)</f>
        <v>0.24942262586826031</v>
      </c>
      <c r="S93" s="14"/>
      <c r="T93" s="31">
        <f>+T89-T91</f>
        <v>62968.137515934766</v>
      </c>
      <c r="U93" s="14"/>
      <c r="V93" s="32">
        <f>IF(T$12=0,0,T93/T$12)</f>
        <v>0.18272157137635683</v>
      </c>
      <c r="W93" s="16"/>
      <c r="X93" s="31">
        <f>P93-T93</f>
        <v>11882.522484065179</v>
      </c>
      <c r="Y93" s="16"/>
      <c r="Z93" s="32">
        <f>IF(T93=0,0,X93/T93)</f>
        <v>0.1887069072204681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5">
        <f>SUM(D93:D95)</f>
        <v>-2852.159999999998</v>
      </c>
      <c r="E96" s="14"/>
      <c r="F96" s="34">
        <f>IF(D$12=0,0,D96/D$12)</f>
        <v>-7.7400047056154442E-2</v>
      </c>
      <c r="G96" s="14"/>
      <c r="H96" s="35">
        <f>SUM(H93:H95)</f>
        <v>-6727.6400320264001</v>
      </c>
      <c r="I96" s="14"/>
      <c r="J96" s="34">
        <f>IF(H$12=0,0,H96/H$12)</f>
        <v>-0.16861253213098748</v>
      </c>
      <c r="K96" s="16"/>
      <c r="L96" s="35">
        <f>+D96-H96</f>
        <v>3875.4800320264021</v>
      </c>
      <c r="M96" s="16"/>
      <c r="N96" s="34">
        <f>IF(H96=0,0,L96/H96)</f>
        <v>-0.57605341748034744</v>
      </c>
      <c r="O96" s="28"/>
      <c r="P96" s="35">
        <f>SUM(P93:P95)</f>
        <v>74850.659999999945</v>
      </c>
      <c r="Q96" s="14"/>
      <c r="R96" s="34">
        <f>IF(P$12=0,0,P96/P$12)</f>
        <v>0.24942262586826031</v>
      </c>
      <c r="S96" s="14"/>
      <c r="T96" s="35">
        <f>SUM(T93:T95)</f>
        <v>62968.137515934766</v>
      </c>
      <c r="U96" s="14"/>
      <c r="V96" s="34">
        <f>IF(T$12=0,0,T96/T$12)</f>
        <v>0.18272157137635683</v>
      </c>
      <c r="W96" s="16"/>
      <c r="X96" s="35">
        <f>+P96-T96</f>
        <v>11882.522484065179</v>
      </c>
      <c r="Y96" s="16"/>
      <c r="Z96" s="34">
        <f>IF(T96=0,0,X96/T96)</f>
        <v>0.1887069072204681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3">
        <v>43847.445975775459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5" t="s">
        <v>314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A100" s="9"/>
      <c r="B100" s="56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238.65</v>
      </c>
      <c r="E12" s="4"/>
      <c r="F12" s="12"/>
      <c r="G12" s="4"/>
      <c r="H12" s="4">
        <f>SUM(OSRRefH13x_0)</f>
        <v>11500</v>
      </c>
      <c r="I12" s="4"/>
      <c r="J12" s="12"/>
      <c r="K12" s="4"/>
      <c r="L12" s="4">
        <f t="shared" ref="L12:L17" si="0">+D12-H12</f>
        <v>-11261.35</v>
      </c>
      <c r="M12" s="4"/>
      <c r="N12" s="12">
        <f t="shared" ref="N12:N17" si="1">IF(H12=0,0,L12/H12)</f>
        <v>-0.9792478260869566</v>
      </c>
      <c r="O12" s="10"/>
      <c r="P12" s="4">
        <f>SUM(OSRRefP13x_0)</f>
        <v>7548.8899999999994</v>
      </c>
      <c r="Q12" s="4"/>
      <c r="R12" s="12"/>
      <c r="S12" s="4"/>
      <c r="T12" s="4">
        <f>SUM(OSRRefT13x_0)</f>
        <v>11500</v>
      </c>
      <c r="U12" s="4"/>
      <c r="V12" s="12"/>
      <c r="W12" s="4"/>
      <c r="X12" s="4">
        <f t="shared" ref="X12:X17" si="2">+P12-T12</f>
        <v>-3951.1100000000006</v>
      </c>
      <c r="Y12" s="4"/>
      <c r="Z12" s="12">
        <f t="shared" ref="Z12:Z17" si="3">IF(T12=0,0,X12/T12)</f>
        <v>-0.34357478260869573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4000</v>
      </c>
      <c r="I13" s="2"/>
      <c r="J13" s="19"/>
      <c r="K13" s="2"/>
      <c r="L13" s="2">
        <f t="shared" si="0"/>
        <v>-4000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4000</v>
      </c>
      <c r="U13" s="2"/>
      <c r="V13" s="19"/>
      <c r="W13" s="2"/>
      <c r="X13" s="2">
        <f t="shared" si="2"/>
        <v>-4000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--218.75</f>
        <v>218.75</v>
      </c>
      <c r="E14" s="2"/>
      <c r="F14" s="19"/>
      <c r="G14" s="2"/>
      <c r="H14" s="2"/>
      <c r="I14" s="2"/>
      <c r="J14" s="19"/>
      <c r="K14" s="2"/>
      <c r="L14" s="2">
        <f t="shared" si="0"/>
        <v>218.75</v>
      </c>
      <c r="M14" s="2"/>
      <c r="N14" s="19">
        <f t="shared" si="1"/>
        <v>0</v>
      </c>
      <c r="O14" s="11"/>
      <c r="P14" s="2">
        <f>--7699.32</f>
        <v>7699.32</v>
      </c>
      <c r="Q14" s="2"/>
      <c r="R14" s="19"/>
      <c r="S14" s="2"/>
      <c r="T14" s="2"/>
      <c r="U14" s="2"/>
      <c r="V14" s="19"/>
      <c r="W14" s="2"/>
      <c r="X14" s="2">
        <f t="shared" si="2"/>
        <v>7699.32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>--19.9</f>
        <v>19.899999999999999</v>
      </c>
      <c r="E15" s="2"/>
      <c r="F15" s="19"/>
      <c r="G15" s="2"/>
      <c r="H15" s="2"/>
      <c r="I15" s="2"/>
      <c r="J15" s="19"/>
      <c r="K15" s="2"/>
      <c r="L15" s="2">
        <f t="shared" si="0"/>
        <v>19.899999999999999</v>
      </c>
      <c r="M15" s="2"/>
      <c r="N15" s="19">
        <f t="shared" si="1"/>
        <v>0</v>
      </c>
      <c r="O15" s="11"/>
      <c r="P15" s="2">
        <f>--268.62</f>
        <v>268.62</v>
      </c>
      <c r="Q15" s="2"/>
      <c r="R15" s="19"/>
      <c r="S15" s="2"/>
      <c r="T15" s="2"/>
      <c r="U15" s="2"/>
      <c r="V15" s="19"/>
      <c r="W15" s="2"/>
      <c r="X15" s="2">
        <f t="shared" si="2"/>
        <v>268.62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ref="D16:D17" si="4">0</f>
        <v>0</v>
      </c>
      <c r="E16" s="2"/>
      <c r="F16" s="19"/>
      <c r="G16" s="2"/>
      <c r="H16" s="2">
        <v>7500</v>
      </c>
      <c r="I16" s="2"/>
      <c r="J16" s="19"/>
      <c r="K16" s="2"/>
      <c r="L16" s="2">
        <f t="shared" si="0"/>
        <v>-7500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7500</v>
      </c>
      <c r="U16" s="2"/>
      <c r="V16" s="19"/>
      <c r="W16" s="2"/>
      <c r="X16" s="2">
        <f t="shared" si="2"/>
        <v>-7500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-419.05</f>
        <v>-419.05</v>
      </c>
      <c r="Q17" s="2"/>
      <c r="R17" s="19"/>
      <c r="S17" s="2"/>
      <c r="T17" s="2"/>
      <c r="U17" s="2"/>
      <c r="V17" s="19"/>
      <c r="W17" s="2"/>
      <c r="X17" s="2">
        <f t="shared" si="2"/>
        <v>-419.05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115</v>
      </c>
      <c r="E19" s="4"/>
      <c r="F19" s="12">
        <f t="shared" ref="F19:F25" si="5">IF(D$12=0,0,D19/D$12)</f>
        <v>0.48187722606327255</v>
      </c>
      <c r="G19" s="4"/>
      <c r="H19" s="4">
        <f>SUM(OSRRefH16x_0)</f>
        <v>4611.5</v>
      </c>
      <c r="I19" s="4"/>
      <c r="J19" s="12">
        <f t="shared" ref="J19:J25" si="6">IF(H$12=0,0,H19/H$12)</f>
        <v>0.40100000000000002</v>
      </c>
      <c r="K19" s="4"/>
      <c r="L19" s="4">
        <f t="shared" ref="L19:L25" si="7">+D19-H19</f>
        <v>-4496.5</v>
      </c>
      <c r="M19" s="4"/>
      <c r="N19" s="12">
        <f t="shared" ref="N19:N25" si="8">IF(H19=0,0,L19/H19)</f>
        <v>-0.97506234413965087</v>
      </c>
      <c r="O19" s="10"/>
      <c r="P19" s="4">
        <f>SUM(OSRRefP16x_0)</f>
        <v>3803.1200000000003</v>
      </c>
      <c r="Q19" s="4"/>
      <c r="R19" s="12">
        <f t="shared" ref="R19:R25" si="9">IF(P$12=0,0,P19/P$12)</f>
        <v>0.50379857171054299</v>
      </c>
      <c r="S19" s="4"/>
      <c r="T19" s="4">
        <f>SUM(OSRRefT16x_0)</f>
        <v>4611.5</v>
      </c>
      <c r="U19" s="4"/>
      <c r="V19" s="12">
        <f t="shared" ref="V19:V25" si="10">IF(T$12=0,0,T19/T$12)</f>
        <v>0.40100000000000002</v>
      </c>
      <c r="W19" s="4"/>
      <c r="X19" s="4">
        <f t="shared" ref="X19:X25" si="11">+P19-T19</f>
        <v>-808.37999999999965</v>
      </c>
      <c r="Y19" s="4"/>
      <c r="Z19" s="12">
        <f t="shared" ref="Z19:Z25" si="12">IF(T19=0,0,X19/T19)</f>
        <v>-0.17529654125555669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>
        <v>4611.5</v>
      </c>
      <c r="I20" s="2"/>
      <c r="J20" s="19">
        <f t="shared" si="6"/>
        <v>0.40100000000000002</v>
      </c>
      <c r="K20" s="2"/>
      <c r="L20" s="2">
        <f t="shared" si="7"/>
        <v>-4611.5</v>
      </c>
      <c r="M20" s="2"/>
      <c r="N20" s="19">
        <f t="shared" si="8"/>
        <v>-1</v>
      </c>
      <c r="O20" s="11"/>
      <c r="P20" s="2"/>
      <c r="Q20" s="2"/>
      <c r="R20" s="19">
        <f t="shared" si="9"/>
        <v>0</v>
      </c>
      <c r="S20" s="2"/>
      <c r="T20" s="2">
        <v>4611.5</v>
      </c>
      <c r="U20" s="2"/>
      <c r="V20" s="19">
        <f t="shared" si="10"/>
        <v>0.40100000000000002</v>
      </c>
      <c r="W20" s="2"/>
      <c r="X20" s="2">
        <f t="shared" si="11"/>
        <v>-4611.5</v>
      </c>
      <c r="Y20" s="2"/>
      <c r="Z20" s="19">
        <f t="shared" si="12"/>
        <v>-1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1984.49</v>
      </c>
      <c r="Q21" s="2"/>
      <c r="R21" s="19">
        <f t="shared" si="9"/>
        <v>0.26288500693479439</v>
      </c>
      <c r="S21" s="2"/>
      <c r="T21" s="2"/>
      <c r="U21" s="2"/>
      <c r="V21" s="19">
        <f t="shared" si="10"/>
        <v>0</v>
      </c>
      <c r="W21" s="2"/>
      <c r="X21" s="2">
        <f t="shared" si="11"/>
        <v>1984.49</v>
      </c>
      <c r="Y21" s="2"/>
      <c r="Z21" s="19">
        <f t="shared" si="12"/>
        <v>0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11.85</v>
      </c>
      <c r="Q22" s="2"/>
      <c r="R22" s="19">
        <f t="shared" si="9"/>
        <v>1.5697672108084765E-3</v>
      </c>
      <c r="S22" s="2"/>
      <c r="T22" s="2"/>
      <c r="U22" s="2"/>
      <c r="V22" s="19">
        <f t="shared" si="10"/>
        <v>0</v>
      </c>
      <c r="W22" s="2"/>
      <c r="X22" s="2">
        <f t="shared" si="11"/>
        <v>11.85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-2103</v>
      </c>
      <c r="Q23" s="2"/>
      <c r="R23" s="19">
        <f t="shared" si="9"/>
        <v>-0.27858400374094738</v>
      </c>
      <c r="S23" s="2"/>
      <c r="T23" s="2"/>
      <c r="U23" s="2"/>
      <c r="V23" s="19">
        <f t="shared" si="10"/>
        <v>0</v>
      </c>
      <c r="W23" s="2"/>
      <c r="X23" s="2">
        <f t="shared" si="11"/>
        <v>-2103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115</v>
      </c>
      <c r="E24" s="2"/>
      <c r="F24" s="19">
        <f t="shared" si="5"/>
        <v>0.48187722606327255</v>
      </c>
      <c r="G24" s="2"/>
      <c r="H24" s="2"/>
      <c r="I24" s="2"/>
      <c r="J24" s="19">
        <f t="shared" si="6"/>
        <v>0</v>
      </c>
      <c r="K24" s="2"/>
      <c r="L24" s="2">
        <f t="shared" si="7"/>
        <v>115</v>
      </c>
      <c r="M24" s="2"/>
      <c r="N24" s="19">
        <f t="shared" si="8"/>
        <v>0</v>
      </c>
      <c r="O24" s="11"/>
      <c r="P24" s="2">
        <v>3804</v>
      </c>
      <c r="Q24" s="2"/>
      <c r="R24" s="19">
        <f t="shared" si="9"/>
        <v>0.50391514514054392</v>
      </c>
      <c r="S24" s="2"/>
      <c r="T24" s="2"/>
      <c r="U24" s="2"/>
      <c r="V24" s="19">
        <f t="shared" si="10"/>
        <v>0</v>
      </c>
      <c r="W24" s="2"/>
      <c r="X24" s="2">
        <f t="shared" si="11"/>
        <v>3804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/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105.78</v>
      </c>
      <c r="Q25" s="2"/>
      <c r="R25" s="19">
        <f t="shared" si="9"/>
        <v>1.4012656165343515E-2</v>
      </c>
      <c r="S25" s="2"/>
      <c r="T25" s="2"/>
      <c r="U25" s="2"/>
      <c r="V25" s="19">
        <f t="shared" si="10"/>
        <v>0</v>
      </c>
      <c r="W25" s="2"/>
      <c r="X25" s="2">
        <f t="shared" si="11"/>
        <v>105.78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2">
        <f>D12-D19</f>
        <v>123.65</v>
      </c>
      <c r="E27" s="14"/>
      <c r="F27" s="20">
        <f>IF(D$12=0,0,D27/D$12)</f>
        <v>0.51812277393672745</v>
      </c>
      <c r="G27" s="14"/>
      <c r="H27" s="22">
        <f>H12-H19</f>
        <v>6888.5</v>
      </c>
      <c r="I27" s="14"/>
      <c r="J27" s="20">
        <f>IF(H$12=0,0,H27/H$12)</f>
        <v>0.59899999999999998</v>
      </c>
      <c r="K27" s="16"/>
      <c r="L27" s="22">
        <f>+D27-H27</f>
        <v>-6764.85</v>
      </c>
      <c r="M27" s="16"/>
      <c r="N27" s="20">
        <f>IF(H27=0,0,L27/H27)</f>
        <v>-0.9820497931334834</v>
      </c>
      <c r="O27" s="28"/>
      <c r="P27" s="22">
        <f>P12-P19</f>
        <v>3745.7699999999991</v>
      </c>
      <c r="Q27" s="14"/>
      <c r="R27" s="20">
        <f>IF(P$12=0,0,P27/P$12)</f>
        <v>0.49620142828945701</v>
      </c>
      <c r="S27" s="14"/>
      <c r="T27" s="22">
        <f>T12-T19</f>
        <v>6888.5</v>
      </c>
      <c r="U27" s="14"/>
      <c r="V27" s="20">
        <f>IF(T$12=0,0,T27/T$12)</f>
        <v>0.59899999999999998</v>
      </c>
      <c r="W27" s="16"/>
      <c r="X27" s="22">
        <f>+P27-T27</f>
        <v>-3142.7300000000009</v>
      </c>
      <c r="Y27" s="16"/>
      <c r="Z27" s="20">
        <f>IF(T27=0,0,X27/T27)</f>
        <v>-0.45622849676997906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1">
        <f>SUM(OSRRefD22x_0)</f>
        <v>-489.4499999999997</v>
      </c>
      <c r="E29" s="21"/>
      <c r="F29" s="30">
        <f t="shared" ref="F29:F38" si="13">IF(D$12=0,0,D29/D$12)</f>
        <v>-2.0509113764927704</v>
      </c>
      <c r="G29" s="21"/>
      <c r="H29" s="21">
        <f>SUM(OSRRefH22x_0)</f>
        <v>2534.606592115389</v>
      </c>
      <c r="I29" s="21"/>
      <c r="J29" s="30">
        <f t="shared" ref="J29:J38" si="14">IF(H$12=0,0,H29/H$12)</f>
        <v>0.22040057322742512</v>
      </c>
      <c r="K29" s="4"/>
      <c r="L29" s="21">
        <f t="shared" ref="L29:L38" si="15">+D29-H29</f>
        <v>-3024.0565921153889</v>
      </c>
      <c r="M29" s="4"/>
      <c r="N29" s="30">
        <f t="shared" ref="N29:N38" si="16">IF(H29=0,0,L29/H29)</f>
        <v>-1.193106891429452</v>
      </c>
      <c r="O29" s="10"/>
      <c r="P29" s="21">
        <f>SUM(OSRRefP22x_0)</f>
        <v>2516.1599999999962</v>
      </c>
      <c r="Q29" s="21"/>
      <c r="R29" s="30">
        <f t="shared" ref="R29:R38" si="17">IF(P$12=0,0,P29/P$12)</f>
        <v>0.33331522912640088</v>
      </c>
      <c r="S29" s="21"/>
      <c r="T29" s="21">
        <f>SUM(OSRRefT22x_0)</f>
        <v>-16330.057151249981</v>
      </c>
      <c r="U29" s="21"/>
      <c r="V29" s="30">
        <f t="shared" ref="V29:V38" si="18">IF(T$12=0,0,T29/T$12)</f>
        <v>-1.4200049696739114</v>
      </c>
      <c r="W29" s="4"/>
      <c r="X29" s="21">
        <f t="shared" ref="X29:X38" si="19">+P29-T29</f>
        <v>18846.217151249977</v>
      </c>
      <c r="Y29" s="4"/>
      <c r="Z29" s="30">
        <f t="shared" ref="Z29:Z38" si="20">IF(T29=0,0,X29/T29)</f>
        <v>-1.1540815183128368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3"/>
        <v>0</v>
      </c>
      <c r="G30" s="1"/>
      <c r="H30" s="1">
        <f>SUM(OSRRefH22_0x_0)</f>
        <v>1178.5227459615389</v>
      </c>
      <c r="I30" s="1"/>
      <c r="J30" s="5">
        <f t="shared" si="14"/>
        <v>0.10248023877926425</v>
      </c>
      <c r="K30" s="1"/>
      <c r="L30" s="1">
        <f t="shared" si="15"/>
        <v>-1178.5227459615389</v>
      </c>
      <c r="M30" s="1"/>
      <c r="N30" s="5">
        <f t="shared" si="16"/>
        <v>-1</v>
      </c>
      <c r="O30" s="13"/>
      <c r="P30" s="1">
        <f>SUM(OSRRefP22_0x_0)</f>
        <v>821.29</v>
      </c>
      <c r="Q30" s="1"/>
      <c r="R30" s="5">
        <f t="shared" si="17"/>
        <v>0.10879612764260706</v>
      </c>
      <c r="S30" s="1"/>
      <c r="T30" s="1">
        <f>SUM(OSRRefT22_0x_0)</f>
        <v>7330.3978487500008</v>
      </c>
      <c r="U30" s="1"/>
      <c r="V30" s="5">
        <f t="shared" si="18"/>
        <v>0.63742589989130438</v>
      </c>
      <c r="W30" s="1"/>
      <c r="X30" s="1">
        <f t="shared" si="19"/>
        <v>-6509.1078487500008</v>
      </c>
      <c r="Y30" s="1"/>
      <c r="Z30" s="5">
        <f t="shared" si="20"/>
        <v>-0.88796106064829095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3"/>
        <v>0</v>
      </c>
      <c r="G31" s="2"/>
      <c r="H31" s="6">
        <v>150.23869211538502</v>
      </c>
      <c r="I31" s="2"/>
      <c r="J31" s="7">
        <f t="shared" si="14"/>
        <v>1.3064234096990002E-2</v>
      </c>
      <c r="K31" s="2"/>
      <c r="L31" s="6">
        <f t="shared" si="15"/>
        <v>-150.23869211538502</v>
      </c>
      <c r="M31" s="2"/>
      <c r="N31" s="7">
        <f t="shared" si="16"/>
        <v>-1</v>
      </c>
      <c r="O31" s="11"/>
      <c r="P31" s="6">
        <v>155.66</v>
      </c>
      <c r="Q31" s="2"/>
      <c r="R31" s="7">
        <f t="shared" si="17"/>
        <v>2.0620250129489238E-2</v>
      </c>
      <c r="S31" s="2"/>
      <c r="T31" s="6">
        <v>976.551498750002</v>
      </c>
      <c r="U31" s="2"/>
      <c r="V31" s="7">
        <f t="shared" si="18"/>
        <v>8.491752163043495E-2</v>
      </c>
      <c r="W31" s="2"/>
      <c r="X31" s="6">
        <f t="shared" si="19"/>
        <v>-820.89149875000203</v>
      </c>
      <c r="Y31" s="2"/>
      <c r="Z31" s="7">
        <f t="shared" si="20"/>
        <v>-0.84060236434100333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3"/>
        <v>0</v>
      </c>
      <c r="G32" s="2"/>
      <c r="H32" s="6">
        <v>37.299557692307701</v>
      </c>
      <c r="I32" s="2"/>
      <c r="J32" s="7">
        <f t="shared" si="14"/>
        <v>3.2434397993311046E-3</v>
      </c>
      <c r="K32" s="2"/>
      <c r="L32" s="6">
        <f t="shared" si="15"/>
        <v>-37.299557692307701</v>
      </c>
      <c r="M32" s="2"/>
      <c r="N32" s="7">
        <f t="shared" si="16"/>
        <v>-1</v>
      </c>
      <c r="O32" s="11"/>
      <c r="P32" s="6">
        <v>22.05</v>
      </c>
      <c r="Q32" s="2"/>
      <c r="R32" s="7">
        <f t="shared" si="17"/>
        <v>2.92095924036514E-3</v>
      </c>
      <c r="S32" s="2"/>
      <c r="T32" s="6">
        <v>242.447125</v>
      </c>
      <c r="U32" s="2"/>
      <c r="V32" s="7">
        <f t="shared" si="18"/>
        <v>2.1082358695652174E-2</v>
      </c>
      <c r="W32" s="2"/>
      <c r="X32" s="6">
        <f t="shared" si="19"/>
        <v>-220.39712499999999</v>
      </c>
      <c r="Y32" s="2"/>
      <c r="Z32" s="7">
        <f t="shared" si="20"/>
        <v>-0.90905233460697865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3"/>
        <v>0</v>
      </c>
      <c r="G33" s="2"/>
      <c r="H33" s="6">
        <v>660</v>
      </c>
      <c r="I33" s="2"/>
      <c r="J33" s="7">
        <f t="shared" si="14"/>
        <v>5.7391304347826085E-2</v>
      </c>
      <c r="K33" s="2"/>
      <c r="L33" s="6">
        <f t="shared" si="15"/>
        <v>-660</v>
      </c>
      <c r="M33" s="2"/>
      <c r="N33" s="7">
        <f t="shared" si="16"/>
        <v>-1</v>
      </c>
      <c r="O33" s="11"/>
      <c r="P33" s="6">
        <v>305.26</v>
      </c>
      <c r="Q33" s="2"/>
      <c r="R33" s="7">
        <f t="shared" si="17"/>
        <v>4.0437733229653633E-2</v>
      </c>
      <c r="S33" s="2"/>
      <c r="T33" s="6">
        <v>3960</v>
      </c>
      <c r="U33" s="2"/>
      <c r="V33" s="7">
        <f t="shared" si="18"/>
        <v>0.34434782608695652</v>
      </c>
      <c r="W33" s="2"/>
      <c r="X33" s="6">
        <f t="shared" si="19"/>
        <v>-3654.74</v>
      </c>
      <c r="Y33" s="2"/>
      <c r="Z33" s="7">
        <f t="shared" si="20"/>
        <v>-0.92291414141414141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3"/>
        <v>0</v>
      </c>
      <c r="G34" s="2"/>
      <c r="H34" s="6">
        <v>5.1041499999999997</v>
      </c>
      <c r="I34" s="2"/>
      <c r="J34" s="7">
        <f t="shared" si="14"/>
        <v>4.4383913043478257E-4</v>
      </c>
      <c r="K34" s="2"/>
      <c r="L34" s="6">
        <f t="shared" si="15"/>
        <v>-5.1041499999999997</v>
      </c>
      <c r="M34" s="2"/>
      <c r="N34" s="7">
        <f t="shared" si="16"/>
        <v>-1</v>
      </c>
      <c r="O34" s="11"/>
      <c r="P34" s="6">
        <v>5</v>
      </c>
      <c r="Q34" s="2"/>
      <c r="R34" s="7">
        <f t="shared" si="17"/>
        <v>6.6234903409640366E-4</v>
      </c>
      <c r="S34" s="2"/>
      <c r="T34" s="6">
        <v>33.176974999999999</v>
      </c>
      <c r="U34" s="2"/>
      <c r="V34" s="7">
        <f t="shared" si="18"/>
        <v>2.8849543478260868E-3</v>
      </c>
      <c r="W34" s="2"/>
      <c r="X34" s="6">
        <f t="shared" si="19"/>
        <v>-28.176974999999999</v>
      </c>
      <c r="Y34" s="2"/>
      <c r="Z34" s="7">
        <f t="shared" si="20"/>
        <v>-0.84929307147502142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3"/>
        <v>0</v>
      </c>
      <c r="G35" s="2"/>
      <c r="H35" s="6">
        <v>168.82957692307698</v>
      </c>
      <c r="I35" s="2"/>
      <c r="J35" s="7">
        <f t="shared" si="14"/>
        <v>1.4680832775919738E-2</v>
      </c>
      <c r="K35" s="2"/>
      <c r="L35" s="6">
        <f t="shared" si="15"/>
        <v>-168.82957692307698</v>
      </c>
      <c r="M35" s="2"/>
      <c r="N35" s="7">
        <f t="shared" si="16"/>
        <v>-1</v>
      </c>
      <c r="O35" s="11"/>
      <c r="P35" s="6">
        <v>134.12</v>
      </c>
      <c r="Q35" s="2"/>
      <c r="R35" s="7">
        <f t="shared" si="17"/>
        <v>1.7766850490601931E-2</v>
      </c>
      <c r="S35" s="2"/>
      <c r="T35" s="6">
        <v>1097.3922500000001</v>
      </c>
      <c r="U35" s="2"/>
      <c r="V35" s="7">
        <f t="shared" si="18"/>
        <v>9.5425413043478263E-2</v>
      </c>
      <c r="W35" s="2"/>
      <c r="X35" s="6">
        <f t="shared" si="19"/>
        <v>-963.2722500000001</v>
      </c>
      <c r="Y35" s="2"/>
      <c r="Z35" s="7">
        <f t="shared" si="20"/>
        <v>-0.87778298962836676</v>
      </c>
    </row>
    <row r="36" spans="1:26" s="24" customFormat="1" hidden="1" outlineLevel="2" x14ac:dyDescent="0.25">
      <c r="A36" s="26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3"/>
        <v>0</v>
      </c>
      <c r="G37" s="2"/>
      <c r="H37" s="6">
        <v>98.156730769230791</v>
      </c>
      <c r="I37" s="2"/>
      <c r="J37" s="7">
        <f t="shared" si="14"/>
        <v>8.5353678929765905E-3</v>
      </c>
      <c r="K37" s="2"/>
      <c r="L37" s="6">
        <f t="shared" si="15"/>
        <v>-98.156730769230791</v>
      </c>
      <c r="M37" s="2"/>
      <c r="N37" s="7">
        <f t="shared" si="16"/>
        <v>-1</v>
      </c>
      <c r="O37" s="11"/>
      <c r="P37" s="6">
        <v>110.64</v>
      </c>
      <c r="Q37" s="2"/>
      <c r="R37" s="7">
        <f t="shared" si="17"/>
        <v>1.4656459426485219E-2</v>
      </c>
      <c r="S37" s="2"/>
      <c r="T37" s="6">
        <v>638.01874999999916</v>
      </c>
      <c r="U37" s="2"/>
      <c r="V37" s="7">
        <f t="shared" si="18"/>
        <v>5.5479891304347752E-2</v>
      </c>
      <c r="W37" s="2"/>
      <c r="X37" s="6">
        <f t="shared" si="19"/>
        <v>-527.37874999999917</v>
      </c>
      <c r="Y37" s="2"/>
      <c r="Z37" s="7">
        <f t="shared" si="20"/>
        <v>-0.82658816845116212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3"/>
        <v>0</v>
      </c>
      <c r="G38" s="2"/>
      <c r="H38" s="6">
        <v>58.894038461538493</v>
      </c>
      <c r="I38" s="2"/>
      <c r="J38" s="7">
        <f t="shared" si="14"/>
        <v>5.1212207357859557E-3</v>
      </c>
      <c r="K38" s="2"/>
      <c r="L38" s="6">
        <f t="shared" si="15"/>
        <v>-58.894038461538493</v>
      </c>
      <c r="M38" s="2"/>
      <c r="N38" s="7">
        <f t="shared" si="16"/>
        <v>-1</v>
      </c>
      <c r="O38" s="11"/>
      <c r="P38" s="6">
        <v>88.56</v>
      </c>
      <c r="Q38" s="2"/>
      <c r="R38" s="7">
        <f t="shared" si="17"/>
        <v>1.1731526091915502E-2</v>
      </c>
      <c r="S38" s="2"/>
      <c r="T38" s="6">
        <v>382.8112500000002</v>
      </c>
      <c r="U38" s="2"/>
      <c r="V38" s="7">
        <f t="shared" si="18"/>
        <v>3.3287934782608712E-2</v>
      </c>
      <c r="W38" s="2"/>
      <c r="X38" s="6">
        <f t="shared" si="19"/>
        <v>-294.2512500000002</v>
      </c>
      <c r="Y38" s="2"/>
      <c r="Z38" s="7">
        <f t="shared" si="20"/>
        <v>-0.76865883643701705</v>
      </c>
    </row>
    <row r="39" spans="1:26" s="25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9" si="21">IF(D$12=0,0,D39/D$12)</f>
        <v>0</v>
      </c>
      <c r="G39" s="1"/>
      <c r="H39" s="1">
        <f>SUM(OSRRefH22_1x_0)</f>
        <v>1806.0838461538501</v>
      </c>
      <c r="I39" s="1"/>
      <c r="J39" s="5">
        <f t="shared" ref="J39:J49" si="22">IF(H$12=0,0,H39/H$12)</f>
        <v>0.15705076923076958</v>
      </c>
      <c r="K39" s="1"/>
      <c r="L39" s="1">
        <f t="shared" ref="L39:L49" si="23">+D39-H39</f>
        <v>-1806.0838461538501</v>
      </c>
      <c r="M39" s="1"/>
      <c r="N39" s="5">
        <f t="shared" ref="N39:N49" si="24">IF(H39=0,0,L39/H39)</f>
        <v>-1</v>
      </c>
      <c r="O39" s="13"/>
      <c r="P39" s="1">
        <f>SUM(OSRRefP22_1x_0)</f>
        <v>1986.7399999999998</v>
      </c>
      <c r="Q39" s="1"/>
      <c r="R39" s="5">
        <f t="shared" ref="R39:R49" si="25">IF(P$12=0,0,P39/P$12)</f>
        <v>0.26318306400013775</v>
      </c>
      <c r="S39" s="1"/>
      <c r="T39" s="1">
        <f>SUM(OSRRefT22_1x_0)</f>
        <v>11739.54500000002</v>
      </c>
      <c r="U39" s="1"/>
      <c r="V39" s="5">
        <f t="shared" ref="V39:V49" si="26">IF(T$12=0,0,T39/T$12)</f>
        <v>1.0208300000000017</v>
      </c>
      <c r="W39" s="1"/>
      <c r="X39" s="1">
        <f t="shared" ref="X39:X49" si="27">+P39-T39</f>
        <v>-9752.8050000000203</v>
      </c>
      <c r="Y39" s="1"/>
      <c r="Z39" s="5">
        <f t="shared" ref="Z39:Z49" si="28">IF(T39=0,0,X39/T39)</f>
        <v>-0.83076516168216086</v>
      </c>
    </row>
    <row r="40" spans="1:26" s="24" customFormat="1" hidden="1" outlineLevel="2" x14ac:dyDescent="0.25">
      <c r="A40" s="26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1"/>
        <v>0</v>
      </c>
      <c r="G41" s="2"/>
      <c r="H41" s="6">
        <v>1806.0838461538501</v>
      </c>
      <c r="I41" s="2"/>
      <c r="J41" s="7">
        <f t="shared" si="22"/>
        <v>0.15705076923076958</v>
      </c>
      <c r="K41" s="2"/>
      <c r="L41" s="6">
        <f t="shared" si="23"/>
        <v>-1806.0838461538501</v>
      </c>
      <c r="M41" s="2"/>
      <c r="N41" s="7">
        <f t="shared" si="24"/>
        <v>-1</v>
      </c>
      <c r="O41" s="11"/>
      <c r="P41" s="6">
        <v>1872</v>
      </c>
      <c r="Q41" s="2"/>
      <c r="R41" s="7">
        <f t="shared" si="25"/>
        <v>0.24798347836569351</v>
      </c>
      <c r="S41" s="2"/>
      <c r="T41" s="6">
        <v>11739.54500000002</v>
      </c>
      <c r="U41" s="2"/>
      <c r="V41" s="7">
        <f t="shared" si="26"/>
        <v>1.0208300000000017</v>
      </c>
      <c r="W41" s="2"/>
      <c r="X41" s="6">
        <f t="shared" si="27"/>
        <v>-9867.5450000000201</v>
      </c>
      <c r="Y41" s="2"/>
      <c r="Z41" s="7">
        <f t="shared" si="28"/>
        <v>-0.84053896467026645</v>
      </c>
    </row>
    <row r="42" spans="1:26" s="24" customFormat="1" hidden="1" outlineLevel="2" x14ac:dyDescent="0.25">
      <c r="A42" s="26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57.37</v>
      </c>
      <c r="Q45" s="2"/>
      <c r="R45" s="7">
        <f t="shared" si="25"/>
        <v>7.5997928172221348E-3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57.37</v>
      </c>
      <c r="Y45" s="2"/>
      <c r="Z45" s="7">
        <f t="shared" si="28"/>
        <v>0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>
        <v>57.37</v>
      </c>
      <c r="Q46" s="2"/>
      <c r="R46" s="7">
        <f t="shared" si="25"/>
        <v>7.5997928172221348E-3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57.37</v>
      </c>
      <c r="Y46" s="2"/>
      <c r="Z46" s="7">
        <f t="shared" si="28"/>
        <v>0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6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6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5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6" si="29">IF(D$12=0,0,D50/D$12)</f>
        <v>0</v>
      </c>
      <c r="G50" s="1"/>
      <c r="H50" s="1">
        <f>SUM(OSRRefH22_2x_0)</f>
        <v>1000</v>
      </c>
      <c r="I50" s="1"/>
      <c r="J50" s="5">
        <f t="shared" ref="J50:J56" si="30">IF(H$12=0,0,H50/H$12)</f>
        <v>8.6956521739130432E-2</v>
      </c>
      <c r="K50" s="1"/>
      <c r="L50" s="1">
        <f t="shared" ref="L50:L56" si="31">+D50-H50</f>
        <v>-1000</v>
      </c>
      <c r="M50" s="1"/>
      <c r="N50" s="5">
        <f t="shared" ref="N50:N56" si="32">IF(H50=0,0,L50/H50)</f>
        <v>-1</v>
      </c>
      <c r="O50" s="13"/>
      <c r="P50" s="1">
        <f>SUM(OSRRefP22_2x_0)</f>
        <v>-857.46</v>
      </c>
      <c r="Q50" s="1"/>
      <c r="R50" s="5">
        <f t="shared" ref="R50:R56" si="33">IF(P$12=0,0,P50/P$12)</f>
        <v>-0.11358756055526045</v>
      </c>
      <c r="S50" s="1"/>
      <c r="T50" s="1">
        <f>SUM(OSRRefT22_2x_0)</f>
        <v>1000</v>
      </c>
      <c r="U50" s="1"/>
      <c r="V50" s="5">
        <f t="shared" ref="V50:V56" si="34">IF(T$12=0,0,T50/T$12)</f>
        <v>8.6956521739130432E-2</v>
      </c>
      <c r="W50" s="1"/>
      <c r="X50" s="1">
        <f t="shared" ref="X50:X56" si="35">+P50-T50</f>
        <v>-1857.46</v>
      </c>
      <c r="Y50" s="1"/>
      <c r="Z50" s="5">
        <f t="shared" ref="Z50:Z56" si="36">IF(T50=0,0,X50/T50)</f>
        <v>-1.8574600000000001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>
        <v>1000</v>
      </c>
      <c r="I51" s="2"/>
      <c r="J51" s="7">
        <f t="shared" si="30"/>
        <v>8.6956521739130432E-2</v>
      </c>
      <c r="K51" s="2"/>
      <c r="L51" s="6">
        <f t="shared" si="31"/>
        <v>-1000</v>
      </c>
      <c r="M51" s="2"/>
      <c r="N51" s="7">
        <f t="shared" si="32"/>
        <v>-1</v>
      </c>
      <c r="O51" s="11"/>
      <c r="P51" s="6">
        <v>-857.46</v>
      </c>
      <c r="Q51" s="2"/>
      <c r="R51" s="7">
        <f t="shared" si="33"/>
        <v>-0.11358756055526045</v>
      </c>
      <c r="S51" s="2"/>
      <c r="T51" s="6">
        <v>1000</v>
      </c>
      <c r="U51" s="2"/>
      <c r="V51" s="7">
        <f t="shared" si="34"/>
        <v>8.6956521739130432E-2</v>
      </c>
      <c r="W51" s="2"/>
      <c r="X51" s="6">
        <f t="shared" si="35"/>
        <v>-1857.46</v>
      </c>
      <c r="Y51" s="2"/>
      <c r="Z51" s="7">
        <f t="shared" si="36"/>
        <v>-1.8574600000000001</v>
      </c>
    </row>
    <row r="52" spans="1:26" s="25" customFormat="1" outlineLevel="1" collapsed="1" x14ac:dyDescent="0.25">
      <c r="A52" s="27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100</v>
      </c>
      <c r="I52" s="1"/>
      <c r="J52" s="5">
        <f t="shared" si="30"/>
        <v>8.6956521739130436E-3</v>
      </c>
      <c r="K52" s="1"/>
      <c r="L52" s="1">
        <f t="shared" si="31"/>
        <v>-100</v>
      </c>
      <c r="M52" s="1"/>
      <c r="N52" s="5">
        <f t="shared" si="32"/>
        <v>-1</v>
      </c>
      <c r="O52" s="13"/>
      <c r="P52" s="1">
        <f>SUM(OSRRefP22_3x_0)</f>
        <v>287.29000000000002</v>
      </c>
      <c r="Q52" s="1"/>
      <c r="R52" s="5">
        <f t="shared" si="33"/>
        <v>3.8057250801111164E-2</v>
      </c>
      <c r="S52" s="1"/>
      <c r="T52" s="1">
        <f>SUM(OSRRefT22_3x_0)</f>
        <v>600</v>
      </c>
      <c r="U52" s="1"/>
      <c r="V52" s="5">
        <f t="shared" si="34"/>
        <v>5.2173913043478258E-2</v>
      </c>
      <c r="W52" s="1"/>
      <c r="X52" s="1">
        <f t="shared" si="35"/>
        <v>-312.70999999999998</v>
      </c>
      <c r="Y52" s="1"/>
      <c r="Z52" s="5">
        <f t="shared" si="36"/>
        <v>-0.52118333333333333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29"/>
        <v>0</v>
      </c>
      <c r="G53" s="2"/>
      <c r="H53" s="6">
        <v>100</v>
      </c>
      <c r="I53" s="2"/>
      <c r="J53" s="7">
        <f t="shared" si="30"/>
        <v>8.6956521739130436E-3</v>
      </c>
      <c r="K53" s="2"/>
      <c r="L53" s="6">
        <f t="shared" si="31"/>
        <v>-100</v>
      </c>
      <c r="M53" s="2"/>
      <c r="N53" s="7">
        <f t="shared" si="32"/>
        <v>-1</v>
      </c>
      <c r="O53" s="11"/>
      <c r="P53" s="6">
        <v>287.29000000000002</v>
      </c>
      <c r="Q53" s="2"/>
      <c r="R53" s="7">
        <f t="shared" si="33"/>
        <v>3.8057250801111164E-2</v>
      </c>
      <c r="S53" s="2"/>
      <c r="T53" s="6">
        <v>600</v>
      </c>
      <c r="U53" s="2"/>
      <c r="V53" s="7">
        <f t="shared" si="34"/>
        <v>5.2173913043478258E-2</v>
      </c>
      <c r="W53" s="2"/>
      <c r="X53" s="6">
        <f t="shared" si="35"/>
        <v>-312.70999999999998</v>
      </c>
      <c r="Y53" s="2"/>
      <c r="Z53" s="7">
        <f t="shared" si="36"/>
        <v>-0.52118333333333333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SUM(OSRRefD22_4x_0)</f>
        <v>-687.14999999999964</v>
      </c>
      <c r="E54" s="1"/>
      <c r="F54" s="5">
        <f t="shared" si="29"/>
        <v>-2.8793211816467617</v>
      </c>
      <c r="G54" s="1"/>
      <c r="H54" s="1">
        <f>SUM(OSRRefH22_4x_0)</f>
        <v>-2500</v>
      </c>
      <c r="I54" s="1"/>
      <c r="J54" s="5">
        <f t="shared" si="30"/>
        <v>-0.21739130434782608</v>
      </c>
      <c r="K54" s="1"/>
      <c r="L54" s="1">
        <f t="shared" si="31"/>
        <v>1812.8500000000004</v>
      </c>
      <c r="M54" s="1"/>
      <c r="N54" s="5">
        <f t="shared" si="32"/>
        <v>-0.72514000000000012</v>
      </c>
      <c r="O54" s="13"/>
      <c r="P54" s="1">
        <f>SUM(OSRRefP22_4x_0)</f>
        <v>-5893.4500000000044</v>
      </c>
      <c r="Q54" s="1"/>
      <c r="R54" s="5">
        <f t="shared" si="33"/>
        <v>-0.78070418299909061</v>
      </c>
      <c r="S54" s="1"/>
      <c r="T54" s="1">
        <f>SUM(OSRRefT22_4x_0)</f>
        <v>-42500</v>
      </c>
      <c r="U54" s="1"/>
      <c r="V54" s="5">
        <f t="shared" si="34"/>
        <v>-3.6956521739130435</v>
      </c>
      <c r="W54" s="1"/>
      <c r="X54" s="1">
        <f t="shared" si="35"/>
        <v>36606.549999999996</v>
      </c>
      <c r="Y54" s="1"/>
      <c r="Z54" s="5">
        <f t="shared" si="36"/>
        <v>-0.86133058823529407</v>
      </c>
    </row>
    <row r="55" spans="1:26" s="24" customFormat="1" hidden="1" outlineLevel="2" x14ac:dyDescent="0.25">
      <c r="A55" s="26"/>
      <c r="B55" s="11" t="str">
        <f>CONCATENATE("          ", "6305", " - ", "FREIGHT OUT")</f>
        <v xml:space="preserve">          6305 - FREIGHT OUT</v>
      </c>
      <c r="C55" s="11"/>
      <c r="D55" s="6">
        <v>3419.09</v>
      </c>
      <c r="E55" s="2"/>
      <c r="F55" s="7">
        <f t="shared" si="29"/>
        <v>14.326796564005866</v>
      </c>
      <c r="G55" s="2"/>
      <c r="H55" s="6">
        <v>-2500</v>
      </c>
      <c r="I55" s="2"/>
      <c r="J55" s="7">
        <f t="shared" si="30"/>
        <v>-0.21739130434782608</v>
      </c>
      <c r="K55" s="2"/>
      <c r="L55" s="6">
        <f t="shared" si="31"/>
        <v>5919.09</v>
      </c>
      <c r="M55" s="2"/>
      <c r="N55" s="7">
        <f t="shared" si="32"/>
        <v>-2.3676360000000001</v>
      </c>
      <c r="O55" s="11"/>
      <c r="P55" s="6">
        <v>22675.78</v>
      </c>
      <c r="Q55" s="2"/>
      <c r="R55" s="7">
        <f t="shared" si="33"/>
        <v>3.0038561960765096</v>
      </c>
      <c r="S55" s="2"/>
      <c r="T55" s="6">
        <v>-42500</v>
      </c>
      <c r="U55" s="2"/>
      <c r="V55" s="7">
        <f t="shared" si="34"/>
        <v>-3.6956521739130435</v>
      </c>
      <c r="W55" s="2"/>
      <c r="X55" s="6">
        <f t="shared" si="35"/>
        <v>65175.78</v>
      </c>
      <c r="Y55" s="2"/>
      <c r="Z55" s="7">
        <f t="shared" si="36"/>
        <v>-1.5335477647058824</v>
      </c>
    </row>
    <row r="56" spans="1:26" s="24" customFormat="1" hidden="1" outlineLevel="2" x14ac:dyDescent="0.25">
      <c r="A56" s="26"/>
      <c r="B56" s="11" t="str">
        <f>CONCATENATE("          ", "6307", " - ", "POSTAGE")</f>
        <v xml:space="preserve">          6307 - POSTAGE</v>
      </c>
      <c r="C56" s="11"/>
      <c r="D56" s="6">
        <v>-4106.24</v>
      </c>
      <c r="E56" s="2"/>
      <c r="F56" s="7">
        <f t="shared" si="29"/>
        <v>-17.206117745652627</v>
      </c>
      <c r="G56" s="2"/>
      <c r="H56" s="6"/>
      <c r="I56" s="2"/>
      <c r="J56" s="7">
        <f t="shared" si="30"/>
        <v>0</v>
      </c>
      <c r="K56" s="2"/>
      <c r="L56" s="6">
        <f t="shared" si="31"/>
        <v>-4106.24</v>
      </c>
      <c r="M56" s="2"/>
      <c r="N56" s="7">
        <f t="shared" si="32"/>
        <v>0</v>
      </c>
      <c r="O56" s="11"/>
      <c r="P56" s="6">
        <v>-28569.230000000003</v>
      </c>
      <c r="Q56" s="2"/>
      <c r="R56" s="7">
        <f t="shared" si="33"/>
        <v>-3.7845603790755997</v>
      </c>
      <c r="S56" s="2"/>
      <c r="T56" s="6"/>
      <c r="U56" s="2"/>
      <c r="V56" s="7">
        <f t="shared" si="34"/>
        <v>0</v>
      </c>
      <c r="W56" s="2"/>
      <c r="X56" s="6">
        <f t="shared" si="35"/>
        <v>-28569.230000000003</v>
      </c>
      <c r="Y56" s="2"/>
      <c r="Z56" s="7">
        <f t="shared" si="36"/>
        <v>0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SUM(OSRRefD22_5x_0)</f>
        <v>0</v>
      </c>
      <c r="E57" s="1"/>
      <c r="F57" s="5">
        <f t="shared" ref="F57:F63" si="37">IF(D$12=0,0,D57/D$12)</f>
        <v>0</v>
      </c>
      <c r="G57" s="1"/>
      <c r="H57" s="1">
        <f>SUM(OSRRefH22_5x_0)</f>
        <v>100</v>
      </c>
      <c r="I57" s="1"/>
      <c r="J57" s="5">
        <f t="shared" ref="J57:J63" si="38">IF(H$12=0,0,H57/H$12)</f>
        <v>8.6956521739130436E-3</v>
      </c>
      <c r="K57" s="1"/>
      <c r="L57" s="1">
        <f t="shared" ref="L57:L63" si="39">+D57-H57</f>
        <v>-100</v>
      </c>
      <c r="M57" s="1"/>
      <c r="N57" s="5">
        <f t="shared" ref="N57:N63" si="40">IF(H57=0,0,L57/H57)</f>
        <v>-1</v>
      </c>
      <c r="O57" s="13"/>
      <c r="P57" s="1">
        <f>SUM(OSRRefP22_5x_0)</f>
        <v>80.17</v>
      </c>
      <c r="Q57" s="1"/>
      <c r="R57" s="5">
        <f t="shared" ref="R57:R63" si="41">IF(P$12=0,0,P57/P$12)</f>
        <v>1.0620104412701736E-2</v>
      </c>
      <c r="S57" s="1"/>
      <c r="T57" s="1">
        <f>SUM(OSRRefT22_5x_0)</f>
        <v>500</v>
      </c>
      <c r="U57" s="1"/>
      <c r="V57" s="5">
        <f t="shared" ref="V57:V63" si="42">IF(T$12=0,0,T57/T$12)</f>
        <v>4.3478260869565216E-2</v>
      </c>
      <c r="W57" s="1"/>
      <c r="X57" s="1">
        <f t="shared" ref="X57:X63" si="43">+P57-T57</f>
        <v>-419.83</v>
      </c>
      <c r="Y57" s="1"/>
      <c r="Z57" s="5">
        <f t="shared" ref="Z57:Z63" si="44">IF(T57=0,0,X57/T57)</f>
        <v>-0.83965999999999996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100</v>
      </c>
      <c r="I58" s="2"/>
      <c r="J58" s="7">
        <f t="shared" si="38"/>
        <v>8.6956521739130436E-3</v>
      </c>
      <c r="K58" s="2"/>
      <c r="L58" s="6">
        <f t="shared" si="39"/>
        <v>-100</v>
      </c>
      <c r="M58" s="2"/>
      <c r="N58" s="7">
        <f t="shared" si="40"/>
        <v>-1</v>
      </c>
      <c r="O58" s="11"/>
      <c r="P58" s="6">
        <v>80.17</v>
      </c>
      <c r="Q58" s="2"/>
      <c r="R58" s="7">
        <f t="shared" si="41"/>
        <v>1.0620104412701736E-2</v>
      </c>
      <c r="S58" s="2"/>
      <c r="T58" s="6">
        <v>500</v>
      </c>
      <c r="U58" s="2"/>
      <c r="V58" s="7">
        <f t="shared" si="42"/>
        <v>4.3478260869565216E-2</v>
      </c>
      <c r="W58" s="2"/>
      <c r="X58" s="6">
        <f t="shared" si="43"/>
        <v>-419.83</v>
      </c>
      <c r="Y58" s="2"/>
      <c r="Z58" s="7">
        <f t="shared" si="44"/>
        <v>-0.83965999999999996</v>
      </c>
    </row>
    <row r="59" spans="1:26" s="25" customFormat="1" outlineLevel="1" collapsed="1" x14ac:dyDescent="0.25">
      <c r="A59" s="27"/>
      <c r="B59" s="13" t="str">
        <f>CONCATENATE("     ","Inventory Adjustment                              ")</f>
        <v xml:space="preserve">     Inventory Adjustment                              </v>
      </c>
      <c r="C59" s="13"/>
      <c r="D59" s="1">
        <f>SUM(OSRRefD22_6x_0)</f>
        <v>100</v>
      </c>
      <c r="E59" s="1"/>
      <c r="F59" s="5">
        <f t="shared" si="37"/>
        <v>0.41902367483762831</v>
      </c>
      <c r="G59" s="1"/>
      <c r="H59" s="1">
        <f>SUM(OSRRefH22_6x_0)</f>
        <v>100</v>
      </c>
      <c r="I59" s="1"/>
      <c r="J59" s="5">
        <f t="shared" si="38"/>
        <v>8.6956521739130436E-3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SUM(OSRRefP22_6x_0)</f>
        <v>500</v>
      </c>
      <c r="Q59" s="1"/>
      <c r="R59" s="5">
        <f t="shared" si="41"/>
        <v>6.6234903409640361E-2</v>
      </c>
      <c r="S59" s="1"/>
      <c r="T59" s="1">
        <f>SUM(OSRRefT22_6x_0)</f>
        <v>500</v>
      </c>
      <c r="U59" s="1"/>
      <c r="V59" s="5">
        <f t="shared" si="42"/>
        <v>4.3478260869565216E-2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6"/>
      <c r="B60" s="11" t="str">
        <f>CONCATENATE("          ", "6408", " - ", "INVENTORY ADJUSTMENT")</f>
        <v xml:space="preserve">          6408 - INVENTORY ADJUSTMENT</v>
      </c>
      <c r="C60" s="11"/>
      <c r="D60" s="6">
        <v>100</v>
      </c>
      <c r="E60" s="2"/>
      <c r="F60" s="7">
        <f t="shared" si="37"/>
        <v>0.41902367483762831</v>
      </c>
      <c r="G60" s="2"/>
      <c r="H60" s="6">
        <v>100</v>
      </c>
      <c r="I60" s="2"/>
      <c r="J60" s="7">
        <f t="shared" si="38"/>
        <v>8.6956521739130436E-3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500</v>
      </c>
      <c r="Q60" s="2"/>
      <c r="R60" s="7">
        <f t="shared" si="41"/>
        <v>6.6234903409640361E-2</v>
      </c>
      <c r="S60" s="2"/>
      <c r="T60" s="6">
        <v>500</v>
      </c>
      <c r="U60" s="2"/>
      <c r="V60" s="7">
        <f t="shared" si="42"/>
        <v>4.3478260869565216E-2</v>
      </c>
      <c r="W60" s="2"/>
      <c r="X60" s="6">
        <f t="shared" si="43"/>
        <v>0</v>
      </c>
      <c r="Y60" s="2"/>
      <c r="Z60" s="7">
        <f t="shared" si="44"/>
        <v>0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SUM(OSRRefD22_7x_0)</f>
        <v>6.05</v>
      </c>
      <c r="E61" s="1"/>
      <c r="F61" s="5">
        <f t="shared" si="37"/>
        <v>2.5350932327676514E-2</v>
      </c>
      <c r="G61" s="1"/>
      <c r="H61" s="1">
        <f>SUM(OSRRefH22_7x_0)</f>
        <v>750</v>
      </c>
      <c r="I61" s="1"/>
      <c r="J61" s="5">
        <f t="shared" si="38"/>
        <v>6.5217391304347824E-2</v>
      </c>
      <c r="K61" s="1"/>
      <c r="L61" s="1">
        <f t="shared" si="39"/>
        <v>-743.95</v>
      </c>
      <c r="M61" s="1"/>
      <c r="N61" s="5">
        <f t="shared" si="40"/>
        <v>-0.99193333333333344</v>
      </c>
      <c r="O61" s="13"/>
      <c r="P61" s="1">
        <f>SUM(OSRRefP22_7x_0)</f>
        <v>5180.68</v>
      </c>
      <c r="Q61" s="1"/>
      <c r="R61" s="5">
        <f t="shared" si="41"/>
        <v>0.68628367879251129</v>
      </c>
      <c r="S61" s="1"/>
      <c r="T61" s="1">
        <f>SUM(OSRRefT22_7x_0)</f>
        <v>4500</v>
      </c>
      <c r="U61" s="1"/>
      <c r="V61" s="5">
        <f t="shared" si="42"/>
        <v>0.39130434782608697</v>
      </c>
      <c r="W61" s="1"/>
      <c r="X61" s="1">
        <f t="shared" si="43"/>
        <v>680.68000000000029</v>
      </c>
      <c r="Y61" s="1"/>
      <c r="Z61" s="5">
        <f t="shared" si="44"/>
        <v>0.1512622222222223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>
        <v>11.25</v>
      </c>
      <c r="E62" s="2"/>
      <c r="F62" s="7">
        <f t="shared" si="37"/>
        <v>4.7140163419233189E-2</v>
      </c>
      <c r="G62" s="2"/>
      <c r="H62" s="6"/>
      <c r="I62" s="2"/>
      <c r="J62" s="7">
        <f t="shared" si="38"/>
        <v>0</v>
      </c>
      <c r="K62" s="2"/>
      <c r="L62" s="6">
        <f t="shared" si="39"/>
        <v>11.25</v>
      </c>
      <c r="M62" s="2"/>
      <c r="N62" s="7">
        <f t="shared" si="40"/>
        <v>0</v>
      </c>
      <c r="O62" s="11"/>
      <c r="P62" s="6">
        <v>126.27</v>
      </c>
      <c r="Q62" s="2"/>
      <c r="R62" s="7">
        <f t="shared" si="41"/>
        <v>1.6726962507070578E-2</v>
      </c>
      <c r="S62" s="2"/>
      <c r="T62" s="6"/>
      <c r="U62" s="2"/>
      <c r="V62" s="7">
        <f t="shared" si="42"/>
        <v>0</v>
      </c>
      <c r="W62" s="2"/>
      <c r="X62" s="6">
        <f t="shared" si="43"/>
        <v>126.27</v>
      </c>
      <c r="Y62" s="2"/>
      <c r="Z62" s="7">
        <f t="shared" si="44"/>
        <v>0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>
        <v>-5.2</v>
      </c>
      <c r="E63" s="2"/>
      <c r="F63" s="7">
        <f t="shared" si="37"/>
        <v>-2.1789231091556675E-2</v>
      </c>
      <c r="G63" s="2"/>
      <c r="H63" s="6">
        <v>750</v>
      </c>
      <c r="I63" s="2"/>
      <c r="J63" s="7">
        <f t="shared" si="38"/>
        <v>6.5217391304347824E-2</v>
      </c>
      <c r="K63" s="2"/>
      <c r="L63" s="6">
        <f t="shared" si="39"/>
        <v>-755.2</v>
      </c>
      <c r="M63" s="2"/>
      <c r="N63" s="7">
        <f t="shared" si="40"/>
        <v>-1.0069333333333335</v>
      </c>
      <c r="O63" s="11"/>
      <c r="P63" s="6">
        <v>5054.41</v>
      </c>
      <c r="Q63" s="2"/>
      <c r="R63" s="7">
        <f t="shared" si="41"/>
        <v>0.66955671628544067</v>
      </c>
      <c r="S63" s="2"/>
      <c r="T63" s="6">
        <v>4500</v>
      </c>
      <c r="U63" s="2"/>
      <c r="V63" s="7">
        <f t="shared" si="42"/>
        <v>0.39130434782608697</v>
      </c>
      <c r="W63" s="2"/>
      <c r="X63" s="6">
        <f t="shared" si="43"/>
        <v>554.40999999999985</v>
      </c>
      <c r="Y63" s="2"/>
      <c r="Z63" s="7">
        <f t="shared" si="44"/>
        <v>0.12320222222222219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SUM(OSRRefD22_8x_0)</f>
        <v>91.65</v>
      </c>
      <c r="E64" s="1"/>
      <c r="F64" s="5">
        <f t="shared" ref="F64:F65" si="45">IF(D$12=0,0,D64/D$12)</f>
        <v>0.38403519798868635</v>
      </c>
      <c r="G64" s="1"/>
      <c r="H64" s="1">
        <f>SUM(OSRRefH22_8x_0)</f>
        <v>0</v>
      </c>
      <c r="I64" s="1"/>
      <c r="J64" s="5">
        <f t="shared" ref="J64:J65" si="46">IF(H$12=0,0,H64/H$12)</f>
        <v>0</v>
      </c>
      <c r="K64" s="1"/>
      <c r="L64" s="1">
        <f t="shared" ref="L64:L65" si="47">+D64-H64</f>
        <v>91.65</v>
      </c>
      <c r="M64" s="1"/>
      <c r="N64" s="5">
        <f t="shared" ref="N64:N65" si="48">IF(H64=0,0,L64/H64)</f>
        <v>0</v>
      </c>
      <c r="O64" s="13"/>
      <c r="P64" s="1">
        <f>SUM(OSRRefP22_8x_0)</f>
        <v>410.9</v>
      </c>
      <c r="Q64" s="1"/>
      <c r="R64" s="5">
        <f t="shared" ref="R64:R65" si="49">IF(P$12=0,0,P64/P$12)</f>
        <v>5.4431843622042446E-2</v>
      </c>
      <c r="S64" s="1"/>
      <c r="T64" s="1">
        <f>SUM(OSRRefT22_8x_0)</f>
        <v>0</v>
      </c>
      <c r="U64" s="1"/>
      <c r="V64" s="5">
        <f t="shared" ref="V64:V65" si="50">IF(T$12=0,0,T64/T$12)</f>
        <v>0</v>
      </c>
      <c r="W64" s="1"/>
      <c r="X64" s="1">
        <f t="shared" ref="X64:X65" si="51">+P64-T64</f>
        <v>410.9</v>
      </c>
      <c r="Y64" s="1"/>
      <c r="Z64" s="5">
        <f t="shared" ref="Z64:Z65" si="52">IF(T64=0,0,X64/T64)</f>
        <v>0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91.65</v>
      </c>
      <c r="E65" s="2"/>
      <c r="F65" s="7">
        <f t="shared" si="45"/>
        <v>0.38403519798868635</v>
      </c>
      <c r="G65" s="2"/>
      <c r="H65" s="6"/>
      <c r="I65" s="2"/>
      <c r="J65" s="7">
        <f t="shared" si="46"/>
        <v>0</v>
      </c>
      <c r="K65" s="2"/>
      <c r="L65" s="6">
        <f t="shared" si="47"/>
        <v>91.65</v>
      </c>
      <c r="M65" s="2"/>
      <c r="N65" s="7">
        <f t="shared" si="48"/>
        <v>0</v>
      </c>
      <c r="O65" s="11"/>
      <c r="P65" s="6">
        <v>410.9</v>
      </c>
      <c r="Q65" s="2"/>
      <c r="R65" s="7">
        <f t="shared" si="49"/>
        <v>5.4431843622042446E-2</v>
      </c>
      <c r="S65" s="2"/>
      <c r="T65" s="6"/>
      <c r="U65" s="2"/>
      <c r="V65" s="7">
        <f t="shared" si="50"/>
        <v>0</v>
      </c>
      <c r="W65" s="2"/>
      <c r="X65" s="6">
        <f t="shared" si="51"/>
        <v>410.9</v>
      </c>
      <c r="Y65" s="2"/>
      <c r="Z65" s="7">
        <f t="shared" si="52"/>
        <v>0</v>
      </c>
    </row>
    <row r="66" spans="1:26" s="5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0</v>
      </c>
      <c r="E67" s="4"/>
      <c r="F67" s="12">
        <f t="shared" ref="F67:F72" si="53">IF(D$12=0,0,D67/D$12)</f>
        <v>0</v>
      </c>
      <c r="G67" s="4"/>
      <c r="H67" s="4">
        <f>SUM(OSRRefH25x_0)</f>
        <v>14000</v>
      </c>
      <c r="I67" s="4"/>
      <c r="J67" s="12">
        <f t="shared" ref="J67:J72" si="54">IF(H$12=0,0,H67/H$12)</f>
        <v>1.2173913043478262</v>
      </c>
      <c r="K67" s="4"/>
      <c r="L67" s="4">
        <f t="shared" ref="L67:L72" si="55">+D67-H67</f>
        <v>-14000</v>
      </c>
      <c r="M67" s="4"/>
      <c r="N67" s="12">
        <f t="shared" ref="N67:N72" si="56">IF(H67=0,0,L67/H67)</f>
        <v>-1</v>
      </c>
      <c r="O67" s="10"/>
      <c r="P67" s="4">
        <f>SUM(OSRRefP25x_0)</f>
        <v>85733.4</v>
      </c>
      <c r="Q67" s="4"/>
      <c r="R67" s="12">
        <f t="shared" ref="R67:R72" si="57">IF(P$12=0,0,P67/P$12)</f>
        <v>11.357086935960121</v>
      </c>
      <c r="S67" s="4"/>
      <c r="T67" s="4">
        <f>SUM(OSRRefT25x_0)</f>
        <v>82500</v>
      </c>
      <c r="U67" s="4"/>
      <c r="V67" s="12">
        <f t="shared" ref="V67:V72" si="58">IF(T$12=0,0,T67/T$12)</f>
        <v>7.1739130434782608</v>
      </c>
      <c r="W67" s="4"/>
      <c r="X67" s="4">
        <f t="shared" ref="X67:X72" si="59">+P67-T67</f>
        <v>3233.3999999999942</v>
      </c>
      <c r="Y67" s="4"/>
      <c r="Z67" s="12">
        <f t="shared" ref="Z67:Z72" si="60">IF(T67=0,0,X67/T67)</f>
        <v>3.9192727272727206E-2</v>
      </c>
    </row>
    <row r="68" spans="1:26" s="24" customFormat="1" hidden="1" outlineLevel="1" x14ac:dyDescent="0.25">
      <c r="A68" s="44"/>
      <c r="B68" s="11" t="str">
        <f>CONCATENATE("          ", "4098", " - ", "TAXABLE SALES-GRAD RENTALS")</f>
        <v xml:space="preserve">          4098 - TAXABLE SALES-GRAD RENTALS</v>
      </c>
      <c r="C68" s="11"/>
      <c r="D68" s="2">
        <f t="shared" ref="D68:D72" si="61">0</f>
        <v>0</v>
      </c>
      <c r="E68" s="2"/>
      <c r="F68" s="19">
        <f t="shared" si="53"/>
        <v>0</v>
      </c>
      <c r="G68" s="2"/>
      <c r="H68" s="2"/>
      <c r="I68" s="2"/>
      <c r="J68" s="19">
        <f t="shared" si="54"/>
        <v>0</v>
      </c>
      <c r="K68" s="2"/>
      <c r="L68" s="2">
        <f t="shared" si="55"/>
        <v>0</v>
      </c>
      <c r="M68" s="2"/>
      <c r="N68" s="19">
        <f t="shared" si="56"/>
        <v>0</v>
      </c>
      <c r="O68" s="11"/>
      <c r="P68" s="2">
        <f>--1626.85</f>
        <v>1626.85</v>
      </c>
      <c r="Q68" s="2"/>
      <c r="R68" s="19">
        <f t="shared" si="57"/>
        <v>0.21550850522394685</v>
      </c>
      <c r="S68" s="2"/>
      <c r="T68" s="2"/>
      <c r="U68" s="2"/>
      <c r="V68" s="19">
        <f t="shared" si="58"/>
        <v>0</v>
      </c>
      <c r="W68" s="2"/>
      <c r="X68" s="2">
        <f t="shared" si="59"/>
        <v>1626.85</v>
      </c>
      <c r="Y68" s="2"/>
      <c r="Z68" s="19">
        <f t="shared" si="60"/>
        <v>0</v>
      </c>
    </row>
    <row r="69" spans="1:26" s="24" customFormat="1" hidden="1" outlineLevel="1" x14ac:dyDescent="0.25">
      <c r="A69" s="44"/>
      <c r="B69" s="11" t="str">
        <f>CONCATENATE("          ", "4197", " - ", "NON-TAXABLE SALES-RETURNED CHE")</f>
        <v xml:space="preserve">          4197 - NON-TAXABLE SALES-RETURNED CHE</v>
      </c>
      <c r="C69" s="11"/>
      <c r="D69" s="2">
        <f t="shared" si="61"/>
        <v>0</v>
      </c>
      <c r="E69" s="2"/>
      <c r="F69" s="19">
        <f t="shared" si="53"/>
        <v>0</v>
      </c>
      <c r="G69" s="2"/>
      <c r="H69" s="2"/>
      <c r="I69" s="2"/>
      <c r="J69" s="19">
        <f t="shared" si="54"/>
        <v>0</v>
      </c>
      <c r="K69" s="2"/>
      <c r="L69" s="2">
        <f t="shared" si="55"/>
        <v>0</v>
      </c>
      <c r="M69" s="2"/>
      <c r="N69" s="19">
        <f t="shared" si="56"/>
        <v>0</v>
      </c>
      <c r="O69" s="11"/>
      <c r="P69" s="2">
        <f>--30</f>
        <v>30</v>
      </c>
      <c r="Q69" s="2"/>
      <c r="R69" s="19">
        <f t="shared" si="57"/>
        <v>3.974094204578422E-3</v>
      </c>
      <c r="S69" s="2"/>
      <c r="T69" s="2"/>
      <c r="U69" s="2"/>
      <c r="V69" s="19">
        <f t="shared" si="58"/>
        <v>0</v>
      </c>
      <c r="W69" s="2"/>
      <c r="X69" s="2">
        <f t="shared" si="59"/>
        <v>30</v>
      </c>
      <c r="Y69" s="2"/>
      <c r="Z69" s="19">
        <f t="shared" si="60"/>
        <v>0</v>
      </c>
    </row>
    <row r="70" spans="1:26" s="24" customFormat="1" hidden="1" outlineLevel="1" x14ac:dyDescent="0.25">
      <c r="A70" s="44"/>
      <c r="B70" s="11" t="str">
        <f>CONCATENATE("          ", "4198", " - ", "NON-TAXABLE SALES-GRAD RENTALS")</f>
        <v xml:space="preserve">          4198 - NON-TAXABLE SALES-GRAD RENTALS</v>
      </c>
      <c r="C70" s="11"/>
      <c r="D70" s="2">
        <f t="shared" si="61"/>
        <v>0</v>
      </c>
      <c r="E70" s="2"/>
      <c r="F70" s="19">
        <f t="shared" si="53"/>
        <v>0</v>
      </c>
      <c r="G70" s="2"/>
      <c r="H70" s="2"/>
      <c r="I70" s="2"/>
      <c r="J70" s="19">
        <f t="shared" si="54"/>
        <v>0</v>
      </c>
      <c r="K70" s="2"/>
      <c r="L70" s="2">
        <f t="shared" si="55"/>
        <v>0</v>
      </c>
      <c r="M70" s="2"/>
      <c r="N70" s="19">
        <f t="shared" si="56"/>
        <v>0</v>
      </c>
      <c r="O70" s="11"/>
      <c r="P70" s="2">
        <f>--495</f>
        <v>495</v>
      </c>
      <c r="Q70" s="2"/>
      <c r="R70" s="19">
        <f t="shared" si="57"/>
        <v>6.5572554375543962E-2</v>
      </c>
      <c r="S70" s="2"/>
      <c r="T70" s="2"/>
      <c r="U70" s="2"/>
      <c r="V70" s="19">
        <f t="shared" si="58"/>
        <v>0</v>
      </c>
      <c r="W70" s="2"/>
      <c r="X70" s="2">
        <f t="shared" si="59"/>
        <v>495</v>
      </c>
      <c r="Y70" s="2"/>
      <c r="Z70" s="19">
        <f t="shared" si="60"/>
        <v>0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 t="shared" si="61"/>
        <v>0</v>
      </c>
      <c r="E71" s="2"/>
      <c r="F71" s="19">
        <f t="shared" si="53"/>
        <v>0</v>
      </c>
      <c r="G71" s="2"/>
      <c r="H71" s="2">
        <v>14000</v>
      </c>
      <c r="I71" s="2"/>
      <c r="J71" s="19">
        <f t="shared" si="54"/>
        <v>1.2173913043478262</v>
      </c>
      <c r="K71" s="2"/>
      <c r="L71" s="2">
        <f t="shared" si="55"/>
        <v>-14000</v>
      </c>
      <c r="M71" s="2"/>
      <c r="N71" s="19">
        <f t="shared" si="56"/>
        <v>-1</v>
      </c>
      <c r="O71" s="11"/>
      <c r="P71" s="2">
        <f>--22475</f>
        <v>22475</v>
      </c>
      <c r="Q71" s="2"/>
      <c r="R71" s="19">
        <f t="shared" si="57"/>
        <v>2.9772589082633343</v>
      </c>
      <c r="S71" s="2"/>
      <c r="T71" s="2">
        <v>82500</v>
      </c>
      <c r="U71" s="2"/>
      <c r="V71" s="19">
        <f t="shared" si="58"/>
        <v>7.1739130434782608</v>
      </c>
      <c r="W71" s="2"/>
      <c r="X71" s="2">
        <f t="shared" si="59"/>
        <v>-60025</v>
      </c>
      <c r="Y71" s="2"/>
      <c r="Z71" s="19">
        <f t="shared" si="60"/>
        <v>-0.72757575757575754</v>
      </c>
    </row>
    <row r="72" spans="1:26" s="24" customFormat="1" hidden="1" outlineLevel="1" x14ac:dyDescent="0.25">
      <c r="A72" s="44"/>
      <c r="B72" s="11" t="str">
        <f>CONCATENATE("          ", "9163", " - ", "MISC. INCOME")</f>
        <v xml:space="preserve">          9163 - MISC. INCOME</v>
      </c>
      <c r="C72" s="11"/>
      <c r="D72" s="2">
        <f t="shared" si="61"/>
        <v>0</v>
      </c>
      <c r="E72" s="2"/>
      <c r="F72" s="19">
        <f t="shared" si="53"/>
        <v>0</v>
      </c>
      <c r="G72" s="2"/>
      <c r="H72" s="2"/>
      <c r="I72" s="2"/>
      <c r="J72" s="19">
        <f t="shared" si="54"/>
        <v>0</v>
      </c>
      <c r="K72" s="2"/>
      <c r="L72" s="2">
        <f t="shared" si="55"/>
        <v>0</v>
      </c>
      <c r="M72" s="2"/>
      <c r="N72" s="19">
        <f t="shared" si="56"/>
        <v>0</v>
      </c>
      <c r="O72" s="11"/>
      <c r="P72" s="2">
        <f>--61106.55</f>
        <v>61106.55</v>
      </c>
      <c r="Q72" s="2"/>
      <c r="R72" s="19">
        <f t="shared" si="57"/>
        <v>8.0947728738927189</v>
      </c>
      <c r="S72" s="2"/>
      <c r="T72" s="2"/>
      <c r="U72" s="2"/>
      <c r="V72" s="19">
        <f t="shared" si="58"/>
        <v>0</v>
      </c>
      <c r="W72" s="2"/>
      <c r="X72" s="2">
        <f t="shared" si="59"/>
        <v>61106.55</v>
      </c>
      <c r="Y72" s="2"/>
      <c r="Z72" s="19">
        <f t="shared" si="60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+D27-D29+D67</f>
        <v>613.09999999999968</v>
      </c>
      <c r="E74" s="14"/>
      <c r="F74" s="20">
        <f>IF(D$12=0,0,D74/D$12)</f>
        <v>2.569034150429498</v>
      </c>
      <c r="G74" s="14"/>
      <c r="H74" s="22">
        <f>+H27-H29+H67</f>
        <v>18353.89340788461</v>
      </c>
      <c r="I74" s="14"/>
      <c r="J74" s="20">
        <f>IF(H$12=0,0,H74/H$12)</f>
        <v>1.5959907311204009</v>
      </c>
      <c r="K74" s="16"/>
      <c r="L74" s="22">
        <f>+D74-H74</f>
        <v>-17740.793407884612</v>
      </c>
      <c r="M74" s="16"/>
      <c r="N74" s="20">
        <f>IF(H74=0,0,L74/H74)</f>
        <v>-0.96659564342154136</v>
      </c>
      <c r="O74" s="28"/>
      <c r="P74" s="22">
        <f>+P27-P29+P67</f>
        <v>86963.01</v>
      </c>
      <c r="Q74" s="14"/>
      <c r="R74" s="20">
        <f>IF(P$12=0,0,P74/P$12)</f>
        <v>11.519973135123177</v>
      </c>
      <c r="S74" s="14"/>
      <c r="T74" s="22">
        <f>+T27-T29+T67</f>
        <v>105718.55715124999</v>
      </c>
      <c r="U74" s="14"/>
      <c r="V74" s="20">
        <f>IF(T$12=0,0,T74/T$12)</f>
        <v>9.1929180131521733</v>
      </c>
      <c r="W74" s="16"/>
      <c r="X74" s="22">
        <f>+P74-T74</f>
        <v>-18755.547151249993</v>
      </c>
      <c r="Y74" s="16"/>
      <c r="Z74" s="20">
        <f>IF(T74=0,0,X74/T74)</f>
        <v>-0.17741016957332012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41.24</v>
      </c>
      <c r="E76" s="4"/>
      <c r="F76" s="12">
        <f>IF(D$12=0,0,D76/D$12)</f>
        <v>0.17280536350303793</v>
      </c>
      <c r="G76" s="4"/>
      <c r="H76" s="4">
        <v>1481</v>
      </c>
      <c r="I76" s="4"/>
      <c r="J76" s="12">
        <f>IF(H$12=0,0,H76/H$12)</f>
        <v>0.12878260869565217</v>
      </c>
      <c r="K76" s="4"/>
      <c r="L76" s="4">
        <f>+D76-H76</f>
        <v>-1439.76</v>
      </c>
      <c r="M76" s="4"/>
      <c r="N76" s="12">
        <f>IF(H76=0,0,L76/H76)</f>
        <v>-0.97215395003376093</v>
      </c>
      <c r="O76" s="10"/>
      <c r="P76" s="4">
        <v>815.34</v>
      </c>
      <c r="Q76" s="4"/>
      <c r="R76" s="12">
        <f>IF(P$12=0,0,P76/P$12)</f>
        <v>0.10800793229203236</v>
      </c>
      <c r="S76" s="4"/>
      <c r="T76" s="4">
        <v>1481</v>
      </c>
      <c r="U76" s="4"/>
      <c r="V76" s="12">
        <f>IF(T$12=0,0,T76/T$12)</f>
        <v>0.12878260869565217</v>
      </c>
      <c r="W76" s="4"/>
      <c r="X76" s="4">
        <f>+P76-T76</f>
        <v>-665.66</v>
      </c>
      <c r="Y76" s="4"/>
      <c r="Z76" s="12">
        <f>IF(T76=0,0,X76/T76)</f>
        <v>-0.44946657663740713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1">
        <f>+D74-D76</f>
        <v>571.85999999999967</v>
      </c>
      <c r="E78" s="14"/>
      <c r="F78" s="32">
        <f>IF(D$12=0,0,D78/D$12)</f>
        <v>2.3962287869264598</v>
      </c>
      <c r="G78" s="14"/>
      <c r="H78" s="31">
        <f>+H74-H76</f>
        <v>16872.89340788461</v>
      </c>
      <c r="I78" s="14"/>
      <c r="J78" s="32">
        <f>IF(H$12=0,0,H78/H$12)</f>
        <v>1.4672081224247486</v>
      </c>
      <c r="K78" s="16"/>
      <c r="L78" s="31">
        <f>D78-H78</f>
        <v>-16301.03340788461</v>
      </c>
      <c r="M78" s="16"/>
      <c r="N78" s="32">
        <f>IF(H78=0,0,L78/H78)</f>
        <v>-0.96610776906035722</v>
      </c>
      <c r="O78" s="28"/>
      <c r="P78" s="31">
        <f>+P74-P76</f>
        <v>86147.67</v>
      </c>
      <c r="Q78" s="14"/>
      <c r="R78" s="32">
        <f>IF(P$12=0,0,P78/P$12)</f>
        <v>11.411965202831146</v>
      </c>
      <c r="S78" s="14"/>
      <c r="T78" s="31">
        <f>+T74-T76</f>
        <v>104237.55715124999</v>
      </c>
      <c r="U78" s="14"/>
      <c r="V78" s="32">
        <f>IF(T$12=0,0,T78/T$12)</f>
        <v>9.0641354044565201</v>
      </c>
      <c r="W78" s="16"/>
      <c r="X78" s="31">
        <f>P78-T78</f>
        <v>-18089.88715124999</v>
      </c>
      <c r="Y78" s="16"/>
      <c r="Z78" s="32">
        <f>IF(T78=0,0,X78/T78)</f>
        <v>-0.1735448109648362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5">
        <f>SUM(D78:D80)</f>
        <v>571.85999999999967</v>
      </c>
      <c r="E81" s="14"/>
      <c r="F81" s="34">
        <f>IF(D$12=0,0,D81/D$12)</f>
        <v>2.3962287869264598</v>
      </c>
      <c r="G81" s="14"/>
      <c r="H81" s="35">
        <f>SUM(H78:H80)</f>
        <v>16872.89340788461</v>
      </c>
      <c r="I81" s="14"/>
      <c r="J81" s="34">
        <f>IF(H$12=0,0,H81/H$12)</f>
        <v>1.4672081224247486</v>
      </c>
      <c r="K81" s="16"/>
      <c r="L81" s="35">
        <f>+D81-H81</f>
        <v>-16301.03340788461</v>
      </c>
      <c r="M81" s="16"/>
      <c r="N81" s="34">
        <f>IF(H81=0,0,L81/H81)</f>
        <v>-0.96610776906035722</v>
      </c>
      <c r="O81" s="28"/>
      <c r="P81" s="35">
        <f>SUM(P78:P80)</f>
        <v>86147.67</v>
      </c>
      <c r="Q81" s="14"/>
      <c r="R81" s="34">
        <f>IF(P$12=0,0,P81/P$12)</f>
        <v>11.411965202831146</v>
      </c>
      <c r="S81" s="14"/>
      <c r="T81" s="35">
        <f>SUM(T78:T80)</f>
        <v>104237.55715124999</v>
      </c>
      <c r="U81" s="14"/>
      <c r="V81" s="34">
        <f>IF(T$12=0,0,T81/T$12)</f>
        <v>9.0641354044565201</v>
      </c>
      <c r="W81" s="16"/>
      <c r="X81" s="35">
        <f>+P81-T81</f>
        <v>-18089.88715124999</v>
      </c>
      <c r="Y81" s="16"/>
      <c r="Z81" s="34">
        <f>IF(T81=0,0,X81/T81)</f>
        <v>-0.1735448109648362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63">
        <v>43847.446018171293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5" t="s">
        <v>314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6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84496.63</v>
      </c>
      <c r="E12" s="4"/>
      <c r="F12" s="12"/>
      <c r="G12" s="4"/>
      <c r="H12" s="4">
        <f>SUM(OSRRefH13x_0)</f>
        <v>140089</v>
      </c>
      <c r="I12" s="4"/>
      <c r="J12" s="12"/>
      <c r="K12" s="4"/>
      <c r="L12" s="4">
        <f t="shared" ref="L12:L38" si="0">+D12-H12</f>
        <v>-55592.369999999995</v>
      </c>
      <c r="M12" s="4"/>
      <c r="N12" s="12">
        <f t="shared" ref="N12:N38" si="1">IF(H12=0,0,L12/H12)</f>
        <v>-0.39683608277594956</v>
      </c>
      <c r="O12" s="10"/>
      <c r="P12" s="4">
        <f>SUM(OSRRefP13x_0)</f>
        <v>1583381.76</v>
      </c>
      <c r="Q12" s="4"/>
      <c r="R12" s="12"/>
      <c r="S12" s="4"/>
      <c r="T12" s="4">
        <f>SUM(OSRRefT13x_0)</f>
        <v>1421977</v>
      </c>
      <c r="U12" s="4"/>
      <c r="V12" s="12"/>
      <c r="W12" s="4"/>
      <c r="X12" s="4">
        <f t="shared" ref="X12:X38" si="2">+P12-T12</f>
        <v>161404.76</v>
      </c>
      <c r="Y12" s="4"/>
      <c r="Z12" s="12">
        <f t="shared" ref="Z12:Z38" si="3">IF(T12=0,0,X12/T12)</f>
        <v>0.11350729301528788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123279</v>
      </c>
      <c r="I13" s="2"/>
      <c r="J13" s="19"/>
      <c r="K13" s="2"/>
      <c r="L13" s="2">
        <f t="shared" si="0"/>
        <v>-123279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1251339</v>
      </c>
      <c r="U13" s="2"/>
      <c r="V13" s="19"/>
      <c r="W13" s="2"/>
      <c r="X13" s="2">
        <f t="shared" si="2"/>
        <v>-1251339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--14554.47</f>
        <v>14554.47</v>
      </c>
      <c r="E14" s="2"/>
      <c r="F14" s="19"/>
      <c r="G14" s="2"/>
      <c r="H14" s="2"/>
      <c r="I14" s="2"/>
      <c r="J14" s="19"/>
      <c r="K14" s="2"/>
      <c r="L14" s="2">
        <f t="shared" si="0"/>
        <v>14554.47</v>
      </c>
      <c r="M14" s="2"/>
      <c r="N14" s="19">
        <f t="shared" si="1"/>
        <v>0</v>
      </c>
      <c r="O14" s="11"/>
      <c r="P14" s="2">
        <f>--244135.05</f>
        <v>244135.05</v>
      </c>
      <c r="Q14" s="2"/>
      <c r="R14" s="19"/>
      <c r="S14" s="2"/>
      <c r="T14" s="2"/>
      <c r="U14" s="2"/>
      <c r="V14" s="19"/>
      <c r="W14" s="2"/>
      <c r="X14" s="2">
        <f t="shared" si="2"/>
        <v>244135.05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--59566.42</f>
        <v>59566.42</v>
      </c>
      <c r="E15" s="2"/>
      <c r="F15" s="19"/>
      <c r="G15" s="2"/>
      <c r="H15" s="2"/>
      <c r="I15" s="2"/>
      <c r="J15" s="19"/>
      <c r="K15" s="2"/>
      <c r="L15" s="2">
        <f t="shared" si="0"/>
        <v>59566.42</v>
      </c>
      <c r="M15" s="2"/>
      <c r="N15" s="19">
        <f t="shared" si="1"/>
        <v>0</v>
      </c>
      <c r="O15" s="11"/>
      <c r="P15" s="2">
        <f>--1342335.26</f>
        <v>1342335.26</v>
      </c>
      <c r="Q15" s="2"/>
      <c r="R15" s="19"/>
      <c r="S15" s="2"/>
      <c r="T15" s="2"/>
      <c r="U15" s="2"/>
      <c r="V15" s="19"/>
      <c r="W15" s="2"/>
      <c r="X15" s="2">
        <f t="shared" si="2"/>
        <v>1342335.26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--6927.18</f>
        <v>6927.18</v>
      </c>
      <c r="E16" s="2"/>
      <c r="F16" s="19"/>
      <c r="G16" s="2"/>
      <c r="H16" s="2"/>
      <c r="I16" s="2"/>
      <c r="J16" s="19"/>
      <c r="K16" s="2"/>
      <c r="L16" s="2">
        <f t="shared" si="0"/>
        <v>6927.18</v>
      </c>
      <c r="M16" s="2"/>
      <c r="N16" s="19">
        <f t="shared" si="1"/>
        <v>0</v>
      </c>
      <c r="O16" s="11"/>
      <c r="P16" s="2">
        <f>--70431.2</f>
        <v>70431.199999999997</v>
      </c>
      <c r="Q16" s="2"/>
      <c r="R16" s="19"/>
      <c r="S16" s="2"/>
      <c r="T16" s="2"/>
      <c r="U16" s="2"/>
      <c r="V16" s="19"/>
      <c r="W16" s="2"/>
      <c r="X16" s="2">
        <f t="shared" si="2"/>
        <v>70431.199999999997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--2710.56</f>
        <v>2710.56</v>
      </c>
      <c r="E19" s="2"/>
      <c r="F19" s="19"/>
      <c r="G19" s="2"/>
      <c r="H19" s="2"/>
      <c r="I19" s="2"/>
      <c r="J19" s="19"/>
      <c r="K19" s="2"/>
      <c r="L19" s="2">
        <f t="shared" si="0"/>
        <v>2710.56</v>
      </c>
      <c r="M19" s="2"/>
      <c r="N19" s="19">
        <f t="shared" si="1"/>
        <v>0</v>
      </c>
      <c r="O19" s="11"/>
      <c r="P19" s="2">
        <f>--33078.47</f>
        <v>33078.47</v>
      </c>
      <c r="Q19" s="2"/>
      <c r="R19" s="19"/>
      <c r="S19" s="2"/>
      <c r="T19" s="2"/>
      <c r="U19" s="2"/>
      <c r="V19" s="19"/>
      <c r="W19" s="2"/>
      <c r="X19" s="2">
        <f t="shared" si="2"/>
        <v>33078.47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--936.91</f>
        <v>936.91</v>
      </c>
      <c r="Q20" s="2"/>
      <c r="R20" s="19"/>
      <c r="S20" s="2"/>
      <c r="T20" s="2"/>
      <c r="U20" s="2"/>
      <c r="V20" s="19"/>
      <c r="W20" s="2"/>
      <c r="X20" s="2">
        <f t="shared" si="2"/>
        <v>936.91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16810</v>
      </c>
      <c r="I21" s="2"/>
      <c r="J21" s="19"/>
      <c r="K21" s="2"/>
      <c r="L21" s="2">
        <f t="shared" si="0"/>
        <v>-16810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170638</v>
      </c>
      <c r="U21" s="2"/>
      <c r="V21" s="19"/>
      <c r="W21" s="2"/>
      <c r="X21" s="2">
        <f t="shared" si="2"/>
        <v>-170638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--8486</f>
        <v>8486</v>
      </c>
      <c r="E23" s="2"/>
      <c r="F23" s="19"/>
      <c r="G23" s="2"/>
      <c r="H23" s="2"/>
      <c r="I23" s="2"/>
      <c r="J23" s="19"/>
      <c r="K23" s="2"/>
      <c r="L23" s="2">
        <f t="shared" si="0"/>
        <v>8486</v>
      </c>
      <c r="M23" s="2"/>
      <c r="N23" s="19">
        <f t="shared" si="1"/>
        <v>0</v>
      </c>
      <c r="O23" s="11"/>
      <c r="P23" s="2">
        <f>--70795</f>
        <v>70795</v>
      </c>
      <c r="Q23" s="2"/>
      <c r="R23" s="19"/>
      <c r="S23" s="2"/>
      <c r="T23" s="2"/>
      <c r="U23" s="2"/>
      <c r="V23" s="19"/>
      <c r="W23" s="2"/>
      <c r="X23" s="2">
        <f t="shared" si="2"/>
        <v>70795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--266.75</f>
        <v>266.75</v>
      </c>
      <c r="E24" s="2"/>
      <c r="F24" s="19"/>
      <c r="G24" s="2"/>
      <c r="H24" s="2"/>
      <c r="I24" s="2"/>
      <c r="J24" s="19"/>
      <c r="K24" s="2"/>
      <c r="L24" s="2">
        <f t="shared" si="0"/>
        <v>266.75</v>
      </c>
      <c r="M24" s="2"/>
      <c r="N24" s="19">
        <f t="shared" si="1"/>
        <v>0</v>
      </c>
      <c r="O24" s="11"/>
      <c r="P24" s="2">
        <f>--3571.63</f>
        <v>3571.63</v>
      </c>
      <c r="Q24" s="2"/>
      <c r="R24" s="19"/>
      <c r="S24" s="2"/>
      <c r="T24" s="2"/>
      <c r="U24" s="2"/>
      <c r="V24" s="19"/>
      <c r="W24" s="2"/>
      <c r="X24" s="2">
        <f t="shared" si="2"/>
        <v>3571.63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--437.97</f>
        <v>437.97</v>
      </c>
      <c r="E26" s="2"/>
      <c r="F26" s="19"/>
      <c r="G26" s="2"/>
      <c r="H26" s="2"/>
      <c r="I26" s="2"/>
      <c r="J26" s="19"/>
      <c r="K26" s="2"/>
      <c r="L26" s="2">
        <f t="shared" si="0"/>
        <v>437.97</v>
      </c>
      <c r="M26" s="2"/>
      <c r="N26" s="19">
        <f t="shared" si="1"/>
        <v>0</v>
      </c>
      <c r="O26" s="11"/>
      <c r="P26" s="2">
        <f>--9401.84</f>
        <v>9401.84</v>
      </c>
      <c r="Q26" s="2"/>
      <c r="R26" s="19"/>
      <c r="S26" s="2"/>
      <c r="T26" s="2"/>
      <c r="U26" s="2"/>
      <c r="V26" s="19"/>
      <c r="W26" s="2"/>
      <c r="X26" s="2">
        <f t="shared" si="2"/>
        <v>9401.84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--49.99</f>
        <v>49.99</v>
      </c>
      <c r="E27" s="2"/>
      <c r="F27" s="19"/>
      <c r="G27" s="2"/>
      <c r="H27" s="2"/>
      <c r="I27" s="2"/>
      <c r="J27" s="19"/>
      <c r="K27" s="2"/>
      <c r="L27" s="2">
        <f t="shared" si="0"/>
        <v>49.99</v>
      </c>
      <c r="M27" s="2"/>
      <c r="N27" s="19">
        <f t="shared" si="1"/>
        <v>0</v>
      </c>
      <c r="O27" s="11"/>
      <c r="P27" s="2">
        <f>--1653.36</f>
        <v>1653.36</v>
      </c>
      <c r="Q27" s="2"/>
      <c r="R27" s="19"/>
      <c r="S27" s="2"/>
      <c r="T27" s="2"/>
      <c r="U27" s="2"/>
      <c r="V27" s="19"/>
      <c r="W27" s="2"/>
      <c r="X27" s="2">
        <f t="shared" si="2"/>
        <v>1653.36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-804.91</f>
        <v>-804.91</v>
      </c>
      <c r="E29" s="2"/>
      <c r="F29" s="19"/>
      <c r="G29" s="2"/>
      <c r="H29" s="2"/>
      <c r="I29" s="2"/>
      <c r="J29" s="19"/>
      <c r="K29" s="2"/>
      <c r="L29" s="2">
        <f t="shared" si="0"/>
        <v>-804.91</v>
      </c>
      <c r="M29" s="2"/>
      <c r="N29" s="19">
        <f t="shared" si="1"/>
        <v>0</v>
      </c>
      <c r="O29" s="11"/>
      <c r="P29" s="2">
        <f>-5806.99</f>
        <v>-5806.99</v>
      </c>
      <c r="Q29" s="2"/>
      <c r="R29" s="19"/>
      <c r="S29" s="2"/>
      <c r="T29" s="2"/>
      <c r="U29" s="2"/>
      <c r="V29" s="19"/>
      <c r="W29" s="2"/>
      <c r="X29" s="2">
        <f t="shared" si="2"/>
        <v>-5806.99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-7175.99</f>
        <v>-7175.99</v>
      </c>
      <c r="E30" s="2"/>
      <c r="F30" s="19"/>
      <c r="G30" s="2"/>
      <c r="H30" s="2"/>
      <c r="I30" s="2"/>
      <c r="J30" s="19"/>
      <c r="K30" s="2"/>
      <c r="L30" s="2">
        <f t="shared" si="0"/>
        <v>-7175.99</v>
      </c>
      <c r="M30" s="2"/>
      <c r="N30" s="19">
        <f t="shared" si="1"/>
        <v>0</v>
      </c>
      <c r="O30" s="11"/>
      <c r="P30" s="2">
        <f>-187653.58</f>
        <v>-187653.58</v>
      </c>
      <c r="Q30" s="2"/>
      <c r="R30" s="19"/>
      <c r="S30" s="2"/>
      <c r="T30" s="2"/>
      <c r="U30" s="2"/>
      <c r="V30" s="19"/>
      <c r="W30" s="2"/>
      <c r="X30" s="2">
        <f t="shared" si="2"/>
        <v>-187653.58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-325.91</f>
        <v>-325.91000000000003</v>
      </c>
      <c r="E31" s="2"/>
      <c r="F31" s="19"/>
      <c r="G31" s="2"/>
      <c r="H31" s="2"/>
      <c r="I31" s="2"/>
      <c r="J31" s="19"/>
      <c r="K31" s="2"/>
      <c r="L31" s="2">
        <f t="shared" si="0"/>
        <v>-325.91000000000003</v>
      </c>
      <c r="M31" s="2"/>
      <c r="N31" s="19">
        <f t="shared" si="1"/>
        <v>0</v>
      </c>
      <c r="O31" s="11"/>
      <c r="P31" s="2">
        <f>-3282.15</f>
        <v>-3282.15</v>
      </c>
      <c r="Q31" s="2"/>
      <c r="R31" s="19"/>
      <c r="S31" s="2"/>
      <c r="T31" s="2"/>
      <c r="U31" s="2"/>
      <c r="V31" s="19"/>
      <c r="W31" s="2"/>
      <c r="X31" s="2">
        <f t="shared" si="2"/>
        <v>-3282.15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-195.9</f>
        <v>-195.9</v>
      </c>
      <c r="E34" s="2"/>
      <c r="F34" s="19"/>
      <c r="G34" s="2"/>
      <c r="H34" s="2"/>
      <c r="I34" s="2"/>
      <c r="J34" s="19"/>
      <c r="K34" s="2"/>
      <c r="L34" s="2">
        <f t="shared" si="0"/>
        <v>-195.9</v>
      </c>
      <c r="M34" s="2"/>
      <c r="N34" s="19">
        <f t="shared" si="1"/>
        <v>0</v>
      </c>
      <c r="O34" s="11"/>
      <c r="P34" s="2">
        <f>-2987.89</f>
        <v>-2987.89</v>
      </c>
      <c r="Q34" s="2"/>
      <c r="R34" s="19"/>
      <c r="S34" s="2"/>
      <c r="T34" s="2"/>
      <c r="U34" s="2"/>
      <c r="V34" s="19"/>
      <c r="W34" s="2"/>
      <c r="X34" s="2">
        <f t="shared" si="2"/>
        <v>-2987.89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7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7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7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7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70545.789999999994</v>
      </c>
      <c r="E40" s="4"/>
      <c r="F40" s="12">
        <f t="shared" ref="F40:F54" si="8">IF(D$12=0,0,D40/D$12)</f>
        <v>0.83489471710291863</v>
      </c>
      <c r="G40" s="4"/>
      <c r="H40" s="4">
        <f>SUM(OSRRefH16x_0)</f>
        <v>109405</v>
      </c>
      <c r="I40" s="4"/>
      <c r="J40" s="12">
        <f t="shared" ref="J40:J54" si="9">IF(H$12=0,0,H40/H$12)</f>
        <v>0.78096781331867593</v>
      </c>
      <c r="K40" s="4"/>
      <c r="L40" s="4">
        <f t="shared" ref="L40:L54" si="10">+D40-H40</f>
        <v>-38859.210000000006</v>
      </c>
      <c r="M40" s="4"/>
      <c r="N40" s="12">
        <f t="shared" ref="N40:N54" si="11">IF(H40=0,0,L40/H40)</f>
        <v>-0.35518678305379103</v>
      </c>
      <c r="O40" s="10"/>
      <c r="P40" s="4">
        <f>SUM(OSRRefP16x_0)</f>
        <v>1407046.8499999999</v>
      </c>
      <c r="Q40" s="4"/>
      <c r="R40" s="12">
        <f t="shared" ref="R40:R54" si="12">IF(P$12=0,0,P40/P$12)</f>
        <v>0.88863398931663828</v>
      </c>
      <c r="S40" s="4"/>
      <c r="T40" s="4">
        <f>SUM(OSRRefT16x_0)</f>
        <v>1110512</v>
      </c>
      <c r="U40" s="4"/>
      <c r="V40" s="12">
        <f t="shared" ref="V40:V54" si="13">IF(T$12=0,0,T40/T$12)</f>
        <v>0.78096340517462659</v>
      </c>
      <c r="W40" s="4"/>
      <c r="X40" s="4">
        <f t="shared" ref="X40:X54" si="14">+P40-T40</f>
        <v>296534.84999999986</v>
      </c>
      <c r="Y40" s="4"/>
      <c r="Z40" s="12">
        <f t="shared" ref="Z40:Z54" si="15">IF(T40=0,0,X40/T40)</f>
        <v>0.26702534506605952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8"/>
        <v>0</v>
      </c>
      <c r="G41" s="2"/>
      <c r="H41" s="2">
        <v>109405</v>
      </c>
      <c r="I41" s="2"/>
      <c r="J41" s="19">
        <f t="shared" si="9"/>
        <v>0.78096781331867593</v>
      </c>
      <c r="K41" s="2"/>
      <c r="L41" s="2">
        <f t="shared" si="10"/>
        <v>-109405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1110512</v>
      </c>
      <c r="U41" s="2"/>
      <c r="V41" s="19">
        <f t="shared" si="13"/>
        <v>0.78096340517462659</v>
      </c>
      <c r="W41" s="2"/>
      <c r="X41" s="2">
        <f t="shared" si="14"/>
        <v>-1110512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2601.6999999999998</v>
      </c>
      <c r="E42" s="2"/>
      <c r="F42" s="19">
        <f t="shared" si="8"/>
        <v>3.079057709165442E-2</v>
      </c>
      <c r="G42" s="2"/>
      <c r="H42" s="2"/>
      <c r="I42" s="2"/>
      <c r="J42" s="19">
        <f t="shared" si="9"/>
        <v>0</v>
      </c>
      <c r="K42" s="2"/>
      <c r="L42" s="2">
        <f t="shared" si="10"/>
        <v>2601.6999999999998</v>
      </c>
      <c r="M42" s="2"/>
      <c r="N42" s="19">
        <f t="shared" si="11"/>
        <v>0</v>
      </c>
      <c r="O42" s="11"/>
      <c r="P42" s="2">
        <v>187409.43</v>
      </c>
      <c r="Q42" s="2"/>
      <c r="R42" s="19">
        <f t="shared" si="12"/>
        <v>0.11836023044752012</v>
      </c>
      <c r="S42" s="2"/>
      <c r="T42" s="2"/>
      <c r="U42" s="2"/>
      <c r="V42" s="19">
        <f t="shared" si="13"/>
        <v>0</v>
      </c>
      <c r="W42" s="2"/>
      <c r="X42" s="2">
        <f t="shared" si="14"/>
        <v>187409.43</v>
      </c>
      <c r="Y42" s="2"/>
      <c r="Z42" s="19">
        <f t="shared" si="15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49827.72</v>
      </c>
      <c r="E43" s="2"/>
      <c r="F43" s="19">
        <f t="shared" si="8"/>
        <v>0.58970067800337123</v>
      </c>
      <c r="G43" s="2"/>
      <c r="H43" s="2"/>
      <c r="I43" s="2"/>
      <c r="J43" s="19">
        <f t="shared" si="9"/>
        <v>0</v>
      </c>
      <c r="K43" s="2"/>
      <c r="L43" s="2">
        <f t="shared" si="10"/>
        <v>49827.72</v>
      </c>
      <c r="M43" s="2"/>
      <c r="N43" s="19">
        <f t="shared" si="11"/>
        <v>0</v>
      </c>
      <c r="O43" s="11"/>
      <c r="P43" s="2">
        <v>1008177.98</v>
      </c>
      <c r="Q43" s="2"/>
      <c r="R43" s="19">
        <f t="shared" si="12"/>
        <v>0.63672451298163246</v>
      </c>
      <c r="S43" s="2"/>
      <c r="T43" s="2"/>
      <c r="U43" s="2"/>
      <c r="V43" s="19">
        <f t="shared" si="13"/>
        <v>0</v>
      </c>
      <c r="W43" s="2"/>
      <c r="X43" s="2">
        <f t="shared" si="14"/>
        <v>1008177.98</v>
      </c>
      <c r="Y43" s="2"/>
      <c r="Z43" s="19">
        <f t="shared" si="15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5515.26</v>
      </c>
      <c r="E44" s="2"/>
      <c r="F44" s="19">
        <f t="shared" si="8"/>
        <v>6.5271952266025279E-2</v>
      </c>
      <c r="G44" s="2"/>
      <c r="H44" s="2"/>
      <c r="I44" s="2"/>
      <c r="J44" s="19">
        <f t="shared" si="9"/>
        <v>0</v>
      </c>
      <c r="K44" s="2"/>
      <c r="L44" s="2">
        <f t="shared" si="10"/>
        <v>5515.26</v>
      </c>
      <c r="M44" s="2"/>
      <c r="N44" s="19">
        <f t="shared" si="11"/>
        <v>0</v>
      </c>
      <c r="O44" s="11"/>
      <c r="P44" s="2">
        <v>54451.43</v>
      </c>
      <c r="Q44" s="2"/>
      <c r="R44" s="19">
        <f t="shared" si="12"/>
        <v>3.4389325035549229E-2</v>
      </c>
      <c r="S44" s="2"/>
      <c r="T44" s="2"/>
      <c r="U44" s="2"/>
      <c r="V44" s="19">
        <f t="shared" si="13"/>
        <v>0</v>
      </c>
      <c r="W44" s="2"/>
      <c r="X44" s="2">
        <f t="shared" si="14"/>
        <v>54451.43</v>
      </c>
      <c r="Y44" s="2"/>
      <c r="Z44" s="19">
        <f t="shared" si="15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2728</v>
      </c>
      <c r="Q45" s="2"/>
      <c r="R45" s="19">
        <f t="shared" si="12"/>
        <v>1.7228946732340785E-3</v>
      </c>
      <c r="S45" s="2"/>
      <c r="T45" s="2"/>
      <c r="U45" s="2"/>
      <c r="V45" s="19">
        <f t="shared" si="13"/>
        <v>0</v>
      </c>
      <c r="W45" s="2"/>
      <c r="X45" s="2">
        <f t="shared" si="14"/>
        <v>2728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780.26</v>
      </c>
      <c r="E46" s="2"/>
      <c r="F46" s="19">
        <f t="shared" si="8"/>
        <v>9.2342144296168969E-3</v>
      </c>
      <c r="G46" s="2"/>
      <c r="H46" s="2"/>
      <c r="I46" s="2"/>
      <c r="J46" s="19">
        <f t="shared" si="9"/>
        <v>0</v>
      </c>
      <c r="K46" s="2"/>
      <c r="L46" s="2">
        <f t="shared" si="10"/>
        <v>780.26</v>
      </c>
      <c r="M46" s="2"/>
      <c r="N46" s="19">
        <f t="shared" si="11"/>
        <v>0</v>
      </c>
      <c r="O46" s="11"/>
      <c r="P46" s="2">
        <v>7860.66</v>
      </c>
      <c r="Q46" s="2"/>
      <c r="R46" s="19">
        <f t="shared" si="12"/>
        <v>4.9644755286305685E-3</v>
      </c>
      <c r="S46" s="2"/>
      <c r="T46" s="2"/>
      <c r="U46" s="2"/>
      <c r="V46" s="19">
        <f t="shared" si="13"/>
        <v>0</v>
      </c>
      <c r="W46" s="2"/>
      <c r="X46" s="2">
        <f t="shared" si="14"/>
        <v>7860.66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1409.73</v>
      </c>
      <c r="E47" s="2"/>
      <c r="F47" s="19">
        <f t="shared" si="8"/>
        <v>1.6683860646276662E-2</v>
      </c>
      <c r="G47" s="2"/>
      <c r="H47" s="2"/>
      <c r="I47" s="2"/>
      <c r="J47" s="19">
        <f t="shared" si="9"/>
        <v>0</v>
      </c>
      <c r="K47" s="2"/>
      <c r="L47" s="2">
        <f t="shared" si="10"/>
        <v>1409.73</v>
      </c>
      <c r="M47" s="2"/>
      <c r="N47" s="19">
        <f t="shared" si="11"/>
        <v>0</v>
      </c>
      <c r="O47" s="11"/>
      <c r="P47" s="2">
        <v>20604.38</v>
      </c>
      <c r="Q47" s="2"/>
      <c r="R47" s="19">
        <f t="shared" si="12"/>
        <v>1.3012894628772281E-2</v>
      </c>
      <c r="S47" s="2"/>
      <c r="T47" s="2"/>
      <c r="U47" s="2"/>
      <c r="V47" s="19">
        <f t="shared" si="13"/>
        <v>0</v>
      </c>
      <c r="W47" s="2"/>
      <c r="X47" s="2">
        <f t="shared" si="14"/>
        <v>20604.38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88.75</v>
      </c>
      <c r="Q48" s="2"/>
      <c r="R48" s="19">
        <f t="shared" si="12"/>
        <v>5.6050917246893132E-5</v>
      </c>
      <c r="S48" s="2"/>
      <c r="T48" s="2"/>
      <c r="U48" s="2"/>
      <c r="V48" s="19">
        <f t="shared" si="13"/>
        <v>0</v>
      </c>
      <c r="W48" s="2"/>
      <c r="X48" s="2">
        <f t="shared" si="14"/>
        <v>88.75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-60143.000000000007</v>
      </c>
      <c r="E49" s="2"/>
      <c r="F49" s="19">
        <f t="shared" si="8"/>
        <v>-0.71177986625028722</v>
      </c>
      <c r="G49" s="2"/>
      <c r="H49" s="2"/>
      <c r="I49" s="2"/>
      <c r="J49" s="19">
        <f t="shared" si="9"/>
        <v>0</v>
      </c>
      <c r="K49" s="2"/>
      <c r="L49" s="2">
        <f t="shared" si="10"/>
        <v>-60143.000000000007</v>
      </c>
      <c r="M49" s="2"/>
      <c r="N49" s="19">
        <f t="shared" si="11"/>
        <v>0</v>
      </c>
      <c r="O49" s="11"/>
      <c r="P49" s="2">
        <v>-1281641</v>
      </c>
      <c r="Q49" s="2"/>
      <c r="R49" s="19">
        <f t="shared" si="12"/>
        <v>-0.80943271697155339</v>
      </c>
      <c r="S49" s="2"/>
      <c r="T49" s="2"/>
      <c r="U49" s="2"/>
      <c r="V49" s="19">
        <f t="shared" si="13"/>
        <v>0</v>
      </c>
      <c r="W49" s="2"/>
      <c r="X49" s="2">
        <f t="shared" si="14"/>
        <v>-1281641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70546</v>
      </c>
      <c r="E50" s="2"/>
      <c r="F50" s="19">
        <f t="shared" si="8"/>
        <v>0.83489720240913745</v>
      </c>
      <c r="G50" s="2"/>
      <c r="H50" s="2"/>
      <c r="I50" s="2"/>
      <c r="J50" s="19">
        <f t="shared" si="9"/>
        <v>0</v>
      </c>
      <c r="K50" s="2"/>
      <c r="L50" s="2">
        <f t="shared" si="10"/>
        <v>70546</v>
      </c>
      <c r="M50" s="2"/>
      <c r="N50" s="19">
        <f t="shared" si="11"/>
        <v>0</v>
      </c>
      <c r="O50" s="11"/>
      <c r="P50" s="2">
        <v>1407045</v>
      </c>
      <c r="Q50" s="2"/>
      <c r="R50" s="19">
        <f t="shared" si="12"/>
        <v>0.88863282093132112</v>
      </c>
      <c r="S50" s="2"/>
      <c r="T50" s="2"/>
      <c r="U50" s="2"/>
      <c r="V50" s="19">
        <f t="shared" si="13"/>
        <v>0</v>
      </c>
      <c r="W50" s="2"/>
      <c r="X50" s="2">
        <f t="shared" si="14"/>
        <v>1407045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1"/>
      <c r="P51" s="2">
        <v>105.75</v>
      </c>
      <c r="Q51" s="2"/>
      <c r="R51" s="19">
        <f t="shared" si="12"/>
        <v>6.6787430973058574E-5</v>
      </c>
      <c r="S51" s="2"/>
      <c r="T51" s="2"/>
      <c r="U51" s="2"/>
      <c r="V51" s="19">
        <f t="shared" si="13"/>
        <v>0</v>
      </c>
      <c r="W51" s="2"/>
      <c r="X51" s="2">
        <f t="shared" si="14"/>
        <v>105.75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1"/>
      <c r="P52" s="2">
        <v>4.84</v>
      </c>
      <c r="Q52" s="2"/>
      <c r="R52" s="19">
        <f t="shared" si="12"/>
        <v>3.0567486138023972E-6</v>
      </c>
      <c r="S52" s="2"/>
      <c r="T52" s="2"/>
      <c r="U52" s="2"/>
      <c r="V52" s="19">
        <f t="shared" si="13"/>
        <v>0</v>
      </c>
      <c r="W52" s="2"/>
      <c r="X52" s="2">
        <f t="shared" si="14"/>
        <v>4.84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8.1199999999999992</v>
      </c>
      <c r="E53" s="2"/>
      <c r="F53" s="19">
        <f t="shared" si="8"/>
        <v>9.6098507123893565E-5</v>
      </c>
      <c r="G53" s="2"/>
      <c r="H53" s="2"/>
      <c r="I53" s="2"/>
      <c r="J53" s="19">
        <f t="shared" si="9"/>
        <v>0</v>
      </c>
      <c r="K53" s="2"/>
      <c r="L53" s="2">
        <f t="shared" si="10"/>
        <v>8.1199999999999992</v>
      </c>
      <c r="M53" s="2"/>
      <c r="N53" s="19">
        <f t="shared" si="11"/>
        <v>0</v>
      </c>
      <c r="O53" s="11"/>
      <c r="P53" s="2">
        <v>49.12</v>
      </c>
      <c r="Q53" s="2"/>
      <c r="R53" s="19">
        <f t="shared" si="12"/>
        <v>3.1022209072308621E-5</v>
      </c>
      <c r="S53" s="2"/>
      <c r="T53" s="2"/>
      <c r="U53" s="2"/>
      <c r="V53" s="19">
        <f t="shared" si="13"/>
        <v>0</v>
      </c>
      <c r="W53" s="2"/>
      <c r="X53" s="2">
        <f t="shared" si="14"/>
        <v>49.12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1"/>
      <c r="P54" s="2">
        <v>162.51</v>
      </c>
      <c r="Q54" s="2"/>
      <c r="R54" s="19">
        <f t="shared" si="12"/>
        <v>1.0263475562583214E-4</v>
      </c>
      <c r="S54" s="2"/>
      <c r="T54" s="2"/>
      <c r="U54" s="2"/>
      <c r="V54" s="19">
        <f t="shared" si="13"/>
        <v>0</v>
      </c>
      <c r="W54" s="2"/>
      <c r="X54" s="2">
        <f t="shared" si="14"/>
        <v>162.51</v>
      </c>
      <c r="Y54" s="2"/>
      <c r="Z54" s="19">
        <f t="shared" si="15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13950.840000000011</v>
      </c>
      <c r="E56" s="14"/>
      <c r="F56" s="20">
        <f>IF(D$12=0,0,D56/D$12)</f>
        <v>0.16510528289708135</v>
      </c>
      <c r="G56" s="14"/>
      <c r="H56" s="22">
        <f>H12-H40</f>
        <v>30684</v>
      </c>
      <c r="I56" s="14"/>
      <c r="J56" s="20">
        <f>IF(H$12=0,0,H56/H$12)</f>
        <v>0.21903218668132401</v>
      </c>
      <c r="K56" s="16"/>
      <c r="L56" s="22">
        <f>+D56-H56</f>
        <v>-16733.159999999989</v>
      </c>
      <c r="M56" s="16"/>
      <c r="N56" s="20">
        <f>IF(H56=0,0,L56/H56)</f>
        <v>-0.54533828705514242</v>
      </c>
      <c r="O56" s="28"/>
      <c r="P56" s="22">
        <f>P12-P40</f>
        <v>176334.91000000015</v>
      </c>
      <c r="Q56" s="14"/>
      <c r="R56" s="20">
        <f>IF(P$12=0,0,P56/P$12)</f>
        <v>0.11136601068336176</v>
      </c>
      <c r="S56" s="14"/>
      <c r="T56" s="22">
        <f>T12-T40</f>
        <v>311465</v>
      </c>
      <c r="U56" s="14"/>
      <c r="V56" s="20">
        <f>IF(T$12=0,0,T56/T$12)</f>
        <v>0.21903659482537341</v>
      </c>
      <c r="W56" s="16"/>
      <c r="X56" s="22">
        <f>+P56-T56</f>
        <v>-135130.08999999985</v>
      </c>
      <c r="Y56" s="16"/>
      <c r="Z56" s="20">
        <f>IF(T56=0,0,X56/T56)</f>
        <v>-0.43385320983095965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13308.350000000002</v>
      </c>
      <c r="E58" s="21"/>
      <c r="F58" s="30">
        <f t="shared" ref="F58:F69" si="16">IF(D$12=0,0,D58/D$12)</f>
        <v>0.15750154769486074</v>
      </c>
      <c r="G58" s="21"/>
      <c r="H58" s="21">
        <f>SUM(OSRRefH22x_0)</f>
        <v>14124.186112316922</v>
      </c>
      <c r="I58" s="21"/>
      <c r="J58" s="30">
        <f t="shared" ref="J58:J69" si="17">IF(H$12=0,0,H58/H$12)</f>
        <v>0.10082294907035472</v>
      </c>
      <c r="K58" s="4"/>
      <c r="L58" s="21">
        <f t="shared" ref="L58:L69" si="18">+D58-H58</f>
        <v>-815.83611231691975</v>
      </c>
      <c r="M58" s="4"/>
      <c r="N58" s="30">
        <f t="shared" ref="N58:N69" si="19">IF(H58=0,0,L58/H58)</f>
        <v>-5.7761637083320092E-2</v>
      </c>
      <c r="O58" s="10"/>
      <c r="P58" s="21">
        <f>SUM(OSRRefP22x_0)</f>
        <v>128433.93999999997</v>
      </c>
      <c r="Q58" s="21"/>
      <c r="R58" s="30">
        <f t="shared" ref="R58:R69" si="20">IF(P$12=0,0,P58/P$12)</f>
        <v>8.1113691747971103E-2</v>
      </c>
      <c r="S58" s="21"/>
      <c r="T58" s="21">
        <f>SUM(OSRRefT22x_0)</f>
        <v>97899.77250716</v>
      </c>
      <c r="U58" s="21"/>
      <c r="V58" s="30">
        <f t="shared" ref="V58:V69" si="21">IF(T$12=0,0,T58/T$12)</f>
        <v>6.8847648384720711E-2</v>
      </c>
      <c r="W58" s="4"/>
      <c r="X58" s="21">
        <f t="shared" ref="X58:X69" si="22">+P58-T58</f>
        <v>30534.167492839973</v>
      </c>
      <c r="Y58" s="4"/>
      <c r="Z58" s="30">
        <f t="shared" ref="Z58:Z69" si="23">IF(T58=0,0,X58/T58)</f>
        <v>0.31189211895877311</v>
      </c>
    </row>
    <row r="59" spans="1:26" s="25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2991.2100000000005</v>
      </c>
      <c r="E59" s="1"/>
      <c r="F59" s="5">
        <f t="shared" si="16"/>
        <v>3.5400346735721892E-2</v>
      </c>
      <c r="G59" s="1"/>
      <c r="H59" s="1">
        <f>SUM(OSRRefH22_0x_0)</f>
        <v>2357.5247215476916</v>
      </c>
      <c r="I59" s="1"/>
      <c r="J59" s="5">
        <f t="shared" si="17"/>
        <v>1.6828764011076469E-2</v>
      </c>
      <c r="K59" s="1"/>
      <c r="L59" s="1">
        <f t="shared" si="18"/>
        <v>633.68527845230892</v>
      </c>
      <c r="M59" s="1"/>
      <c r="N59" s="5">
        <f t="shared" si="19"/>
        <v>0.26879263350260896</v>
      </c>
      <c r="O59" s="13"/>
      <c r="P59" s="1">
        <f>SUM(OSRRefP22_0x_0)</f>
        <v>18221.209999999995</v>
      </c>
      <c r="Q59" s="1"/>
      <c r="R59" s="5">
        <f t="shared" si="20"/>
        <v>1.1507780663079E-2</v>
      </c>
      <c r="S59" s="1"/>
      <c r="T59" s="1">
        <f>SUM(OSRRefT22_0x_0)</f>
        <v>15685.803467159998</v>
      </c>
      <c r="U59" s="1"/>
      <c r="V59" s="5">
        <f t="shared" si="21"/>
        <v>1.1030982545540469E-2</v>
      </c>
      <c r="W59" s="1"/>
      <c r="X59" s="1">
        <f t="shared" si="22"/>
        <v>2535.4065328399975</v>
      </c>
      <c r="Y59" s="1"/>
      <c r="Z59" s="5">
        <f t="shared" si="23"/>
        <v>0.1616370202615478</v>
      </c>
    </row>
    <row r="60" spans="1:26" s="24" customFormat="1" hidden="1" outlineLevel="2" x14ac:dyDescent="0.25">
      <c r="A60" s="26"/>
      <c r="B60" s="11" t="str">
        <f>CONCATENATE("          ", "6111", " - ", "F.I.C.A.")</f>
        <v xml:space="preserve">          6111 - F.I.C.A.</v>
      </c>
      <c r="C60" s="11"/>
      <c r="D60" s="6">
        <v>526</v>
      </c>
      <c r="E60" s="2"/>
      <c r="F60" s="7">
        <f t="shared" si="16"/>
        <v>6.2251003383211852E-3</v>
      </c>
      <c r="G60" s="2"/>
      <c r="H60" s="6">
        <v>368.84942751692296</v>
      </c>
      <c r="I60" s="2"/>
      <c r="J60" s="7">
        <f t="shared" si="17"/>
        <v>2.6329649545426335E-3</v>
      </c>
      <c r="K60" s="2"/>
      <c r="L60" s="6">
        <f t="shared" si="18"/>
        <v>157.15057248307704</v>
      </c>
      <c r="M60" s="2"/>
      <c r="N60" s="7">
        <f t="shared" si="19"/>
        <v>0.42605616481773423</v>
      </c>
      <c r="O60" s="11"/>
      <c r="P60" s="6">
        <v>4227.74</v>
      </c>
      <c r="Q60" s="2"/>
      <c r="R60" s="7">
        <f t="shared" si="20"/>
        <v>2.670069914156394E-3</v>
      </c>
      <c r="S60" s="2"/>
      <c r="T60" s="6">
        <v>3112.43928396</v>
      </c>
      <c r="U60" s="2"/>
      <c r="V60" s="7">
        <f t="shared" si="21"/>
        <v>2.1888112704776517E-3</v>
      </c>
      <c r="W60" s="2"/>
      <c r="X60" s="6">
        <f t="shared" si="22"/>
        <v>1115.3007160399998</v>
      </c>
      <c r="Y60" s="2"/>
      <c r="Z60" s="7">
        <f t="shared" si="23"/>
        <v>0.35833653745077626</v>
      </c>
    </row>
    <row r="61" spans="1:26" s="24" customFormat="1" hidden="1" outlineLevel="2" x14ac:dyDescent="0.25">
      <c r="A61" s="26"/>
      <c r="B61" s="11" t="str">
        <f>CONCATENATE("          ", "6112", " - ", "COMPENSATION INSURANCE")</f>
        <v xml:space="preserve">          6112 - COMPENSATION INSURANCE</v>
      </c>
      <c r="C61" s="11"/>
      <c r="D61" s="6">
        <v>254.69</v>
      </c>
      <c r="E61" s="2"/>
      <c r="F61" s="7">
        <f t="shared" si="16"/>
        <v>3.0142030516483319E-3</v>
      </c>
      <c r="G61" s="2"/>
      <c r="H61" s="6">
        <v>157.60825046153801</v>
      </c>
      <c r="I61" s="2"/>
      <c r="J61" s="7">
        <f t="shared" si="17"/>
        <v>1.125058002138198E-3</v>
      </c>
      <c r="K61" s="2"/>
      <c r="L61" s="6">
        <f t="shared" si="18"/>
        <v>97.081749538461992</v>
      </c>
      <c r="M61" s="2"/>
      <c r="N61" s="7">
        <f t="shared" si="19"/>
        <v>0.6159687024896795</v>
      </c>
      <c r="O61" s="11"/>
      <c r="P61" s="6">
        <v>960.61</v>
      </c>
      <c r="Q61" s="2"/>
      <c r="R61" s="7">
        <f t="shared" si="20"/>
        <v>6.0668249708775224E-4</v>
      </c>
      <c r="S61" s="2"/>
      <c r="T61" s="6">
        <v>1168.9138579999978</v>
      </c>
      <c r="U61" s="2"/>
      <c r="V61" s="7">
        <f t="shared" si="21"/>
        <v>8.2203429310037917E-4</v>
      </c>
      <c r="W61" s="2"/>
      <c r="X61" s="6">
        <f t="shared" si="22"/>
        <v>-208.30385799999783</v>
      </c>
      <c r="Y61" s="2"/>
      <c r="Z61" s="7">
        <f t="shared" si="23"/>
        <v>-0.17820291595858401</v>
      </c>
    </row>
    <row r="62" spans="1:26" s="24" customFormat="1" hidden="1" outlineLevel="2" x14ac:dyDescent="0.25">
      <c r="A62" s="26"/>
      <c r="B62" s="11" t="str">
        <f>CONCATENATE("          ", "6113", " - ", "GROUP INSURANCE")</f>
        <v xml:space="preserve">          6113 - GROUP INSURANCE</v>
      </c>
      <c r="C62" s="11"/>
      <c r="D62" s="6">
        <v>1287.6500000000001</v>
      </c>
      <c r="E62" s="2"/>
      <c r="F62" s="7">
        <f t="shared" si="16"/>
        <v>1.5239069297793296E-2</v>
      </c>
      <c r="G62" s="2"/>
      <c r="H62" s="6">
        <v>1186.2</v>
      </c>
      <c r="I62" s="2"/>
      <c r="J62" s="7">
        <f t="shared" si="17"/>
        <v>8.4674742485134451E-3</v>
      </c>
      <c r="K62" s="2"/>
      <c r="L62" s="6">
        <f t="shared" si="18"/>
        <v>101.45000000000005</v>
      </c>
      <c r="M62" s="2"/>
      <c r="N62" s="7">
        <f t="shared" si="19"/>
        <v>8.5525206541898532E-2</v>
      </c>
      <c r="O62" s="11"/>
      <c r="P62" s="6">
        <v>6434.82</v>
      </c>
      <c r="Q62" s="2"/>
      <c r="R62" s="7">
        <f t="shared" si="20"/>
        <v>4.0639725444355252E-3</v>
      </c>
      <c r="S62" s="2"/>
      <c r="T62" s="6">
        <v>7117.2</v>
      </c>
      <c r="U62" s="2"/>
      <c r="V62" s="7">
        <f t="shared" si="21"/>
        <v>5.0051442463556022E-3</v>
      </c>
      <c r="W62" s="2"/>
      <c r="X62" s="6">
        <f t="shared" si="22"/>
        <v>-682.38000000000011</v>
      </c>
      <c r="Y62" s="2"/>
      <c r="Z62" s="7">
        <f t="shared" si="23"/>
        <v>-9.5877592311583229E-2</v>
      </c>
    </row>
    <row r="63" spans="1:26" s="24" customFormat="1" hidden="1" outlineLevel="2" x14ac:dyDescent="0.25">
      <c r="A63" s="26"/>
      <c r="B63" s="11" t="str">
        <f>CONCATENATE("          ", "6114", " - ", "STATE UNEMPLOYMENT INSURANCE")</f>
        <v xml:space="preserve">          6114 - STATE UNEMPLOYMENT INSURANCE</v>
      </c>
      <c r="C63" s="11"/>
      <c r="D63" s="6">
        <v>34.85</v>
      </c>
      <c r="E63" s="2"/>
      <c r="F63" s="7">
        <f t="shared" si="16"/>
        <v>4.1244248439257283E-4</v>
      </c>
      <c r="G63" s="2"/>
      <c r="H63" s="6">
        <v>21.567444800000001</v>
      </c>
      <c r="I63" s="2"/>
      <c r="J63" s="7">
        <f t="shared" si="17"/>
        <v>1.5395530555575385E-4</v>
      </c>
      <c r="K63" s="2"/>
      <c r="L63" s="6">
        <f t="shared" si="18"/>
        <v>13.282555200000001</v>
      </c>
      <c r="M63" s="2"/>
      <c r="N63" s="7">
        <f t="shared" si="19"/>
        <v>0.61586132818107409</v>
      </c>
      <c r="O63" s="11"/>
      <c r="P63" s="6">
        <v>159.9</v>
      </c>
      <c r="Q63" s="2"/>
      <c r="R63" s="7">
        <f t="shared" si="20"/>
        <v>1.0098638498905028E-4</v>
      </c>
      <c r="S63" s="2"/>
      <c r="T63" s="6">
        <v>159.9566332</v>
      </c>
      <c r="U63" s="2"/>
      <c r="V63" s="7">
        <f t="shared" si="21"/>
        <v>1.1248890326636788E-4</v>
      </c>
      <c r="W63" s="2"/>
      <c r="X63" s="6">
        <f t="shared" si="22"/>
        <v>-5.6633199999993167E-2</v>
      </c>
      <c r="Y63" s="2"/>
      <c r="Z63" s="7">
        <f t="shared" si="23"/>
        <v>-3.5405346353584773E-4</v>
      </c>
    </row>
    <row r="64" spans="1:26" s="24" customFormat="1" hidden="1" outlineLevel="2" x14ac:dyDescent="0.25">
      <c r="A64" s="26"/>
      <c r="B64" s="11" t="str">
        <f>CONCATENATE("          ", "6115", " - ", "P.E.R.S.")</f>
        <v xml:space="preserve">          6115 - P.E.R.S.</v>
      </c>
      <c r="C64" s="11"/>
      <c r="D64" s="6">
        <v>263.31</v>
      </c>
      <c r="E64" s="2"/>
      <c r="F64" s="7">
        <f t="shared" si="16"/>
        <v>3.1162189545310857E-3</v>
      </c>
      <c r="G64" s="2"/>
      <c r="H64" s="6">
        <v>294.022912615385</v>
      </c>
      <c r="I64" s="2"/>
      <c r="J64" s="7">
        <f t="shared" si="17"/>
        <v>2.0988294057019824E-3</v>
      </c>
      <c r="K64" s="2"/>
      <c r="L64" s="6">
        <f t="shared" si="18"/>
        <v>-30.712912615384994</v>
      </c>
      <c r="M64" s="2"/>
      <c r="N64" s="7">
        <f t="shared" si="19"/>
        <v>-0.10445754836651433</v>
      </c>
      <c r="O64" s="11"/>
      <c r="P64" s="6">
        <v>1285.92</v>
      </c>
      <c r="Q64" s="2"/>
      <c r="R64" s="7">
        <f t="shared" si="20"/>
        <v>8.1213516063239233E-4</v>
      </c>
      <c r="S64" s="2"/>
      <c r="T64" s="6">
        <v>1911.1489320000021</v>
      </c>
      <c r="U64" s="2"/>
      <c r="V64" s="7">
        <f t="shared" si="21"/>
        <v>1.3440083292486462E-3</v>
      </c>
      <c r="W64" s="2"/>
      <c r="X64" s="6">
        <f t="shared" si="22"/>
        <v>-625.22893200000203</v>
      </c>
      <c r="Y64" s="2"/>
      <c r="Z64" s="7">
        <f t="shared" si="23"/>
        <v>-0.32714819945806367</v>
      </c>
    </row>
    <row r="65" spans="1:26" s="24" customFormat="1" hidden="1" outlineLevel="2" x14ac:dyDescent="0.25">
      <c r="A65" s="26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6"/>
        <v>0</v>
      </c>
      <c r="G65" s="2"/>
      <c r="H65" s="6">
        <v>0</v>
      </c>
      <c r="I65" s="2"/>
      <c r="J65" s="7">
        <f t="shared" si="17"/>
        <v>0</v>
      </c>
      <c r="K65" s="2"/>
      <c r="L65" s="6">
        <f t="shared" si="18"/>
        <v>0</v>
      </c>
      <c r="M65" s="2"/>
      <c r="N65" s="7">
        <f t="shared" si="19"/>
        <v>0</v>
      </c>
      <c r="O65" s="11"/>
      <c r="P65" s="6"/>
      <c r="Q65" s="2"/>
      <c r="R65" s="7">
        <f t="shared" si="20"/>
        <v>0</v>
      </c>
      <c r="S65" s="2"/>
      <c r="T65" s="6">
        <v>0</v>
      </c>
      <c r="U65" s="2"/>
      <c r="V65" s="7">
        <f t="shared" si="21"/>
        <v>0</v>
      </c>
      <c r="W65" s="2"/>
      <c r="X65" s="6">
        <f t="shared" si="22"/>
        <v>0</v>
      </c>
      <c r="Y65" s="2"/>
      <c r="Z65" s="7">
        <f t="shared" si="23"/>
        <v>0</v>
      </c>
    </row>
    <row r="66" spans="1:26" s="24" customFormat="1" hidden="1" outlineLevel="2" x14ac:dyDescent="0.25">
      <c r="A66" s="26"/>
      <c r="B66" s="11" t="str">
        <f>CONCATENATE("          ", "6117", " - ", "RETIREMENT STAFF HOURLY")</f>
        <v xml:space="preserve">          6117 - RETIREMENT STAFF HOURLY</v>
      </c>
      <c r="C66" s="11"/>
      <c r="D66" s="6">
        <v>159.55000000000001</v>
      </c>
      <c r="E66" s="2"/>
      <c r="F66" s="7">
        <f t="shared" si="16"/>
        <v>1.888240986652367E-3</v>
      </c>
      <c r="G66" s="2"/>
      <c r="H66" s="6"/>
      <c r="I66" s="2"/>
      <c r="J66" s="7">
        <f t="shared" si="17"/>
        <v>0</v>
      </c>
      <c r="K66" s="2"/>
      <c r="L66" s="6">
        <f t="shared" si="18"/>
        <v>159.55000000000001</v>
      </c>
      <c r="M66" s="2"/>
      <c r="N66" s="7">
        <f t="shared" si="19"/>
        <v>0</v>
      </c>
      <c r="O66" s="11"/>
      <c r="P66" s="6">
        <v>1032.23</v>
      </c>
      <c r="Q66" s="2"/>
      <c r="R66" s="7">
        <f t="shared" si="20"/>
        <v>6.5191479785645632E-4</v>
      </c>
      <c r="S66" s="2"/>
      <c r="T66" s="6"/>
      <c r="U66" s="2"/>
      <c r="V66" s="7">
        <f t="shared" si="21"/>
        <v>0</v>
      </c>
      <c r="W66" s="2"/>
      <c r="X66" s="6">
        <f t="shared" si="22"/>
        <v>1032.23</v>
      </c>
      <c r="Y66" s="2"/>
      <c r="Z66" s="7">
        <f t="shared" si="23"/>
        <v>0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6">
        <v>125.52</v>
      </c>
      <c r="E67" s="2"/>
      <c r="F67" s="7">
        <f t="shared" si="16"/>
        <v>1.4855030313043252E-3</v>
      </c>
      <c r="G67" s="2"/>
      <c r="H67" s="6">
        <v>170.943553846154</v>
      </c>
      <c r="I67" s="2"/>
      <c r="J67" s="7">
        <f t="shared" si="17"/>
        <v>1.2202496544778962E-3</v>
      </c>
      <c r="K67" s="2"/>
      <c r="L67" s="6">
        <f t="shared" si="18"/>
        <v>-45.423553846154007</v>
      </c>
      <c r="M67" s="2"/>
      <c r="N67" s="7">
        <f t="shared" si="19"/>
        <v>-0.26572253135110524</v>
      </c>
      <c r="O67" s="11"/>
      <c r="P67" s="6">
        <v>1531.09</v>
      </c>
      <c r="Q67" s="2"/>
      <c r="R67" s="7">
        <f t="shared" si="20"/>
        <v>9.6697463535262641E-4</v>
      </c>
      <c r="S67" s="2"/>
      <c r="T67" s="6">
        <v>1111.1331</v>
      </c>
      <c r="U67" s="2"/>
      <c r="V67" s="7">
        <f t="shared" si="21"/>
        <v>7.8140019142363066E-4</v>
      </c>
      <c r="W67" s="2"/>
      <c r="X67" s="6">
        <f t="shared" si="22"/>
        <v>419.95689999999991</v>
      </c>
      <c r="Y67" s="2"/>
      <c r="Z67" s="7">
        <f t="shared" si="23"/>
        <v>0.37795373029567736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6">
        <v>173.86</v>
      </c>
      <c r="E68" s="2"/>
      <c r="F68" s="7">
        <f t="shared" si="16"/>
        <v>2.0575968532709531E-3</v>
      </c>
      <c r="G68" s="2"/>
      <c r="H68" s="6">
        <v>158.33313230769201</v>
      </c>
      <c r="I68" s="2"/>
      <c r="J68" s="7">
        <f t="shared" si="17"/>
        <v>1.1302324401465641E-3</v>
      </c>
      <c r="K68" s="2"/>
      <c r="L68" s="6">
        <f t="shared" si="18"/>
        <v>15.526867692308002</v>
      </c>
      <c r="M68" s="2"/>
      <c r="N68" s="7">
        <f t="shared" si="19"/>
        <v>9.8064552036615571E-2</v>
      </c>
      <c r="O68" s="11"/>
      <c r="P68" s="6">
        <v>1628.12</v>
      </c>
      <c r="Q68" s="2"/>
      <c r="R68" s="7">
        <f t="shared" si="20"/>
        <v>1.0282548663437931E-3</v>
      </c>
      <c r="S68" s="2"/>
      <c r="T68" s="6">
        <v>1105.0116599999978</v>
      </c>
      <c r="U68" s="2"/>
      <c r="V68" s="7">
        <f t="shared" si="21"/>
        <v>7.7709531166819006E-4</v>
      </c>
      <c r="W68" s="2"/>
      <c r="X68" s="6">
        <f t="shared" si="22"/>
        <v>523.10834000000204</v>
      </c>
      <c r="Y68" s="2"/>
      <c r="Z68" s="7">
        <f t="shared" si="23"/>
        <v>0.47339621737566379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6">
        <v>165.78</v>
      </c>
      <c r="E69" s="2"/>
      <c r="F69" s="7">
        <f t="shared" si="16"/>
        <v>1.9619717378077683E-3</v>
      </c>
      <c r="G69" s="2"/>
      <c r="H69" s="6"/>
      <c r="I69" s="2"/>
      <c r="J69" s="7">
        <f t="shared" si="17"/>
        <v>0</v>
      </c>
      <c r="K69" s="2"/>
      <c r="L69" s="6">
        <f t="shared" si="18"/>
        <v>165.78</v>
      </c>
      <c r="M69" s="2"/>
      <c r="N69" s="7">
        <f t="shared" si="19"/>
        <v>0</v>
      </c>
      <c r="O69" s="11"/>
      <c r="P69" s="6">
        <v>960.78</v>
      </c>
      <c r="Q69" s="2"/>
      <c r="R69" s="7">
        <f t="shared" si="20"/>
        <v>6.0678986222501387E-4</v>
      </c>
      <c r="S69" s="2"/>
      <c r="T69" s="6"/>
      <c r="U69" s="2"/>
      <c r="V69" s="7">
        <f t="shared" si="21"/>
        <v>0</v>
      </c>
      <c r="W69" s="2"/>
      <c r="X69" s="6">
        <f t="shared" si="22"/>
        <v>960.78</v>
      </c>
      <c r="Y69" s="2"/>
      <c r="Z69" s="7">
        <f t="shared" si="23"/>
        <v>0</v>
      </c>
    </row>
    <row r="70" spans="1:26" s="25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8569.36</v>
      </c>
      <c r="E70" s="1"/>
      <c r="F70" s="5">
        <f t="shared" ref="F70:F80" si="24">IF(D$12=0,0,D70/D$12)</f>
        <v>0.10141658904029664</v>
      </c>
      <c r="G70" s="1"/>
      <c r="H70" s="1">
        <f>SUM(OSRRefH22_1x_0)</f>
        <v>8021.6613907692299</v>
      </c>
      <c r="I70" s="1"/>
      <c r="J70" s="5">
        <f t="shared" ref="J70:J80" si="25">IF(H$12=0,0,H70/H$12)</f>
        <v>5.7261179612740687E-2</v>
      </c>
      <c r="K70" s="1"/>
      <c r="L70" s="1">
        <f t="shared" ref="L70:L80" si="26">+D70-H70</f>
        <v>547.69860923077067</v>
      </c>
      <c r="M70" s="1"/>
      <c r="N70" s="5">
        <f t="shared" ref="N70:N80" si="27">IF(H70=0,0,L70/H70)</f>
        <v>6.8277453079860009E-2</v>
      </c>
      <c r="O70" s="13"/>
      <c r="P70" s="1">
        <f>SUM(OSRRefP22_1x_0)</f>
        <v>57288.5</v>
      </c>
      <c r="Q70" s="1"/>
      <c r="R70" s="5">
        <f t="shared" ref="R70:R80" si="28">IF(P$12=0,0,P70/P$12)</f>
        <v>3.6181103917731119E-2</v>
      </c>
      <c r="S70" s="1"/>
      <c r="T70" s="1">
        <f>SUM(OSRRefT22_1x_0)</f>
        <v>59743.969039999996</v>
      </c>
      <c r="U70" s="1"/>
      <c r="V70" s="5">
        <f t="shared" ref="V70:V80" si="29">IF(T$12=0,0,T70/T$12)</f>
        <v>4.2014722488479067E-2</v>
      </c>
      <c r="W70" s="1"/>
      <c r="X70" s="1">
        <f t="shared" ref="X70:X80" si="30">+P70-T70</f>
        <v>-2455.4690399999963</v>
      </c>
      <c r="Y70" s="1"/>
      <c r="Z70" s="5">
        <f t="shared" ref="Z70:Z80" si="31">IF(T70=0,0,X70/T70)</f>
        <v>-4.1099864629951216E-2</v>
      </c>
    </row>
    <row r="71" spans="1:26" s="24" customFormat="1" hidden="1" outlineLevel="2" x14ac:dyDescent="0.25">
      <c r="A71" s="26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4"/>
        <v>0</v>
      </c>
      <c r="G71" s="2"/>
      <c r="H71" s="6">
        <v>3145.3613907692297</v>
      </c>
      <c r="I71" s="2"/>
      <c r="J71" s="7">
        <f t="shared" si="25"/>
        <v>2.2452593642393263E-2</v>
      </c>
      <c r="K71" s="2"/>
      <c r="L71" s="6">
        <f t="shared" si="26"/>
        <v>-3145.3613907692297</v>
      </c>
      <c r="M71" s="2"/>
      <c r="N71" s="7">
        <f t="shared" si="27"/>
        <v>-1</v>
      </c>
      <c r="O71" s="11"/>
      <c r="P71" s="6"/>
      <c r="Q71" s="2"/>
      <c r="R71" s="7">
        <f t="shared" si="28"/>
        <v>0</v>
      </c>
      <c r="S71" s="2"/>
      <c r="T71" s="6">
        <v>20444.849039999997</v>
      </c>
      <c r="U71" s="2"/>
      <c r="V71" s="7">
        <f t="shared" si="29"/>
        <v>1.4377763522194801E-2</v>
      </c>
      <c r="W71" s="2"/>
      <c r="X71" s="6">
        <f t="shared" si="30"/>
        <v>-20444.849039999997</v>
      </c>
      <c r="Y71" s="2"/>
      <c r="Z71" s="7">
        <f t="shared" si="31"/>
        <v>-1</v>
      </c>
    </row>
    <row r="72" spans="1:26" s="24" customFormat="1" hidden="1" outlineLevel="2" x14ac:dyDescent="0.25">
      <c r="A72" s="26"/>
      <c r="B72" s="11" t="str">
        <f>CONCATENATE("          ", "6002", " - ", "STAFF SALARIES")</f>
        <v xml:space="preserve">          6002 - STAFF SALARIES</v>
      </c>
      <c r="C72" s="11"/>
      <c r="D72" s="6">
        <v>3721.56</v>
      </c>
      <c r="E72" s="2"/>
      <c r="F72" s="7">
        <f t="shared" si="24"/>
        <v>4.4043886720689332E-2</v>
      </c>
      <c r="G72" s="2"/>
      <c r="H72" s="6">
        <v>0</v>
      </c>
      <c r="I72" s="2"/>
      <c r="J72" s="7">
        <f t="shared" si="25"/>
        <v>0</v>
      </c>
      <c r="K72" s="2"/>
      <c r="L72" s="6">
        <f t="shared" si="26"/>
        <v>3721.56</v>
      </c>
      <c r="M72" s="2"/>
      <c r="N72" s="7">
        <f t="shared" si="27"/>
        <v>0</v>
      </c>
      <c r="O72" s="11"/>
      <c r="P72" s="6">
        <v>18778.14</v>
      </c>
      <c r="Q72" s="2"/>
      <c r="R72" s="7">
        <f t="shared" si="28"/>
        <v>1.1859515168344492E-2</v>
      </c>
      <c r="S72" s="2"/>
      <c r="T72" s="6">
        <v>0</v>
      </c>
      <c r="U72" s="2"/>
      <c r="V72" s="7">
        <f t="shared" si="29"/>
        <v>0</v>
      </c>
      <c r="W72" s="2"/>
      <c r="X72" s="6">
        <f t="shared" si="30"/>
        <v>18778.14</v>
      </c>
      <c r="Y72" s="2"/>
      <c r="Z72" s="7">
        <f t="shared" si="31"/>
        <v>0</v>
      </c>
    </row>
    <row r="73" spans="1:26" s="24" customFormat="1" hidden="1" outlineLevel="2" x14ac:dyDescent="0.25">
      <c r="A73" s="26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4"/>
        <v>0</v>
      </c>
      <c r="G73" s="2"/>
      <c r="H73" s="6">
        <v>0</v>
      </c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1"/>
      <c r="P73" s="6"/>
      <c r="Q73" s="2"/>
      <c r="R73" s="7">
        <f t="shared" si="28"/>
        <v>0</v>
      </c>
      <c r="S73" s="2"/>
      <c r="T73" s="6">
        <v>0</v>
      </c>
      <c r="U73" s="2"/>
      <c r="V73" s="7">
        <f t="shared" si="29"/>
        <v>0</v>
      </c>
      <c r="W73" s="2"/>
      <c r="X73" s="6">
        <f t="shared" si="30"/>
        <v>0</v>
      </c>
      <c r="Y73" s="2"/>
      <c r="Z73" s="7">
        <f t="shared" si="31"/>
        <v>0</v>
      </c>
    </row>
    <row r="74" spans="1:26" s="24" customFormat="1" hidden="1" outlineLevel="2" x14ac:dyDescent="0.25">
      <c r="A74" s="26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4"/>
        <v>0</v>
      </c>
      <c r="G74" s="2"/>
      <c r="H74" s="6">
        <v>1400.8</v>
      </c>
      <c r="I74" s="2"/>
      <c r="J74" s="7">
        <f t="shared" si="25"/>
        <v>9.9993575512709772E-3</v>
      </c>
      <c r="K74" s="2"/>
      <c r="L74" s="6">
        <f t="shared" si="26"/>
        <v>-1400.8</v>
      </c>
      <c r="M74" s="2"/>
      <c r="N74" s="7">
        <f t="shared" si="27"/>
        <v>-1</v>
      </c>
      <c r="O74" s="11"/>
      <c r="P74" s="6"/>
      <c r="Q74" s="2"/>
      <c r="R74" s="7">
        <f t="shared" si="28"/>
        <v>0</v>
      </c>
      <c r="S74" s="2"/>
      <c r="T74" s="6">
        <v>9068.1200000000008</v>
      </c>
      <c r="U74" s="2"/>
      <c r="V74" s="7">
        <f t="shared" si="29"/>
        <v>6.3771214302341039E-3</v>
      </c>
      <c r="W74" s="2"/>
      <c r="X74" s="6">
        <f t="shared" si="30"/>
        <v>-9068.1200000000008</v>
      </c>
      <c r="Y74" s="2"/>
      <c r="Z74" s="7">
        <f t="shared" si="31"/>
        <v>-1</v>
      </c>
    </row>
    <row r="75" spans="1:26" s="24" customFormat="1" hidden="1" outlineLevel="2" x14ac:dyDescent="0.25">
      <c r="A75" s="26"/>
      <c r="B75" s="11" t="str">
        <f>CONCATENATE("          ", "6005", " - ", "TEMPORARY WAGES-HOURLY")</f>
        <v xml:space="preserve">          6005 - TEMPORARY WAGES-HOURLY</v>
      </c>
      <c r="C75" s="11"/>
      <c r="D75" s="6">
        <v>2457.04</v>
      </c>
      <c r="E75" s="2"/>
      <c r="F75" s="7">
        <f t="shared" si="24"/>
        <v>2.9078556150700919E-2</v>
      </c>
      <c r="G75" s="2"/>
      <c r="H75" s="6">
        <v>0</v>
      </c>
      <c r="I75" s="2"/>
      <c r="J75" s="7">
        <f t="shared" si="25"/>
        <v>0</v>
      </c>
      <c r="K75" s="2"/>
      <c r="L75" s="6">
        <f t="shared" si="26"/>
        <v>2457.04</v>
      </c>
      <c r="M75" s="2"/>
      <c r="N75" s="7">
        <f t="shared" si="27"/>
        <v>0</v>
      </c>
      <c r="O75" s="11"/>
      <c r="P75" s="6">
        <v>19659.289999999997</v>
      </c>
      <c r="Q75" s="2"/>
      <c r="R75" s="7">
        <f t="shared" si="28"/>
        <v>1.2416013937156885E-2</v>
      </c>
      <c r="S75" s="2"/>
      <c r="T75" s="6">
        <v>0</v>
      </c>
      <c r="U75" s="2"/>
      <c r="V75" s="7">
        <f t="shared" si="29"/>
        <v>0</v>
      </c>
      <c r="W75" s="2"/>
      <c r="X75" s="6">
        <f t="shared" si="30"/>
        <v>19659.289999999997</v>
      </c>
      <c r="Y75" s="2"/>
      <c r="Z75" s="7">
        <f t="shared" si="31"/>
        <v>0</v>
      </c>
    </row>
    <row r="76" spans="1:26" s="24" customFormat="1" hidden="1" outlineLevel="2" x14ac:dyDescent="0.25">
      <c r="A76" s="26"/>
      <c r="B76" s="11" t="str">
        <f>CONCATENATE("          ", "6006", " - ", "TEMPORARY PART TIME")</f>
        <v xml:space="preserve">          6006 - TEMPORARY PART TIME</v>
      </c>
      <c r="C76" s="11"/>
      <c r="D76" s="6">
        <v>641</v>
      </c>
      <c r="E76" s="2"/>
      <c r="F76" s="7">
        <f t="shared" si="24"/>
        <v>7.5861013628590861E-3</v>
      </c>
      <c r="G76" s="2"/>
      <c r="H76" s="6">
        <v>0</v>
      </c>
      <c r="I76" s="2"/>
      <c r="J76" s="7">
        <f t="shared" si="25"/>
        <v>0</v>
      </c>
      <c r="K76" s="2"/>
      <c r="L76" s="6">
        <f t="shared" si="26"/>
        <v>641</v>
      </c>
      <c r="M76" s="2"/>
      <c r="N76" s="7">
        <f t="shared" si="27"/>
        <v>0</v>
      </c>
      <c r="O76" s="11"/>
      <c r="P76" s="6">
        <v>8242.16</v>
      </c>
      <c r="Q76" s="2"/>
      <c r="R76" s="7">
        <f t="shared" si="28"/>
        <v>5.2054155278383404E-3</v>
      </c>
      <c r="S76" s="2"/>
      <c r="T76" s="6">
        <v>0</v>
      </c>
      <c r="U76" s="2"/>
      <c r="V76" s="7">
        <f t="shared" si="29"/>
        <v>0</v>
      </c>
      <c r="W76" s="2"/>
      <c r="X76" s="6">
        <f t="shared" si="30"/>
        <v>8242.16</v>
      </c>
      <c r="Y76" s="2"/>
      <c r="Z76" s="7">
        <f t="shared" si="31"/>
        <v>0</v>
      </c>
    </row>
    <row r="77" spans="1:26" s="24" customFormat="1" hidden="1" outlineLevel="2" x14ac:dyDescent="0.25">
      <c r="A77" s="26"/>
      <c r="B77" s="11" t="str">
        <f>CONCATENATE("          ", "6007", " - ", "STUDENT HOURLY")</f>
        <v xml:space="preserve">          6007 - STUDENT HOURLY</v>
      </c>
      <c r="C77" s="11"/>
      <c r="D77" s="6">
        <v>1749.76</v>
      </c>
      <c r="E77" s="2"/>
      <c r="F77" s="7">
        <f t="shared" si="24"/>
        <v>2.0708044806047293E-2</v>
      </c>
      <c r="G77" s="2"/>
      <c r="H77" s="6">
        <v>0</v>
      </c>
      <c r="I77" s="2"/>
      <c r="J77" s="7">
        <f t="shared" si="25"/>
        <v>0</v>
      </c>
      <c r="K77" s="2"/>
      <c r="L77" s="6">
        <f t="shared" si="26"/>
        <v>1749.76</v>
      </c>
      <c r="M77" s="2"/>
      <c r="N77" s="7">
        <f t="shared" si="27"/>
        <v>0</v>
      </c>
      <c r="O77" s="11"/>
      <c r="P77" s="6">
        <v>10608.91</v>
      </c>
      <c r="Q77" s="2"/>
      <c r="R77" s="7">
        <f t="shared" si="28"/>
        <v>6.7001592843914026E-3</v>
      </c>
      <c r="S77" s="2"/>
      <c r="T77" s="6">
        <v>9378.75</v>
      </c>
      <c r="U77" s="2"/>
      <c r="V77" s="7">
        <f t="shared" si="29"/>
        <v>6.5955708144365202E-3</v>
      </c>
      <c r="W77" s="2"/>
      <c r="X77" s="6">
        <f t="shared" si="30"/>
        <v>1230.1599999999999</v>
      </c>
      <c r="Y77" s="2"/>
      <c r="Z77" s="7">
        <f t="shared" si="31"/>
        <v>0.1311646008263361</v>
      </c>
    </row>
    <row r="78" spans="1:26" s="24" customFormat="1" hidden="1" outlineLevel="2" x14ac:dyDescent="0.25">
      <c r="A78" s="26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4"/>
        <v>0</v>
      </c>
      <c r="G78" s="2"/>
      <c r="H78" s="6">
        <v>3475.5</v>
      </c>
      <c r="I78" s="2"/>
      <c r="J78" s="7">
        <f t="shared" si="25"/>
        <v>2.4809228419076443E-2</v>
      </c>
      <c r="K78" s="2"/>
      <c r="L78" s="6">
        <f t="shared" si="26"/>
        <v>-3475.5</v>
      </c>
      <c r="M78" s="2"/>
      <c r="N78" s="7">
        <f t="shared" si="27"/>
        <v>-1</v>
      </c>
      <c r="O78" s="11"/>
      <c r="P78" s="6"/>
      <c r="Q78" s="2"/>
      <c r="R78" s="7">
        <f t="shared" si="28"/>
        <v>0</v>
      </c>
      <c r="S78" s="2"/>
      <c r="T78" s="6">
        <v>20852.25</v>
      </c>
      <c r="U78" s="2"/>
      <c r="V78" s="7">
        <f t="shared" si="29"/>
        <v>1.4664266721613641E-2</v>
      </c>
      <c r="W78" s="2"/>
      <c r="X78" s="6">
        <f t="shared" si="30"/>
        <v>-20852.25</v>
      </c>
      <c r="Y78" s="2"/>
      <c r="Z78" s="7">
        <f t="shared" si="31"/>
        <v>-1</v>
      </c>
    </row>
    <row r="79" spans="1:26" s="24" customFormat="1" hidden="1" outlineLevel="2" x14ac:dyDescent="0.25">
      <c r="A79" s="26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4"/>
        <v>0</v>
      </c>
      <c r="G79" s="2"/>
      <c r="H79" s="6">
        <v>0</v>
      </c>
      <c r="I79" s="2"/>
      <c r="J79" s="7">
        <f t="shared" si="25"/>
        <v>0</v>
      </c>
      <c r="K79" s="2"/>
      <c r="L79" s="6">
        <f t="shared" si="26"/>
        <v>0</v>
      </c>
      <c r="M79" s="2"/>
      <c r="N79" s="7">
        <f t="shared" si="27"/>
        <v>0</v>
      </c>
      <c r="O79" s="11"/>
      <c r="P79" s="6"/>
      <c r="Q79" s="2"/>
      <c r="R79" s="7">
        <f t="shared" si="28"/>
        <v>0</v>
      </c>
      <c r="S79" s="2"/>
      <c r="T79" s="6">
        <v>0</v>
      </c>
      <c r="U79" s="2"/>
      <c r="V79" s="7">
        <f t="shared" si="29"/>
        <v>0</v>
      </c>
      <c r="W79" s="2"/>
      <c r="X79" s="6">
        <f t="shared" si="30"/>
        <v>0</v>
      </c>
      <c r="Y79" s="2"/>
      <c r="Z79" s="7">
        <f t="shared" si="31"/>
        <v>0</v>
      </c>
    </row>
    <row r="80" spans="1:26" s="24" customFormat="1" hidden="1" outlineLevel="2" x14ac:dyDescent="0.25">
      <c r="A80" s="26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4"/>
        <v>0</v>
      </c>
      <c r="G80" s="2"/>
      <c r="H80" s="6">
        <v>0</v>
      </c>
      <c r="I80" s="2"/>
      <c r="J80" s="7">
        <f t="shared" si="25"/>
        <v>0</v>
      </c>
      <c r="K80" s="2"/>
      <c r="L80" s="6">
        <f t="shared" si="26"/>
        <v>0</v>
      </c>
      <c r="M80" s="2"/>
      <c r="N80" s="7">
        <f t="shared" si="27"/>
        <v>0</v>
      </c>
      <c r="O80" s="11"/>
      <c r="P80" s="6"/>
      <c r="Q80" s="2"/>
      <c r="R80" s="7">
        <f t="shared" si="28"/>
        <v>0</v>
      </c>
      <c r="S80" s="2"/>
      <c r="T80" s="6">
        <v>0</v>
      </c>
      <c r="U80" s="2"/>
      <c r="V80" s="7">
        <f t="shared" si="29"/>
        <v>0</v>
      </c>
      <c r="W80" s="2"/>
      <c r="X80" s="6">
        <f t="shared" si="30"/>
        <v>0</v>
      </c>
      <c r="Y80" s="2"/>
      <c r="Z80" s="7">
        <f t="shared" si="31"/>
        <v>0</v>
      </c>
    </row>
    <row r="81" spans="1:26" s="25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79.67</v>
      </c>
      <c r="E81" s="1"/>
      <c r="F81" s="5">
        <f t="shared" ref="F81:F97" si="32">IF(D$12=0,0,D81/D$12)</f>
        <v>9.4287784021682283E-4</v>
      </c>
      <c r="G81" s="1"/>
      <c r="H81" s="1">
        <f>SUM(OSRRefH22_2x_0)</f>
        <v>250</v>
      </c>
      <c r="I81" s="1"/>
      <c r="J81" s="5">
        <f t="shared" ref="J81:J97" si="33">IF(H$12=0,0,H81/H$12)</f>
        <v>1.7845798028396235E-3</v>
      </c>
      <c r="K81" s="1"/>
      <c r="L81" s="1">
        <f t="shared" ref="L81:L97" si="34">+D81-H81</f>
        <v>-170.32999999999998</v>
      </c>
      <c r="M81" s="1"/>
      <c r="N81" s="5">
        <f t="shared" ref="N81:N97" si="35">IF(H81=0,0,L81/H81)</f>
        <v>-0.68131999999999993</v>
      </c>
      <c r="O81" s="13"/>
      <c r="P81" s="1">
        <f>SUM(OSRRefP22_2x_0)</f>
        <v>1508.38</v>
      </c>
      <c r="Q81" s="1"/>
      <c r="R81" s="5">
        <f t="shared" ref="R81:R97" si="36">IF(P$12=0,0,P81/P$12)</f>
        <v>9.5263191613373149E-4</v>
      </c>
      <c r="S81" s="1"/>
      <c r="T81" s="1">
        <f>SUM(OSRRefT22_2x_0)</f>
        <v>1500</v>
      </c>
      <c r="U81" s="1"/>
      <c r="V81" s="5">
        <f t="shared" ref="V81:V97" si="37">IF(T$12=0,0,T81/T$12)</f>
        <v>1.0548693825568206E-3</v>
      </c>
      <c r="W81" s="1"/>
      <c r="X81" s="1">
        <f t="shared" ref="X81:X97" si="38">+P81-T81</f>
        <v>8.3800000000001091</v>
      </c>
      <c r="Y81" s="1"/>
      <c r="Z81" s="5">
        <f t="shared" ref="Z81:Z97" si="39">IF(T81=0,0,X81/T81)</f>
        <v>5.5866666666667397E-3</v>
      </c>
    </row>
    <row r="82" spans="1:26" s="24" customFormat="1" hidden="1" outlineLevel="2" x14ac:dyDescent="0.25">
      <c r="A82" s="26"/>
      <c r="B82" s="11" t="str">
        <f>CONCATENATE("          ", "6362", " - ", "ADVERTISING EXPENSE")</f>
        <v xml:space="preserve">          6362 - ADVERTISING EXPENSE</v>
      </c>
      <c r="C82" s="11"/>
      <c r="D82" s="6">
        <v>79.67</v>
      </c>
      <c r="E82" s="2"/>
      <c r="F82" s="7">
        <f t="shared" si="32"/>
        <v>9.4287784021682283E-4</v>
      </c>
      <c r="G82" s="2"/>
      <c r="H82" s="6">
        <v>250</v>
      </c>
      <c r="I82" s="2"/>
      <c r="J82" s="7">
        <f t="shared" si="33"/>
        <v>1.7845798028396235E-3</v>
      </c>
      <c r="K82" s="2"/>
      <c r="L82" s="6">
        <f t="shared" si="34"/>
        <v>-170.32999999999998</v>
      </c>
      <c r="M82" s="2"/>
      <c r="N82" s="7">
        <f t="shared" si="35"/>
        <v>-0.68131999999999993</v>
      </c>
      <c r="O82" s="11"/>
      <c r="P82" s="6">
        <v>1508.38</v>
      </c>
      <c r="Q82" s="2"/>
      <c r="R82" s="7">
        <f t="shared" si="36"/>
        <v>9.5263191613373149E-4</v>
      </c>
      <c r="S82" s="2"/>
      <c r="T82" s="6">
        <v>1500</v>
      </c>
      <c r="U82" s="2"/>
      <c r="V82" s="7">
        <f t="shared" si="37"/>
        <v>1.0548693825568206E-3</v>
      </c>
      <c r="W82" s="2"/>
      <c r="X82" s="6">
        <f t="shared" si="38"/>
        <v>8.3800000000001091</v>
      </c>
      <c r="Y82" s="2"/>
      <c r="Z82" s="7">
        <f t="shared" si="39"/>
        <v>5.5866666666667397E-3</v>
      </c>
    </row>
    <row r="83" spans="1:26" s="25" customFormat="1" outlineLevel="1" collapsed="1" x14ac:dyDescent="0.25">
      <c r="A83" s="27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2"/>
        <v>3.3189489332296446E-3</v>
      </c>
      <c r="G83" s="1"/>
      <c r="H83" s="1">
        <f>SUM(OSRRefH22_3x_0)</f>
        <v>0</v>
      </c>
      <c r="I83" s="1"/>
      <c r="J83" s="5">
        <f t="shared" si="33"/>
        <v>0</v>
      </c>
      <c r="K83" s="1"/>
      <c r="L83" s="1">
        <f t="shared" si="34"/>
        <v>280.44</v>
      </c>
      <c r="M83" s="1"/>
      <c r="N83" s="5">
        <f t="shared" si="35"/>
        <v>0</v>
      </c>
      <c r="O83" s="13"/>
      <c r="P83" s="1">
        <f>SUM(OSRRefP22_3x_0)</f>
        <v>1682.64</v>
      </c>
      <c r="Q83" s="1"/>
      <c r="R83" s="5">
        <f t="shared" si="36"/>
        <v>1.0626874974232368E-3</v>
      </c>
      <c r="S83" s="1"/>
      <c r="T83" s="1">
        <f>SUM(OSRRefT22_3x_0)</f>
        <v>0</v>
      </c>
      <c r="U83" s="1"/>
      <c r="V83" s="5">
        <f t="shared" si="37"/>
        <v>0</v>
      </c>
      <c r="W83" s="1"/>
      <c r="X83" s="1">
        <f t="shared" si="38"/>
        <v>1682.64</v>
      </c>
      <c r="Y83" s="1"/>
      <c r="Z83" s="5">
        <f t="shared" si="39"/>
        <v>0</v>
      </c>
    </row>
    <row r="84" spans="1:26" s="24" customFormat="1" hidden="1" outlineLevel="2" x14ac:dyDescent="0.25">
      <c r="A84" s="26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2"/>
        <v>3.3189489332296446E-3</v>
      </c>
      <c r="G84" s="2"/>
      <c r="H84" s="6"/>
      <c r="I84" s="2"/>
      <c r="J84" s="7">
        <f t="shared" si="33"/>
        <v>0</v>
      </c>
      <c r="K84" s="2"/>
      <c r="L84" s="6">
        <f t="shared" si="34"/>
        <v>280.44</v>
      </c>
      <c r="M84" s="2"/>
      <c r="N84" s="7">
        <f t="shared" si="35"/>
        <v>0</v>
      </c>
      <c r="O84" s="11"/>
      <c r="P84" s="6">
        <v>1682.64</v>
      </c>
      <c r="Q84" s="2"/>
      <c r="R84" s="7">
        <f t="shared" si="36"/>
        <v>1.0626874974232368E-3</v>
      </c>
      <c r="S84" s="2"/>
      <c r="T84" s="6"/>
      <c r="U84" s="2"/>
      <c r="V84" s="7">
        <f t="shared" si="37"/>
        <v>0</v>
      </c>
      <c r="W84" s="2"/>
      <c r="X84" s="6">
        <f t="shared" si="38"/>
        <v>1682.64</v>
      </c>
      <c r="Y84" s="2"/>
      <c r="Z84" s="7">
        <f t="shared" si="39"/>
        <v>0</v>
      </c>
    </row>
    <row r="85" spans="1:26" s="25" customFormat="1" outlineLevel="1" collapsed="1" x14ac:dyDescent="0.25">
      <c r="A85" s="27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933.49</v>
      </c>
      <c r="E85" s="1"/>
      <c r="F85" s="5">
        <f t="shared" si="32"/>
        <v>1.1047659533877268E-2</v>
      </c>
      <c r="G85" s="1"/>
      <c r="H85" s="1">
        <f>SUM(OSRRefH22_4x_0)</f>
        <v>2500</v>
      </c>
      <c r="I85" s="1"/>
      <c r="J85" s="5">
        <f t="shared" si="33"/>
        <v>1.7845798028396233E-2</v>
      </c>
      <c r="K85" s="1"/>
      <c r="L85" s="1">
        <f t="shared" si="34"/>
        <v>-1566.51</v>
      </c>
      <c r="M85" s="1"/>
      <c r="N85" s="5">
        <f t="shared" si="35"/>
        <v>-0.62660400000000005</v>
      </c>
      <c r="O85" s="13"/>
      <c r="P85" s="1">
        <f>SUM(OSRRefP22_4x_0)</f>
        <v>49270.659999999996</v>
      </c>
      <c r="Q85" s="1"/>
      <c r="R85" s="5">
        <f t="shared" si="36"/>
        <v>3.1117359846307688E-2</v>
      </c>
      <c r="S85" s="1"/>
      <c r="T85" s="1">
        <f>SUM(OSRRefT22_4x_0)</f>
        <v>15000</v>
      </c>
      <c r="U85" s="1"/>
      <c r="V85" s="5">
        <f t="shared" si="37"/>
        <v>1.0548693825568205E-2</v>
      </c>
      <c r="W85" s="1"/>
      <c r="X85" s="1">
        <f t="shared" si="38"/>
        <v>34270.659999999996</v>
      </c>
      <c r="Y85" s="1"/>
      <c r="Z85" s="5">
        <f t="shared" si="39"/>
        <v>2.2847106666666663</v>
      </c>
    </row>
    <row r="86" spans="1:26" s="24" customFormat="1" hidden="1" outlineLevel="2" x14ac:dyDescent="0.25">
      <c r="A86" s="26"/>
      <c r="B86" s="11" t="str">
        <f>CONCATENATE("          ", "6382", " - ", "DISCOUNTS/MARK DOWNS")</f>
        <v xml:space="preserve">          6382 - DISCOUNTS/MARK DOWNS</v>
      </c>
      <c r="C86" s="11"/>
      <c r="D86" s="6">
        <v>933.49</v>
      </c>
      <c r="E86" s="2"/>
      <c r="F86" s="7">
        <f t="shared" si="32"/>
        <v>1.1047659533877268E-2</v>
      </c>
      <c r="G86" s="2"/>
      <c r="H86" s="6">
        <v>2500</v>
      </c>
      <c r="I86" s="2"/>
      <c r="J86" s="7">
        <f t="shared" si="33"/>
        <v>1.7845798028396233E-2</v>
      </c>
      <c r="K86" s="2"/>
      <c r="L86" s="6">
        <f t="shared" si="34"/>
        <v>-1566.51</v>
      </c>
      <c r="M86" s="2"/>
      <c r="N86" s="7">
        <f t="shared" si="35"/>
        <v>-0.62660400000000005</v>
      </c>
      <c r="O86" s="11"/>
      <c r="P86" s="6">
        <v>49270.659999999996</v>
      </c>
      <c r="Q86" s="2"/>
      <c r="R86" s="7">
        <f t="shared" si="36"/>
        <v>3.1117359846307688E-2</v>
      </c>
      <c r="S86" s="2"/>
      <c r="T86" s="6">
        <v>15000</v>
      </c>
      <c r="U86" s="2"/>
      <c r="V86" s="7">
        <f t="shared" si="37"/>
        <v>1.0548693825568205E-2</v>
      </c>
      <c r="W86" s="2"/>
      <c r="X86" s="6">
        <f t="shared" si="38"/>
        <v>34270.659999999996</v>
      </c>
      <c r="Y86" s="2"/>
      <c r="Z86" s="7">
        <f t="shared" si="39"/>
        <v>2.2847106666666663</v>
      </c>
    </row>
    <row r="87" spans="1:26" s="25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2"/>
        <v>0</v>
      </c>
      <c r="G87" s="1"/>
      <c r="H87" s="1">
        <f>SUM(OSRRefH22_5x_0)</f>
        <v>40</v>
      </c>
      <c r="I87" s="1"/>
      <c r="J87" s="5">
        <f t="shared" si="33"/>
        <v>2.8553276845433973E-4</v>
      </c>
      <c r="K87" s="1"/>
      <c r="L87" s="1">
        <f t="shared" si="34"/>
        <v>-40</v>
      </c>
      <c r="M87" s="1"/>
      <c r="N87" s="5">
        <f t="shared" si="35"/>
        <v>-1</v>
      </c>
      <c r="O87" s="13"/>
      <c r="P87" s="1">
        <f>SUM(OSRRefP22_5x_0)</f>
        <v>0</v>
      </c>
      <c r="Q87" s="1"/>
      <c r="R87" s="5">
        <f t="shared" si="36"/>
        <v>0</v>
      </c>
      <c r="S87" s="1"/>
      <c r="T87" s="1">
        <f>SUM(OSRRefT22_5x_0)</f>
        <v>240</v>
      </c>
      <c r="U87" s="1"/>
      <c r="V87" s="5">
        <f t="shared" si="37"/>
        <v>1.687791012090913E-4</v>
      </c>
      <c r="W87" s="1"/>
      <c r="X87" s="1">
        <f t="shared" si="38"/>
        <v>-240</v>
      </c>
      <c r="Y87" s="1"/>
      <c r="Z87" s="5">
        <f t="shared" si="39"/>
        <v>-1</v>
      </c>
    </row>
    <row r="88" spans="1:26" s="24" customFormat="1" hidden="1" outlineLevel="2" x14ac:dyDescent="0.25">
      <c r="A88" s="26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2"/>
        <v>0</v>
      </c>
      <c r="G88" s="2"/>
      <c r="H88" s="6">
        <v>40</v>
      </c>
      <c r="I88" s="2"/>
      <c r="J88" s="7">
        <f t="shared" si="33"/>
        <v>2.8553276845433973E-4</v>
      </c>
      <c r="K88" s="2"/>
      <c r="L88" s="6">
        <f t="shared" si="34"/>
        <v>-40</v>
      </c>
      <c r="M88" s="2"/>
      <c r="N88" s="7">
        <f t="shared" si="35"/>
        <v>-1</v>
      </c>
      <c r="O88" s="11"/>
      <c r="P88" s="6"/>
      <c r="Q88" s="2"/>
      <c r="R88" s="7">
        <f t="shared" si="36"/>
        <v>0</v>
      </c>
      <c r="S88" s="2"/>
      <c r="T88" s="6">
        <v>240</v>
      </c>
      <c r="U88" s="2"/>
      <c r="V88" s="7">
        <f t="shared" si="37"/>
        <v>1.687791012090913E-4</v>
      </c>
      <c r="W88" s="2"/>
      <c r="X88" s="6">
        <f t="shared" si="38"/>
        <v>-240</v>
      </c>
      <c r="Y88" s="2"/>
      <c r="Z88" s="7">
        <f t="shared" si="39"/>
        <v>-1</v>
      </c>
    </row>
    <row r="89" spans="1:26" s="25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2"/>
        <v>0</v>
      </c>
      <c r="G89" s="1"/>
      <c r="H89" s="1">
        <f>SUM(OSRRefH22_6x_0)</f>
        <v>25</v>
      </c>
      <c r="I89" s="1"/>
      <c r="J89" s="5">
        <f t="shared" si="33"/>
        <v>1.7845798028396235E-4</v>
      </c>
      <c r="K89" s="1"/>
      <c r="L89" s="1">
        <f t="shared" si="34"/>
        <v>-25</v>
      </c>
      <c r="M89" s="1"/>
      <c r="N89" s="5">
        <f t="shared" si="35"/>
        <v>-1</v>
      </c>
      <c r="O89" s="13"/>
      <c r="P89" s="1">
        <f>SUM(OSRRefP22_6x_0)</f>
        <v>41.61</v>
      </c>
      <c r="Q89" s="1"/>
      <c r="R89" s="5">
        <f t="shared" si="36"/>
        <v>2.6279196243867304E-5</v>
      </c>
      <c r="S89" s="1"/>
      <c r="T89" s="1">
        <f>SUM(OSRRefT22_6x_0)</f>
        <v>150</v>
      </c>
      <c r="U89" s="1"/>
      <c r="V89" s="5">
        <f t="shared" si="37"/>
        <v>1.0548693825568205E-4</v>
      </c>
      <c r="W89" s="1"/>
      <c r="X89" s="1">
        <f t="shared" si="38"/>
        <v>-108.39</v>
      </c>
      <c r="Y89" s="1"/>
      <c r="Z89" s="5">
        <f t="shared" si="39"/>
        <v>-0.72260000000000002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6"/>
      <c r="E90" s="2"/>
      <c r="F90" s="7">
        <f t="shared" si="32"/>
        <v>0</v>
      </c>
      <c r="G90" s="2"/>
      <c r="H90" s="6">
        <v>25</v>
      </c>
      <c r="I90" s="2"/>
      <c r="J90" s="7">
        <f t="shared" si="33"/>
        <v>1.7845798028396235E-4</v>
      </c>
      <c r="K90" s="2"/>
      <c r="L90" s="6">
        <f t="shared" si="34"/>
        <v>-25</v>
      </c>
      <c r="M90" s="2"/>
      <c r="N90" s="7">
        <f t="shared" si="35"/>
        <v>-1</v>
      </c>
      <c r="O90" s="11"/>
      <c r="P90" s="6">
        <v>41.61</v>
      </c>
      <c r="Q90" s="2"/>
      <c r="R90" s="7">
        <f t="shared" si="36"/>
        <v>2.6279196243867304E-5</v>
      </c>
      <c r="S90" s="2"/>
      <c r="T90" s="6">
        <v>150</v>
      </c>
      <c r="U90" s="2"/>
      <c r="V90" s="7">
        <f t="shared" si="37"/>
        <v>1.0548693825568205E-4</v>
      </c>
      <c r="W90" s="2"/>
      <c r="X90" s="6">
        <f t="shared" si="38"/>
        <v>-108.39</v>
      </c>
      <c r="Y90" s="2"/>
      <c r="Z90" s="7">
        <f t="shared" si="39"/>
        <v>-0.72260000000000002</v>
      </c>
    </row>
    <row r="91" spans="1:26" s="25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197.18</v>
      </c>
      <c r="E91" s="1"/>
      <c r="F91" s="5">
        <f t="shared" si="32"/>
        <v>2.333584191464204E-3</v>
      </c>
      <c r="G91" s="1"/>
      <c r="H91" s="1">
        <f>SUM(OSRRefH22_7x_0)</f>
        <v>0</v>
      </c>
      <c r="I91" s="1"/>
      <c r="J91" s="5">
        <f t="shared" si="33"/>
        <v>0</v>
      </c>
      <c r="K91" s="1"/>
      <c r="L91" s="1">
        <f t="shared" si="34"/>
        <v>197.18</v>
      </c>
      <c r="M91" s="1"/>
      <c r="N91" s="5">
        <f t="shared" si="35"/>
        <v>0</v>
      </c>
      <c r="O91" s="13"/>
      <c r="P91" s="1">
        <f>SUM(OSRRefP22_7x_0)</f>
        <v>197.18</v>
      </c>
      <c r="Q91" s="1"/>
      <c r="R91" s="5">
        <f t="shared" si="36"/>
        <v>1.2453092803090015E-4</v>
      </c>
      <c r="S91" s="1"/>
      <c r="T91" s="1">
        <f>SUM(OSRRefT22_7x_0)</f>
        <v>0</v>
      </c>
      <c r="U91" s="1"/>
      <c r="V91" s="5">
        <f t="shared" si="37"/>
        <v>0</v>
      </c>
      <c r="W91" s="1"/>
      <c r="X91" s="1">
        <f t="shared" si="38"/>
        <v>197.18</v>
      </c>
      <c r="Y91" s="1"/>
      <c r="Z91" s="5">
        <f t="shared" si="39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197.18</v>
      </c>
      <c r="E92" s="2"/>
      <c r="F92" s="7">
        <f t="shared" si="32"/>
        <v>2.333584191464204E-3</v>
      </c>
      <c r="G92" s="2"/>
      <c r="H92" s="6"/>
      <c r="I92" s="2"/>
      <c r="J92" s="7">
        <f t="shared" si="33"/>
        <v>0</v>
      </c>
      <c r="K92" s="2"/>
      <c r="L92" s="6">
        <f t="shared" si="34"/>
        <v>197.18</v>
      </c>
      <c r="M92" s="2"/>
      <c r="N92" s="7">
        <f t="shared" si="35"/>
        <v>0</v>
      </c>
      <c r="O92" s="11"/>
      <c r="P92" s="6">
        <v>197.18</v>
      </c>
      <c r="Q92" s="2"/>
      <c r="R92" s="7">
        <f t="shared" si="36"/>
        <v>1.2453092803090015E-4</v>
      </c>
      <c r="S92" s="2"/>
      <c r="T92" s="6"/>
      <c r="U92" s="2"/>
      <c r="V92" s="7">
        <f t="shared" si="37"/>
        <v>0</v>
      </c>
      <c r="W92" s="2"/>
      <c r="X92" s="6">
        <f t="shared" si="38"/>
        <v>197.18</v>
      </c>
      <c r="Y92" s="2"/>
      <c r="Z92" s="7">
        <f t="shared" si="39"/>
        <v>0</v>
      </c>
    </row>
    <row r="93" spans="1:26" s="25" customFormat="1" outlineLevel="1" collapsed="1" x14ac:dyDescent="0.25">
      <c r="A93" s="27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2"/>
        <v>0</v>
      </c>
      <c r="G93" s="1"/>
      <c r="H93" s="1">
        <f>SUM(OSRRefH22_8x_0)</f>
        <v>0</v>
      </c>
      <c r="I93" s="1"/>
      <c r="J93" s="5">
        <f t="shared" si="33"/>
        <v>0</v>
      </c>
      <c r="K93" s="1"/>
      <c r="L93" s="1">
        <f t="shared" si="34"/>
        <v>0</v>
      </c>
      <c r="M93" s="1"/>
      <c r="N93" s="5">
        <f t="shared" si="35"/>
        <v>0</v>
      </c>
      <c r="O93" s="13"/>
      <c r="P93" s="1">
        <f>SUM(OSRRefP22_8x_0)</f>
        <v>-5000</v>
      </c>
      <c r="Q93" s="1"/>
      <c r="R93" s="5">
        <f t="shared" si="36"/>
        <v>-3.1577981547545424E-3</v>
      </c>
      <c r="S93" s="1"/>
      <c r="T93" s="1">
        <f>SUM(OSRRefT22_8x_0)</f>
        <v>0</v>
      </c>
      <c r="U93" s="1"/>
      <c r="V93" s="5">
        <f t="shared" si="37"/>
        <v>0</v>
      </c>
      <c r="W93" s="1"/>
      <c r="X93" s="1">
        <f t="shared" si="38"/>
        <v>-5000</v>
      </c>
      <c r="Y93" s="1"/>
      <c r="Z93" s="5">
        <f t="shared" si="39"/>
        <v>0</v>
      </c>
    </row>
    <row r="94" spans="1:26" s="24" customFormat="1" hidden="1" outlineLevel="2" x14ac:dyDescent="0.25">
      <c r="A94" s="26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32"/>
        <v>0</v>
      </c>
      <c r="G94" s="2"/>
      <c r="H94" s="6"/>
      <c r="I94" s="2"/>
      <c r="J94" s="7">
        <f t="shared" si="33"/>
        <v>0</v>
      </c>
      <c r="K94" s="2"/>
      <c r="L94" s="6">
        <f t="shared" si="34"/>
        <v>0</v>
      </c>
      <c r="M94" s="2"/>
      <c r="N94" s="7">
        <f t="shared" si="35"/>
        <v>0</v>
      </c>
      <c r="O94" s="11"/>
      <c r="P94" s="6">
        <v>-5000</v>
      </c>
      <c r="Q94" s="2"/>
      <c r="R94" s="7">
        <f t="shared" si="36"/>
        <v>-3.1577981547545424E-3</v>
      </c>
      <c r="S94" s="2"/>
      <c r="T94" s="6"/>
      <c r="U94" s="2"/>
      <c r="V94" s="7">
        <f t="shared" si="37"/>
        <v>0</v>
      </c>
      <c r="W94" s="2"/>
      <c r="X94" s="6">
        <f t="shared" si="38"/>
        <v>-5000</v>
      </c>
      <c r="Y94" s="2"/>
      <c r="Z94" s="7">
        <f t="shared" si="39"/>
        <v>0</v>
      </c>
    </row>
    <row r="95" spans="1:26" s="25" customFormat="1" outlineLevel="1" collapsed="1" x14ac:dyDescent="0.25">
      <c r="A95" s="27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0</v>
      </c>
      <c r="E95" s="1"/>
      <c r="F95" s="5">
        <f t="shared" si="32"/>
        <v>0</v>
      </c>
      <c r="G95" s="1"/>
      <c r="H95" s="1">
        <f>SUM(OSRRefH22_9x_0)</f>
        <v>275</v>
      </c>
      <c r="I95" s="1"/>
      <c r="J95" s="5">
        <f t="shared" si="33"/>
        <v>1.9630377831235859E-3</v>
      </c>
      <c r="K95" s="1"/>
      <c r="L95" s="1">
        <f t="shared" si="34"/>
        <v>-275</v>
      </c>
      <c r="M95" s="1"/>
      <c r="N95" s="5">
        <f t="shared" si="35"/>
        <v>-1</v>
      </c>
      <c r="O95" s="13"/>
      <c r="P95" s="1">
        <f>SUM(OSRRefP22_9x_0)</f>
        <v>2702.03</v>
      </c>
      <c r="Q95" s="1"/>
      <c r="R95" s="5">
        <f t="shared" si="36"/>
        <v>1.7064930696182835E-3</v>
      </c>
      <c r="S95" s="1"/>
      <c r="T95" s="1">
        <f>SUM(OSRRefT22_9x_0)</f>
        <v>1650</v>
      </c>
      <c r="U95" s="1"/>
      <c r="V95" s="5">
        <f t="shared" si="37"/>
        <v>1.1603563208125026E-3</v>
      </c>
      <c r="W95" s="1"/>
      <c r="X95" s="1">
        <f t="shared" si="38"/>
        <v>1052.0300000000002</v>
      </c>
      <c r="Y95" s="1"/>
      <c r="Z95" s="5">
        <f t="shared" si="39"/>
        <v>0.63759393939393949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6"/>
      <c r="E96" s="2"/>
      <c r="F96" s="7">
        <f t="shared" si="32"/>
        <v>0</v>
      </c>
      <c r="G96" s="2"/>
      <c r="H96" s="6">
        <v>275</v>
      </c>
      <c r="I96" s="2"/>
      <c r="J96" s="7">
        <f t="shared" si="33"/>
        <v>1.9630377831235859E-3</v>
      </c>
      <c r="K96" s="2"/>
      <c r="L96" s="6">
        <f t="shared" si="34"/>
        <v>-275</v>
      </c>
      <c r="M96" s="2"/>
      <c r="N96" s="7">
        <f t="shared" si="35"/>
        <v>-1</v>
      </c>
      <c r="O96" s="11"/>
      <c r="P96" s="6">
        <v>692.65</v>
      </c>
      <c r="Q96" s="2"/>
      <c r="R96" s="7">
        <f t="shared" si="36"/>
        <v>4.3744977837814679E-4</v>
      </c>
      <c r="S96" s="2"/>
      <c r="T96" s="6">
        <v>1650</v>
      </c>
      <c r="U96" s="2"/>
      <c r="V96" s="7">
        <f t="shared" si="37"/>
        <v>1.1603563208125026E-3</v>
      </c>
      <c r="W96" s="2"/>
      <c r="X96" s="6">
        <f t="shared" si="38"/>
        <v>-957.35</v>
      </c>
      <c r="Y96" s="2"/>
      <c r="Z96" s="7">
        <f t="shared" si="39"/>
        <v>-0.58021212121212118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32"/>
        <v>0</v>
      </c>
      <c r="G97" s="2"/>
      <c r="H97" s="6"/>
      <c r="I97" s="2"/>
      <c r="J97" s="7">
        <f t="shared" si="33"/>
        <v>0</v>
      </c>
      <c r="K97" s="2"/>
      <c r="L97" s="6">
        <f t="shared" si="34"/>
        <v>0</v>
      </c>
      <c r="M97" s="2"/>
      <c r="N97" s="7">
        <f t="shared" si="35"/>
        <v>0</v>
      </c>
      <c r="O97" s="11"/>
      <c r="P97" s="6">
        <v>2009.38</v>
      </c>
      <c r="Q97" s="2"/>
      <c r="R97" s="7">
        <f t="shared" si="36"/>
        <v>1.2690432912401367E-3</v>
      </c>
      <c r="S97" s="2"/>
      <c r="T97" s="6"/>
      <c r="U97" s="2"/>
      <c r="V97" s="7">
        <f t="shared" si="37"/>
        <v>0</v>
      </c>
      <c r="W97" s="2"/>
      <c r="X97" s="6">
        <f t="shared" si="38"/>
        <v>2009.38</v>
      </c>
      <c r="Y97" s="2"/>
      <c r="Z97" s="7">
        <f t="shared" si="39"/>
        <v>0</v>
      </c>
    </row>
    <row r="98" spans="1:26" s="25" customFormat="1" outlineLevel="1" collapsed="1" x14ac:dyDescent="0.25">
      <c r="A98" s="27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257</v>
      </c>
      <c r="E98" s="1"/>
      <c r="F98" s="5">
        <f t="shared" ref="F98:F100" si="40">IF(D$12=0,0,D98/D$12)</f>
        <v>3.041541420054267E-3</v>
      </c>
      <c r="G98" s="1"/>
      <c r="H98" s="1">
        <f>SUM(OSRRefH22_10x_0)</f>
        <v>280</v>
      </c>
      <c r="I98" s="1"/>
      <c r="J98" s="5">
        <f t="shared" ref="J98:J100" si="41">IF(H$12=0,0,H98/H$12)</f>
        <v>1.9987293791803784E-3</v>
      </c>
      <c r="K98" s="1"/>
      <c r="L98" s="1">
        <f t="shared" ref="L98:L100" si="42">+D98-H98</f>
        <v>-23</v>
      </c>
      <c r="M98" s="1"/>
      <c r="N98" s="5">
        <f t="shared" ref="N98:N100" si="43">IF(H98=0,0,L98/H98)</f>
        <v>-8.2142857142857142E-2</v>
      </c>
      <c r="O98" s="13"/>
      <c r="P98" s="1">
        <f>SUM(OSRRefP22_10x_0)</f>
        <v>1536.15</v>
      </c>
      <c r="Q98" s="1"/>
      <c r="R98" s="5">
        <f t="shared" ref="R98:R100" si="44">IF(P$12=0,0,P98/P$12)</f>
        <v>9.7017032708523814E-4</v>
      </c>
      <c r="S98" s="1"/>
      <c r="T98" s="1">
        <f>SUM(OSRRefT22_10x_0)</f>
        <v>1680</v>
      </c>
      <c r="U98" s="1"/>
      <c r="V98" s="5">
        <f t="shared" ref="V98:V100" si="45">IF(T$12=0,0,T98/T$12)</f>
        <v>1.1814537084636389E-3</v>
      </c>
      <c r="W98" s="1"/>
      <c r="X98" s="1">
        <f t="shared" ref="X98:X100" si="46">+P98-T98</f>
        <v>-143.84999999999991</v>
      </c>
      <c r="Y98" s="1"/>
      <c r="Z98" s="5">
        <f t="shared" ref="Z98:Z100" si="47">IF(T98=0,0,X98/T98)</f>
        <v>-8.5624999999999951E-2</v>
      </c>
    </row>
    <row r="99" spans="1:26" s="24" customFormat="1" hidden="1" outlineLevel="2" x14ac:dyDescent="0.25">
      <c r="A99" s="26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40"/>
        <v>0</v>
      </c>
      <c r="G99" s="2"/>
      <c r="H99" s="6">
        <v>280</v>
      </c>
      <c r="I99" s="2"/>
      <c r="J99" s="7">
        <f t="shared" si="41"/>
        <v>1.9987293791803784E-3</v>
      </c>
      <c r="K99" s="2"/>
      <c r="L99" s="6">
        <f t="shared" si="42"/>
        <v>-280</v>
      </c>
      <c r="M99" s="2"/>
      <c r="N99" s="7">
        <f t="shared" si="43"/>
        <v>-1</v>
      </c>
      <c r="O99" s="11"/>
      <c r="P99" s="6"/>
      <c r="Q99" s="2"/>
      <c r="R99" s="7">
        <f t="shared" si="44"/>
        <v>0</v>
      </c>
      <c r="S99" s="2"/>
      <c r="T99" s="6">
        <v>1680</v>
      </c>
      <c r="U99" s="2"/>
      <c r="V99" s="7">
        <f t="shared" si="45"/>
        <v>1.1814537084636389E-3</v>
      </c>
      <c r="W99" s="2"/>
      <c r="X99" s="6">
        <f t="shared" si="46"/>
        <v>-1680</v>
      </c>
      <c r="Y99" s="2"/>
      <c r="Z99" s="7">
        <f t="shared" si="47"/>
        <v>-1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6">
        <v>257</v>
      </c>
      <c r="E100" s="2"/>
      <c r="F100" s="7">
        <f t="shared" si="40"/>
        <v>3.041541420054267E-3</v>
      </c>
      <c r="G100" s="2"/>
      <c r="H100" s="6"/>
      <c r="I100" s="2"/>
      <c r="J100" s="7">
        <f t="shared" si="41"/>
        <v>0</v>
      </c>
      <c r="K100" s="2"/>
      <c r="L100" s="6">
        <f t="shared" si="42"/>
        <v>257</v>
      </c>
      <c r="M100" s="2"/>
      <c r="N100" s="7">
        <f t="shared" si="43"/>
        <v>0</v>
      </c>
      <c r="O100" s="11"/>
      <c r="P100" s="6">
        <v>1536.15</v>
      </c>
      <c r="Q100" s="2"/>
      <c r="R100" s="7">
        <f t="shared" si="44"/>
        <v>9.7017032708523814E-4</v>
      </c>
      <c r="S100" s="2"/>
      <c r="T100" s="6"/>
      <c r="U100" s="2"/>
      <c r="V100" s="7">
        <f t="shared" si="45"/>
        <v>0</v>
      </c>
      <c r="W100" s="2"/>
      <c r="X100" s="6">
        <f t="shared" si="46"/>
        <v>1536.15</v>
      </c>
      <c r="Y100" s="2"/>
      <c r="Z100" s="7">
        <f t="shared" si="47"/>
        <v>0</v>
      </c>
    </row>
    <row r="101" spans="1:26" s="25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0</v>
      </c>
      <c r="E101" s="1"/>
      <c r="F101" s="5">
        <f t="shared" ref="F101:F104" si="48">IF(D$12=0,0,D101/D$12)</f>
        <v>0</v>
      </c>
      <c r="G101" s="1"/>
      <c r="H101" s="1">
        <f>SUM(OSRRefH22_11x_0)</f>
        <v>375</v>
      </c>
      <c r="I101" s="1"/>
      <c r="J101" s="5">
        <f t="shared" ref="J101:J104" si="49">IF(H$12=0,0,H101/H$12)</f>
        <v>2.6768697042594352E-3</v>
      </c>
      <c r="K101" s="1"/>
      <c r="L101" s="1">
        <f t="shared" ref="L101:L104" si="50">+D101-H101</f>
        <v>-375</v>
      </c>
      <c r="M101" s="1"/>
      <c r="N101" s="5">
        <f t="shared" ref="N101:N104" si="51">IF(H101=0,0,L101/H101)</f>
        <v>-1</v>
      </c>
      <c r="O101" s="13"/>
      <c r="P101" s="1">
        <f>SUM(OSRRefP22_11x_0)</f>
        <v>1163.6400000000001</v>
      </c>
      <c r="Q101" s="1"/>
      <c r="R101" s="5">
        <f t="shared" ref="R101:R104" si="52">IF(P$12=0,0,P101/P$12)</f>
        <v>7.3490804895971523E-4</v>
      </c>
      <c r="S101" s="1"/>
      <c r="T101" s="1">
        <f>SUM(OSRRefT22_11x_0)</f>
        <v>2250</v>
      </c>
      <c r="U101" s="1"/>
      <c r="V101" s="5">
        <f t="shared" ref="V101:V104" si="53">IF(T$12=0,0,T101/T$12)</f>
        <v>1.5823040738352308E-3</v>
      </c>
      <c r="W101" s="1"/>
      <c r="X101" s="1">
        <f t="shared" ref="X101:X104" si="54">+P101-T101</f>
        <v>-1086.3599999999999</v>
      </c>
      <c r="Y101" s="1"/>
      <c r="Z101" s="5">
        <f t="shared" ref="Z101:Z104" si="55">IF(T101=0,0,X101/T101)</f>
        <v>-0.48282666666666663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48"/>
        <v>0</v>
      </c>
      <c r="G102" s="2"/>
      <c r="H102" s="6">
        <v>375</v>
      </c>
      <c r="I102" s="2"/>
      <c r="J102" s="7">
        <f t="shared" si="49"/>
        <v>2.6768697042594352E-3</v>
      </c>
      <c r="K102" s="2"/>
      <c r="L102" s="6">
        <f t="shared" si="50"/>
        <v>-375</v>
      </c>
      <c r="M102" s="2"/>
      <c r="N102" s="7">
        <f t="shared" si="51"/>
        <v>-1</v>
      </c>
      <c r="O102" s="11"/>
      <c r="P102" s="6">
        <v>1163.6400000000001</v>
      </c>
      <c r="Q102" s="2"/>
      <c r="R102" s="7">
        <f t="shared" si="52"/>
        <v>7.3490804895971523E-4</v>
      </c>
      <c r="S102" s="2"/>
      <c r="T102" s="6">
        <v>2250</v>
      </c>
      <c r="U102" s="2"/>
      <c r="V102" s="7">
        <f t="shared" si="53"/>
        <v>1.5823040738352308E-3</v>
      </c>
      <c r="W102" s="2"/>
      <c r="X102" s="6">
        <f t="shared" si="54"/>
        <v>-1086.3599999999999</v>
      </c>
      <c r="Y102" s="2"/>
      <c r="Z102" s="7">
        <f t="shared" si="55"/>
        <v>-0.48282666666666663</v>
      </c>
    </row>
    <row r="103" spans="1:26" s="25" customFormat="1" outlineLevel="1" collapsed="1" x14ac:dyDescent="0.25">
      <c r="A103" s="27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8"/>
        <v>0</v>
      </c>
      <c r="G103" s="1"/>
      <c r="H103" s="1">
        <f>SUM(OSRRefH22_12x_0)</f>
        <v>0</v>
      </c>
      <c r="I103" s="1"/>
      <c r="J103" s="5">
        <f t="shared" si="49"/>
        <v>0</v>
      </c>
      <c r="K103" s="1"/>
      <c r="L103" s="1">
        <f t="shared" si="50"/>
        <v>0</v>
      </c>
      <c r="M103" s="1"/>
      <c r="N103" s="5">
        <f t="shared" si="51"/>
        <v>0</v>
      </c>
      <c r="O103" s="13"/>
      <c r="P103" s="1">
        <f>SUM(OSRRefP22_12x_0)</f>
        <v>-178.06</v>
      </c>
      <c r="Q103" s="1"/>
      <c r="R103" s="5">
        <f t="shared" si="52"/>
        <v>-1.1245550788711877E-4</v>
      </c>
      <c r="S103" s="1"/>
      <c r="T103" s="1">
        <f>SUM(OSRRefT22_12x_0)</f>
        <v>0</v>
      </c>
      <c r="U103" s="1"/>
      <c r="V103" s="5">
        <f t="shared" si="53"/>
        <v>0</v>
      </c>
      <c r="W103" s="1"/>
      <c r="X103" s="1">
        <f t="shared" si="54"/>
        <v>-178.06</v>
      </c>
      <c r="Y103" s="1"/>
      <c r="Z103" s="5">
        <f t="shared" si="55"/>
        <v>0</v>
      </c>
    </row>
    <row r="104" spans="1:26" s="24" customFormat="1" hidden="1" outlineLevel="2" x14ac:dyDescent="0.25">
      <c r="A104" s="26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8"/>
        <v>0</v>
      </c>
      <c r="G104" s="2"/>
      <c r="H104" s="6"/>
      <c r="I104" s="2"/>
      <c r="J104" s="7">
        <f t="shared" si="49"/>
        <v>0</v>
      </c>
      <c r="K104" s="2"/>
      <c r="L104" s="6">
        <f t="shared" si="50"/>
        <v>0</v>
      </c>
      <c r="M104" s="2"/>
      <c r="N104" s="7">
        <f t="shared" si="51"/>
        <v>0</v>
      </c>
      <c r="O104" s="11"/>
      <c r="P104" s="6">
        <v>-178.06</v>
      </c>
      <c r="Q104" s="2"/>
      <c r="R104" s="7">
        <f t="shared" si="52"/>
        <v>-1.1245550788711877E-4</v>
      </c>
      <c r="S104" s="2"/>
      <c r="T104" s="6"/>
      <c r="U104" s="2"/>
      <c r="V104" s="7">
        <f t="shared" si="53"/>
        <v>0</v>
      </c>
      <c r="W104" s="2"/>
      <c r="X104" s="6">
        <f t="shared" si="54"/>
        <v>-178.06</v>
      </c>
      <c r="Y104" s="2"/>
      <c r="Z104" s="7">
        <f t="shared" si="55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4.9300000000000068</v>
      </c>
      <c r="E106" s="4"/>
      <c r="F106" s="12">
        <f t="shared" ref="F106:F110" si="56">IF(D$12=0,0,D106/D$12)</f>
        <v>5.8345522182364038E-5</v>
      </c>
      <c r="G106" s="4"/>
      <c r="H106" s="4">
        <f>SUM(OSRRefH25x_0)</f>
        <v>2025</v>
      </c>
      <c r="I106" s="4"/>
      <c r="J106" s="12">
        <f t="shared" ref="J106:J110" si="57">IF(H$12=0,0,H106/H$12)</f>
        <v>1.4455096403000949E-2</v>
      </c>
      <c r="K106" s="4"/>
      <c r="L106" s="4">
        <f t="shared" ref="L106:L110" si="58">+D106-H106</f>
        <v>-2020.07</v>
      </c>
      <c r="M106" s="4"/>
      <c r="N106" s="12">
        <f t="shared" ref="N106:N110" si="59">IF(H106=0,0,L106/H106)</f>
        <v>-0.99756543209876536</v>
      </c>
      <c r="O106" s="10"/>
      <c r="P106" s="4">
        <f>SUM(OSRRefP25x_0)</f>
        <v>7236.66</v>
      </c>
      <c r="Q106" s="4"/>
      <c r="R106" s="12">
        <f t="shared" ref="R106:R110" si="60">IF(P$12=0,0,P106/P$12)</f>
        <v>4.5703823189172012E-3</v>
      </c>
      <c r="S106" s="4"/>
      <c r="T106" s="4">
        <f>SUM(OSRRefT25x_0)</f>
        <v>11475</v>
      </c>
      <c r="U106" s="4"/>
      <c r="V106" s="12">
        <f t="shared" ref="V106:V110" si="61">IF(T$12=0,0,T106/T$12)</f>
        <v>8.0697507765596765E-3</v>
      </c>
      <c r="W106" s="4"/>
      <c r="X106" s="4">
        <f t="shared" ref="X106:X110" si="62">+P106-T106</f>
        <v>-4238.34</v>
      </c>
      <c r="Y106" s="4"/>
      <c r="Z106" s="12">
        <f t="shared" ref="Z106:Z110" si="63">IF(T106=0,0,X106/T106)</f>
        <v>-0.3693542483660131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--456.99</f>
        <v>456.99</v>
      </c>
      <c r="E107" s="2"/>
      <c r="F107" s="19">
        <f t="shared" si="56"/>
        <v>5.4083813756832669E-3</v>
      </c>
      <c r="G107" s="2"/>
      <c r="H107" s="2"/>
      <c r="I107" s="2"/>
      <c r="J107" s="19">
        <f t="shared" si="57"/>
        <v>0</v>
      </c>
      <c r="K107" s="2"/>
      <c r="L107" s="2">
        <f t="shared" si="58"/>
        <v>456.99</v>
      </c>
      <c r="M107" s="2"/>
      <c r="N107" s="19">
        <f t="shared" si="59"/>
        <v>0</v>
      </c>
      <c r="O107" s="11"/>
      <c r="P107" s="2">
        <f>--13188.92</f>
        <v>13188.92</v>
      </c>
      <c r="Q107" s="2"/>
      <c r="R107" s="19">
        <f t="shared" si="60"/>
        <v>8.329589447841056E-3</v>
      </c>
      <c r="S107" s="2"/>
      <c r="T107" s="2"/>
      <c r="U107" s="2"/>
      <c r="V107" s="19">
        <f t="shared" si="61"/>
        <v>0</v>
      </c>
      <c r="W107" s="2"/>
      <c r="X107" s="2">
        <f t="shared" si="62"/>
        <v>13188.92</v>
      </c>
      <c r="Y107" s="2"/>
      <c r="Z107" s="19">
        <f t="shared" si="63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6"/>
        <v>0</v>
      </c>
      <c r="G108" s="2"/>
      <c r="H108" s="2"/>
      <c r="I108" s="2"/>
      <c r="J108" s="19">
        <f t="shared" si="57"/>
        <v>0</v>
      </c>
      <c r="K108" s="2"/>
      <c r="L108" s="2">
        <f t="shared" si="58"/>
        <v>0</v>
      </c>
      <c r="M108" s="2"/>
      <c r="N108" s="19">
        <f t="shared" si="59"/>
        <v>0</v>
      </c>
      <c r="O108" s="11"/>
      <c r="P108" s="2">
        <f>-7889</f>
        <v>-7889</v>
      </c>
      <c r="Q108" s="2"/>
      <c r="R108" s="19">
        <f t="shared" si="60"/>
        <v>-4.9823739285717169E-3</v>
      </c>
      <c r="S108" s="2"/>
      <c r="T108" s="2"/>
      <c r="U108" s="2"/>
      <c r="V108" s="19">
        <f t="shared" si="61"/>
        <v>0</v>
      </c>
      <c r="W108" s="2"/>
      <c r="X108" s="2">
        <f t="shared" si="62"/>
        <v>-7889</v>
      </c>
      <c r="Y108" s="2"/>
      <c r="Z108" s="19">
        <f t="shared" si="63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-56.72</f>
        <v>-56.72</v>
      </c>
      <c r="E109" s="2"/>
      <c r="F109" s="19">
        <f t="shared" si="56"/>
        <v>-6.7126937488512853E-4</v>
      </c>
      <c r="G109" s="2"/>
      <c r="H109" s="2"/>
      <c r="I109" s="2"/>
      <c r="J109" s="19">
        <f t="shared" si="57"/>
        <v>0</v>
      </c>
      <c r="K109" s="2"/>
      <c r="L109" s="2">
        <f t="shared" si="58"/>
        <v>-56.72</v>
      </c>
      <c r="M109" s="2"/>
      <c r="N109" s="19">
        <f t="shared" si="59"/>
        <v>0</v>
      </c>
      <c r="O109" s="11"/>
      <c r="P109" s="2">
        <f>-56.72</f>
        <v>-56.72</v>
      </c>
      <c r="Q109" s="2"/>
      <c r="R109" s="19">
        <f t="shared" si="60"/>
        <v>-3.5822062267535532E-5</v>
      </c>
      <c r="S109" s="2"/>
      <c r="T109" s="2"/>
      <c r="U109" s="2"/>
      <c r="V109" s="19">
        <f t="shared" si="61"/>
        <v>0</v>
      </c>
      <c r="W109" s="2"/>
      <c r="X109" s="2">
        <f t="shared" si="62"/>
        <v>-56.72</v>
      </c>
      <c r="Y109" s="2"/>
      <c r="Z109" s="19">
        <f t="shared" si="63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-395.34</f>
        <v>-395.34</v>
      </c>
      <c r="E110" s="2"/>
      <c r="F110" s="19">
        <f t="shared" si="56"/>
        <v>-4.6787664786157738E-3</v>
      </c>
      <c r="G110" s="2"/>
      <c r="H110" s="2">
        <v>2025</v>
      </c>
      <c r="I110" s="2"/>
      <c r="J110" s="19">
        <f t="shared" si="57"/>
        <v>1.4455096403000949E-2</v>
      </c>
      <c r="K110" s="2"/>
      <c r="L110" s="2">
        <f t="shared" si="58"/>
        <v>-2420.34</v>
      </c>
      <c r="M110" s="2"/>
      <c r="N110" s="19">
        <f t="shared" si="59"/>
        <v>-1.1952296296296296</v>
      </c>
      <c r="O110" s="11"/>
      <c r="P110" s="2">
        <f>--1993.46</f>
        <v>1993.46</v>
      </c>
      <c r="Q110" s="2"/>
      <c r="R110" s="19">
        <f t="shared" si="60"/>
        <v>1.2589888619153982E-3</v>
      </c>
      <c r="S110" s="2"/>
      <c r="T110" s="2">
        <v>11475</v>
      </c>
      <c r="U110" s="2"/>
      <c r="V110" s="19">
        <f t="shared" si="61"/>
        <v>8.0697507765596765E-3</v>
      </c>
      <c r="W110" s="2"/>
      <c r="X110" s="2">
        <f t="shared" si="62"/>
        <v>-9481.5400000000009</v>
      </c>
      <c r="Y110" s="2"/>
      <c r="Z110" s="19">
        <f t="shared" si="63"/>
        <v>-0.82627799564270155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2">
        <f>+D56-D58+D106</f>
        <v>647.42000000000894</v>
      </c>
      <c r="E112" s="14"/>
      <c r="F112" s="20">
        <f>IF(D$12=0,0,D112/D$12)</f>
        <v>7.6620807244029603E-3</v>
      </c>
      <c r="G112" s="14"/>
      <c r="H112" s="22">
        <f>+H56-H58+H106</f>
        <v>18584.813887683078</v>
      </c>
      <c r="I112" s="14"/>
      <c r="J112" s="20">
        <f>IF(H$12=0,0,H112/H$12)</f>
        <v>0.13266433401397024</v>
      </c>
      <c r="K112" s="16"/>
      <c r="L112" s="22">
        <f>+D112-H112</f>
        <v>-17937.393887683069</v>
      </c>
      <c r="M112" s="16"/>
      <c r="N112" s="20">
        <f>IF(H112=0,0,L112/H112)</f>
        <v>-0.9651640310248637</v>
      </c>
      <c r="O112" s="28"/>
      <c r="P112" s="22">
        <f>+P56-P58+P106</f>
        <v>55137.630000000179</v>
      </c>
      <c r="Q112" s="14"/>
      <c r="R112" s="20">
        <f>IF(P$12=0,0,P112/P$12)</f>
        <v>3.4822701254307857E-2</v>
      </c>
      <c r="S112" s="14"/>
      <c r="T112" s="22">
        <f>+T56-T58+T106</f>
        <v>225040.22749284</v>
      </c>
      <c r="U112" s="14"/>
      <c r="V112" s="20">
        <f>IF(T$12=0,0,T112/T$12)</f>
        <v>0.15825869721721236</v>
      </c>
      <c r="W112" s="16"/>
      <c r="X112" s="22">
        <f>+P112-T112</f>
        <v>-169902.59749283982</v>
      </c>
      <c r="Y112" s="16"/>
      <c r="Z112" s="20">
        <f>IF(T112=0,0,X112/T112)</f>
        <v>-0.75498767214073104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12295.62</v>
      </c>
      <c r="E114" s="4"/>
      <c r="F114" s="12">
        <f>IF(D$12=0,0,D114/D$12)</f>
        <v>0.14551609928111925</v>
      </c>
      <c r="G114" s="4"/>
      <c r="H114" s="4">
        <v>20715</v>
      </c>
      <c r="I114" s="4"/>
      <c r="J114" s="12">
        <f>IF(H$12=0,0,H114/H$12)</f>
        <v>0.1478702824632912</v>
      </c>
      <c r="K114" s="4"/>
      <c r="L114" s="4">
        <f>+D114-H114</f>
        <v>-8419.3799999999992</v>
      </c>
      <c r="M114" s="4"/>
      <c r="N114" s="12">
        <f>IF(H114=0,0,L114/H114)</f>
        <v>-0.40643881245474289</v>
      </c>
      <c r="O114" s="10"/>
      <c r="P114" s="4">
        <v>171017.42</v>
      </c>
      <c r="Q114" s="4"/>
      <c r="R114" s="12">
        <f>IF(P$12=0,0,P114/P$12)</f>
        <v>0.10800769866137652</v>
      </c>
      <c r="S114" s="4"/>
      <c r="T114" s="4">
        <v>183171</v>
      </c>
      <c r="U114" s="4"/>
      <c r="V114" s="12">
        <f>IF(T$12=0,0,T114/T$12)</f>
        <v>0.12881431978154359</v>
      </c>
      <c r="W114" s="4"/>
      <c r="X114" s="4">
        <f>+P114-T114</f>
        <v>-12153.579999999987</v>
      </c>
      <c r="Y114" s="4"/>
      <c r="Z114" s="12">
        <f>IF(T114=0,0,X114/T114)</f>
        <v>-6.6351005344732442E-2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1">
        <f>+D112-D114</f>
        <v>-11648.199999999992</v>
      </c>
      <c r="E116" s="14"/>
      <c r="F116" s="32">
        <f>IF(D$12=0,0,D116/D$12)</f>
        <v>-0.13785401855671631</v>
      </c>
      <c r="G116" s="14"/>
      <c r="H116" s="31">
        <f>+H112-H114</f>
        <v>-2130.1861123169219</v>
      </c>
      <c r="I116" s="14"/>
      <c r="J116" s="32">
        <f>IF(H$12=0,0,H116/H$12)</f>
        <v>-1.5205948449320945E-2</v>
      </c>
      <c r="K116" s="16"/>
      <c r="L116" s="31">
        <f>D116-H116</f>
        <v>-9518.0138876830697</v>
      </c>
      <c r="M116" s="16"/>
      <c r="N116" s="32">
        <f>IF(H116=0,0,L116/H116)</f>
        <v>4.4681607079536771</v>
      </c>
      <c r="O116" s="28"/>
      <c r="P116" s="31">
        <f>+P112-P114</f>
        <v>-115879.78999999983</v>
      </c>
      <c r="Q116" s="14"/>
      <c r="R116" s="32">
        <f>IF(P$12=0,0,P116/P$12)</f>
        <v>-7.3184997407068672E-2</v>
      </c>
      <c r="S116" s="14"/>
      <c r="T116" s="31">
        <f>+T112-T114</f>
        <v>41869.22749284</v>
      </c>
      <c r="U116" s="14"/>
      <c r="V116" s="32">
        <f>IF(T$12=0,0,T116/T$12)</f>
        <v>2.944437743566879E-2</v>
      </c>
      <c r="W116" s="16"/>
      <c r="X116" s="31">
        <f>P116-T116</f>
        <v>-157749.01749283983</v>
      </c>
      <c r="Y116" s="16"/>
      <c r="Z116" s="32">
        <f>IF(T116=0,0,X116/T116)</f>
        <v>-3.7676600916464551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5">
        <f>SUM(D116:D118)</f>
        <v>-11648.199999999992</v>
      </c>
      <c r="E119" s="14"/>
      <c r="F119" s="34">
        <f>IF(D$12=0,0,D119/D$12)</f>
        <v>-0.13785401855671631</v>
      </c>
      <c r="G119" s="14"/>
      <c r="H119" s="35">
        <f>SUM(H116:H118)</f>
        <v>-2130.1861123169219</v>
      </c>
      <c r="I119" s="14"/>
      <c r="J119" s="34">
        <f>IF(H$12=0,0,H119/H$12)</f>
        <v>-1.5205948449320945E-2</v>
      </c>
      <c r="K119" s="16"/>
      <c r="L119" s="35">
        <f>+D119-H119</f>
        <v>-9518.0138876830697</v>
      </c>
      <c r="M119" s="16"/>
      <c r="N119" s="34">
        <f>IF(H119=0,0,L119/H119)</f>
        <v>4.4681607079536771</v>
      </c>
      <c r="O119" s="28"/>
      <c r="P119" s="35">
        <f>SUM(P116:P118)</f>
        <v>-115879.78999999983</v>
      </c>
      <c r="Q119" s="14"/>
      <c r="R119" s="34">
        <f>IF(P$12=0,0,P119/P$12)</f>
        <v>-7.3184997407068672E-2</v>
      </c>
      <c r="S119" s="14"/>
      <c r="T119" s="35">
        <f>SUM(T116:T118)</f>
        <v>41869.22749284</v>
      </c>
      <c r="U119" s="14"/>
      <c r="V119" s="34">
        <f>IF(T$12=0,0,T119/T$12)</f>
        <v>2.944437743566879E-2</v>
      </c>
      <c r="W119" s="16"/>
      <c r="X119" s="35">
        <f>+P119-T119</f>
        <v>-157749.01749283983</v>
      </c>
      <c r="Y119" s="16"/>
      <c r="Z119" s="34">
        <f>IF(T119=0,0,X119/T119)</f>
        <v>-3.7676600916464551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63">
        <v>43847.445639502315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A122" s="9"/>
      <c r="B122" s="55" t="s">
        <v>314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6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84496.63</v>
      </c>
      <c r="E12" s="4"/>
      <c r="F12" s="12"/>
      <c r="G12" s="4"/>
      <c r="H12" s="4">
        <f>SUM(OSRRefH13x_0)</f>
        <v>140089</v>
      </c>
      <c r="I12" s="4"/>
      <c r="J12" s="12"/>
      <c r="K12" s="4"/>
      <c r="L12" s="4">
        <f t="shared" ref="L12:L38" si="0">+D12-H12</f>
        <v>-55592.369999999995</v>
      </c>
      <c r="M12" s="4"/>
      <c r="N12" s="12">
        <f t="shared" ref="N12:N38" si="1">IF(H12=0,0,L12/H12)</f>
        <v>-0.39683608277594956</v>
      </c>
      <c r="O12" s="10"/>
      <c r="P12" s="4">
        <f>SUM(OSRRefP13x_0)</f>
        <v>1583381.76</v>
      </c>
      <c r="Q12" s="4"/>
      <c r="R12" s="12"/>
      <c r="S12" s="4"/>
      <c r="T12" s="4">
        <f>SUM(OSRRefT13x_0)</f>
        <v>1421977</v>
      </c>
      <c r="U12" s="4"/>
      <c r="V12" s="12"/>
      <c r="W12" s="4"/>
      <c r="X12" s="4">
        <f t="shared" ref="X12:X38" si="2">+P12-T12</f>
        <v>161404.76</v>
      </c>
      <c r="Y12" s="4"/>
      <c r="Z12" s="12">
        <f t="shared" ref="Z12:Z38" si="3">IF(T12=0,0,X12/T12)</f>
        <v>0.11350729301528788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123279</v>
      </c>
      <c r="I13" s="2"/>
      <c r="J13" s="19"/>
      <c r="K13" s="2"/>
      <c r="L13" s="2">
        <f t="shared" si="0"/>
        <v>-123279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1251339</v>
      </c>
      <c r="U13" s="2"/>
      <c r="V13" s="19"/>
      <c r="W13" s="2"/>
      <c r="X13" s="2">
        <f t="shared" si="2"/>
        <v>-1251339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--14554.47</f>
        <v>14554.47</v>
      </c>
      <c r="E14" s="2"/>
      <c r="F14" s="19"/>
      <c r="G14" s="2"/>
      <c r="H14" s="2"/>
      <c r="I14" s="2"/>
      <c r="J14" s="19"/>
      <c r="K14" s="2"/>
      <c r="L14" s="2">
        <f t="shared" si="0"/>
        <v>14554.47</v>
      </c>
      <c r="M14" s="2"/>
      <c r="N14" s="19">
        <f t="shared" si="1"/>
        <v>0</v>
      </c>
      <c r="O14" s="11"/>
      <c r="P14" s="2">
        <f>--244135.05</f>
        <v>244135.05</v>
      </c>
      <c r="Q14" s="2"/>
      <c r="R14" s="19"/>
      <c r="S14" s="2"/>
      <c r="T14" s="2"/>
      <c r="U14" s="2"/>
      <c r="V14" s="19"/>
      <c r="W14" s="2"/>
      <c r="X14" s="2">
        <f t="shared" si="2"/>
        <v>244135.05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--59566.42</f>
        <v>59566.42</v>
      </c>
      <c r="E15" s="2"/>
      <c r="F15" s="19"/>
      <c r="G15" s="2"/>
      <c r="H15" s="2"/>
      <c r="I15" s="2"/>
      <c r="J15" s="19"/>
      <c r="K15" s="2"/>
      <c r="L15" s="2">
        <f t="shared" si="0"/>
        <v>59566.42</v>
      </c>
      <c r="M15" s="2"/>
      <c r="N15" s="19">
        <f t="shared" si="1"/>
        <v>0</v>
      </c>
      <c r="O15" s="11"/>
      <c r="P15" s="2">
        <f>--1342335.26</f>
        <v>1342335.26</v>
      </c>
      <c r="Q15" s="2"/>
      <c r="R15" s="19"/>
      <c r="S15" s="2"/>
      <c r="T15" s="2"/>
      <c r="U15" s="2"/>
      <c r="V15" s="19"/>
      <c r="W15" s="2"/>
      <c r="X15" s="2">
        <f t="shared" si="2"/>
        <v>1342335.26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--6927.18</f>
        <v>6927.18</v>
      </c>
      <c r="E16" s="2"/>
      <c r="F16" s="19"/>
      <c r="G16" s="2"/>
      <c r="H16" s="2"/>
      <c r="I16" s="2"/>
      <c r="J16" s="19"/>
      <c r="K16" s="2"/>
      <c r="L16" s="2">
        <f t="shared" si="0"/>
        <v>6927.18</v>
      </c>
      <c r="M16" s="2"/>
      <c r="N16" s="19">
        <f t="shared" si="1"/>
        <v>0</v>
      </c>
      <c r="O16" s="11"/>
      <c r="P16" s="2">
        <f>--70431.2</f>
        <v>70431.199999999997</v>
      </c>
      <c r="Q16" s="2"/>
      <c r="R16" s="19"/>
      <c r="S16" s="2"/>
      <c r="T16" s="2"/>
      <c r="U16" s="2"/>
      <c r="V16" s="19"/>
      <c r="W16" s="2"/>
      <c r="X16" s="2">
        <f t="shared" si="2"/>
        <v>70431.199999999997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--2710.56</f>
        <v>2710.56</v>
      </c>
      <c r="E19" s="2"/>
      <c r="F19" s="19"/>
      <c r="G19" s="2"/>
      <c r="H19" s="2"/>
      <c r="I19" s="2"/>
      <c r="J19" s="19"/>
      <c r="K19" s="2"/>
      <c r="L19" s="2">
        <f t="shared" si="0"/>
        <v>2710.56</v>
      </c>
      <c r="M19" s="2"/>
      <c r="N19" s="19">
        <f t="shared" si="1"/>
        <v>0</v>
      </c>
      <c r="O19" s="11"/>
      <c r="P19" s="2">
        <f>--33078.47</f>
        <v>33078.47</v>
      </c>
      <c r="Q19" s="2"/>
      <c r="R19" s="19"/>
      <c r="S19" s="2"/>
      <c r="T19" s="2"/>
      <c r="U19" s="2"/>
      <c r="V19" s="19"/>
      <c r="W19" s="2"/>
      <c r="X19" s="2">
        <f t="shared" si="2"/>
        <v>33078.47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--936.91</f>
        <v>936.91</v>
      </c>
      <c r="Q20" s="2"/>
      <c r="R20" s="19"/>
      <c r="S20" s="2"/>
      <c r="T20" s="2"/>
      <c r="U20" s="2"/>
      <c r="V20" s="19"/>
      <c r="W20" s="2"/>
      <c r="X20" s="2">
        <f t="shared" si="2"/>
        <v>936.91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16810</v>
      </c>
      <c r="I21" s="2"/>
      <c r="J21" s="19"/>
      <c r="K21" s="2"/>
      <c r="L21" s="2">
        <f t="shared" si="0"/>
        <v>-16810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170638</v>
      </c>
      <c r="U21" s="2"/>
      <c r="V21" s="19"/>
      <c r="W21" s="2"/>
      <c r="X21" s="2">
        <f t="shared" si="2"/>
        <v>-170638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--8486</f>
        <v>8486</v>
      </c>
      <c r="E23" s="2"/>
      <c r="F23" s="19"/>
      <c r="G23" s="2"/>
      <c r="H23" s="2"/>
      <c r="I23" s="2"/>
      <c r="J23" s="19"/>
      <c r="K23" s="2"/>
      <c r="L23" s="2">
        <f t="shared" si="0"/>
        <v>8486</v>
      </c>
      <c r="M23" s="2"/>
      <c r="N23" s="19">
        <f t="shared" si="1"/>
        <v>0</v>
      </c>
      <c r="O23" s="11"/>
      <c r="P23" s="2">
        <f>--70795</f>
        <v>70795</v>
      </c>
      <c r="Q23" s="2"/>
      <c r="R23" s="19"/>
      <c r="S23" s="2"/>
      <c r="T23" s="2"/>
      <c r="U23" s="2"/>
      <c r="V23" s="19"/>
      <c r="W23" s="2"/>
      <c r="X23" s="2">
        <f t="shared" si="2"/>
        <v>70795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--266.75</f>
        <v>266.75</v>
      </c>
      <c r="E24" s="2"/>
      <c r="F24" s="19"/>
      <c r="G24" s="2"/>
      <c r="H24" s="2"/>
      <c r="I24" s="2"/>
      <c r="J24" s="19"/>
      <c r="K24" s="2"/>
      <c r="L24" s="2">
        <f t="shared" si="0"/>
        <v>266.75</v>
      </c>
      <c r="M24" s="2"/>
      <c r="N24" s="19">
        <f t="shared" si="1"/>
        <v>0</v>
      </c>
      <c r="O24" s="11"/>
      <c r="P24" s="2">
        <f>--3571.63</f>
        <v>3571.63</v>
      </c>
      <c r="Q24" s="2"/>
      <c r="R24" s="19"/>
      <c r="S24" s="2"/>
      <c r="T24" s="2"/>
      <c r="U24" s="2"/>
      <c r="V24" s="19"/>
      <c r="W24" s="2"/>
      <c r="X24" s="2">
        <f t="shared" si="2"/>
        <v>3571.63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--437.97</f>
        <v>437.97</v>
      </c>
      <c r="E26" s="2"/>
      <c r="F26" s="19"/>
      <c r="G26" s="2"/>
      <c r="H26" s="2"/>
      <c r="I26" s="2"/>
      <c r="J26" s="19"/>
      <c r="K26" s="2"/>
      <c r="L26" s="2">
        <f t="shared" si="0"/>
        <v>437.97</v>
      </c>
      <c r="M26" s="2"/>
      <c r="N26" s="19">
        <f t="shared" si="1"/>
        <v>0</v>
      </c>
      <c r="O26" s="11"/>
      <c r="P26" s="2">
        <f>--9401.84</f>
        <v>9401.84</v>
      </c>
      <c r="Q26" s="2"/>
      <c r="R26" s="19"/>
      <c r="S26" s="2"/>
      <c r="T26" s="2"/>
      <c r="U26" s="2"/>
      <c r="V26" s="19"/>
      <c r="W26" s="2"/>
      <c r="X26" s="2">
        <f t="shared" si="2"/>
        <v>9401.84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--49.99</f>
        <v>49.99</v>
      </c>
      <c r="E27" s="2"/>
      <c r="F27" s="19"/>
      <c r="G27" s="2"/>
      <c r="H27" s="2"/>
      <c r="I27" s="2"/>
      <c r="J27" s="19"/>
      <c r="K27" s="2"/>
      <c r="L27" s="2">
        <f t="shared" si="0"/>
        <v>49.99</v>
      </c>
      <c r="M27" s="2"/>
      <c r="N27" s="19">
        <f t="shared" si="1"/>
        <v>0</v>
      </c>
      <c r="O27" s="11"/>
      <c r="P27" s="2">
        <f>--1653.36</f>
        <v>1653.36</v>
      </c>
      <c r="Q27" s="2"/>
      <c r="R27" s="19"/>
      <c r="S27" s="2"/>
      <c r="T27" s="2"/>
      <c r="U27" s="2"/>
      <c r="V27" s="19"/>
      <c r="W27" s="2"/>
      <c r="X27" s="2">
        <f t="shared" si="2"/>
        <v>1653.36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-804.91</f>
        <v>-804.91</v>
      </c>
      <c r="E29" s="2"/>
      <c r="F29" s="19"/>
      <c r="G29" s="2"/>
      <c r="H29" s="2"/>
      <c r="I29" s="2"/>
      <c r="J29" s="19"/>
      <c r="K29" s="2"/>
      <c r="L29" s="2">
        <f t="shared" si="0"/>
        <v>-804.91</v>
      </c>
      <c r="M29" s="2"/>
      <c r="N29" s="19">
        <f t="shared" si="1"/>
        <v>0</v>
      </c>
      <c r="O29" s="11"/>
      <c r="P29" s="2">
        <f>-5806.99</f>
        <v>-5806.99</v>
      </c>
      <c r="Q29" s="2"/>
      <c r="R29" s="19"/>
      <c r="S29" s="2"/>
      <c r="T29" s="2"/>
      <c r="U29" s="2"/>
      <c r="V29" s="19"/>
      <c r="W29" s="2"/>
      <c r="X29" s="2">
        <f t="shared" si="2"/>
        <v>-5806.99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-7175.99</f>
        <v>-7175.99</v>
      </c>
      <c r="E30" s="2"/>
      <c r="F30" s="19"/>
      <c r="G30" s="2"/>
      <c r="H30" s="2"/>
      <c r="I30" s="2"/>
      <c r="J30" s="19"/>
      <c r="K30" s="2"/>
      <c r="L30" s="2">
        <f t="shared" si="0"/>
        <v>-7175.99</v>
      </c>
      <c r="M30" s="2"/>
      <c r="N30" s="19">
        <f t="shared" si="1"/>
        <v>0</v>
      </c>
      <c r="O30" s="11"/>
      <c r="P30" s="2">
        <f>-187653.58</f>
        <v>-187653.58</v>
      </c>
      <c r="Q30" s="2"/>
      <c r="R30" s="19"/>
      <c r="S30" s="2"/>
      <c r="T30" s="2"/>
      <c r="U30" s="2"/>
      <c r="V30" s="19"/>
      <c r="W30" s="2"/>
      <c r="X30" s="2">
        <f t="shared" si="2"/>
        <v>-187653.58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-325.91</f>
        <v>-325.91000000000003</v>
      </c>
      <c r="E31" s="2"/>
      <c r="F31" s="19"/>
      <c r="G31" s="2"/>
      <c r="H31" s="2"/>
      <c r="I31" s="2"/>
      <c r="J31" s="19"/>
      <c r="K31" s="2"/>
      <c r="L31" s="2">
        <f t="shared" si="0"/>
        <v>-325.91000000000003</v>
      </c>
      <c r="M31" s="2"/>
      <c r="N31" s="19">
        <f t="shared" si="1"/>
        <v>0</v>
      </c>
      <c r="O31" s="11"/>
      <c r="P31" s="2">
        <f>-3282.15</f>
        <v>-3282.15</v>
      </c>
      <c r="Q31" s="2"/>
      <c r="R31" s="19"/>
      <c r="S31" s="2"/>
      <c r="T31" s="2"/>
      <c r="U31" s="2"/>
      <c r="V31" s="19"/>
      <c r="W31" s="2"/>
      <c r="X31" s="2">
        <f t="shared" si="2"/>
        <v>-3282.15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-195.9</f>
        <v>-195.9</v>
      </c>
      <c r="E34" s="2"/>
      <c r="F34" s="19"/>
      <c r="G34" s="2"/>
      <c r="H34" s="2"/>
      <c r="I34" s="2"/>
      <c r="J34" s="19"/>
      <c r="K34" s="2"/>
      <c r="L34" s="2">
        <f t="shared" si="0"/>
        <v>-195.9</v>
      </c>
      <c r="M34" s="2"/>
      <c r="N34" s="19">
        <f t="shared" si="1"/>
        <v>0</v>
      </c>
      <c r="O34" s="11"/>
      <c r="P34" s="2">
        <f>-2987.89</f>
        <v>-2987.89</v>
      </c>
      <c r="Q34" s="2"/>
      <c r="R34" s="19"/>
      <c r="S34" s="2"/>
      <c r="T34" s="2"/>
      <c r="U34" s="2"/>
      <c r="V34" s="19"/>
      <c r="W34" s="2"/>
      <c r="X34" s="2">
        <f t="shared" si="2"/>
        <v>-2987.89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7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7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7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7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70545.789999999994</v>
      </c>
      <c r="E40" s="4"/>
      <c r="F40" s="12">
        <f t="shared" ref="F40:F54" si="8">IF(D$12=0,0,D40/D$12)</f>
        <v>0.83489471710291863</v>
      </c>
      <c r="G40" s="4"/>
      <c r="H40" s="4">
        <f>SUM(OSRRefH16x_0)</f>
        <v>109405</v>
      </c>
      <c r="I40" s="4"/>
      <c r="J40" s="12">
        <f t="shared" ref="J40:J54" si="9">IF(H$12=0,0,H40/H$12)</f>
        <v>0.78096781331867593</v>
      </c>
      <c r="K40" s="4"/>
      <c r="L40" s="4">
        <f t="shared" ref="L40:L54" si="10">+D40-H40</f>
        <v>-38859.210000000006</v>
      </c>
      <c r="M40" s="4"/>
      <c r="N40" s="12">
        <f t="shared" ref="N40:N54" si="11">IF(H40=0,0,L40/H40)</f>
        <v>-0.35518678305379103</v>
      </c>
      <c r="O40" s="10"/>
      <c r="P40" s="4">
        <f>SUM(OSRRefP16x_0)</f>
        <v>1407046.8499999999</v>
      </c>
      <c r="Q40" s="4"/>
      <c r="R40" s="12">
        <f t="shared" ref="R40:R54" si="12">IF(P$12=0,0,P40/P$12)</f>
        <v>0.88863398931663828</v>
      </c>
      <c r="S40" s="4"/>
      <c r="T40" s="4">
        <f>SUM(OSRRefT16x_0)</f>
        <v>1110512</v>
      </c>
      <c r="U40" s="4"/>
      <c r="V40" s="12">
        <f t="shared" ref="V40:V54" si="13">IF(T$12=0,0,T40/T$12)</f>
        <v>0.78096340517462659</v>
      </c>
      <c r="W40" s="4"/>
      <c r="X40" s="4">
        <f t="shared" ref="X40:X54" si="14">+P40-T40</f>
        <v>296534.84999999986</v>
      </c>
      <c r="Y40" s="4"/>
      <c r="Z40" s="12">
        <f t="shared" ref="Z40:Z54" si="15">IF(T40=0,0,X40/T40)</f>
        <v>0.26702534506605952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8"/>
        <v>0</v>
      </c>
      <c r="G41" s="2"/>
      <c r="H41" s="2">
        <v>109405</v>
      </c>
      <c r="I41" s="2"/>
      <c r="J41" s="19">
        <f t="shared" si="9"/>
        <v>0.78096781331867593</v>
      </c>
      <c r="K41" s="2"/>
      <c r="L41" s="2">
        <f t="shared" si="10"/>
        <v>-109405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1110512</v>
      </c>
      <c r="U41" s="2"/>
      <c r="V41" s="19">
        <f t="shared" si="13"/>
        <v>0.78096340517462659</v>
      </c>
      <c r="W41" s="2"/>
      <c r="X41" s="2">
        <f t="shared" si="14"/>
        <v>-1110512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2601.6999999999998</v>
      </c>
      <c r="E42" s="2"/>
      <c r="F42" s="19">
        <f t="shared" si="8"/>
        <v>3.079057709165442E-2</v>
      </c>
      <c r="G42" s="2"/>
      <c r="H42" s="2"/>
      <c r="I42" s="2"/>
      <c r="J42" s="19">
        <f t="shared" si="9"/>
        <v>0</v>
      </c>
      <c r="K42" s="2"/>
      <c r="L42" s="2">
        <f t="shared" si="10"/>
        <v>2601.6999999999998</v>
      </c>
      <c r="M42" s="2"/>
      <c r="N42" s="19">
        <f t="shared" si="11"/>
        <v>0</v>
      </c>
      <c r="O42" s="11"/>
      <c r="P42" s="2">
        <v>187409.43</v>
      </c>
      <c r="Q42" s="2"/>
      <c r="R42" s="19">
        <f t="shared" si="12"/>
        <v>0.11836023044752012</v>
      </c>
      <c r="S42" s="2"/>
      <c r="T42" s="2"/>
      <c r="U42" s="2"/>
      <c r="V42" s="19">
        <f t="shared" si="13"/>
        <v>0</v>
      </c>
      <c r="W42" s="2"/>
      <c r="X42" s="2">
        <f t="shared" si="14"/>
        <v>187409.43</v>
      </c>
      <c r="Y42" s="2"/>
      <c r="Z42" s="19">
        <f t="shared" si="15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49827.72</v>
      </c>
      <c r="E43" s="2"/>
      <c r="F43" s="19">
        <f t="shared" si="8"/>
        <v>0.58970067800337123</v>
      </c>
      <c r="G43" s="2"/>
      <c r="H43" s="2"/>
      <c r="I43" s="2"/>
      <c r="J43" s="19">
        <f t="shared" si="9"/>
        <v>0</v>
      </c>
      <c r="K43" s="2"/>
      <c r="L43" s="2">
        <f t="shared" si="10"/>
        <v>49827.72</v>
      </c>
      <c r="M43" s="2"/>
      <c r="N43" s="19">
        <f t="shared" si="11"/>
        <v>0</v>
      </c>
      <c r="O43" s="11"/>
      <c r="P43" s="2">
        <v>1008177.98</v>
      </c>
      <c r="Q43" s="2"/>
      <c r="R43" s="19">
        <f t="shared" si="12"/>
        <v>0.63672451298163246</v>
      </c>
      <c r="S43" s="2"/>
      <c r="T43" s="2"/>
      <c r="U43" s="2"/>
      <c r="V43" s="19">
        <f t="shared" si="13"/>
        <v>0</v>
      </c>
      <c r="W43" s="2"/>
      <c r="X43" s="2">
        <f t="shared" si="14"/>
        <v>1008177.98</v>
      </c>
      <c r="Y43" s="2"/>
      <c r="Z43" s="19">
        <f t="shared" si="15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5515.26</v>
      </c>
      <c r="E44" s="2"/>
      <c r="F44" s="19">
        <f t="shared" si="8"/>
        <v>6.5271952266025279E-2</v>
      </c>
      <c r="G44" s="2"/>
      <c r="H44" s="2"/>
      <c r="I44" s="2"/>
      <c r="J44" s="19">
        <f t="shared" si="9"/>
        <v>0</v>
      </c>
      <c r="K44" s="2"/>
      <c r="L44" s="2">
        <f t="shared" si="10"/>
        <v>5515.26</v>
      </c>
      <c r="M44" s="2"/>
      <c r="N44" s="19">
        <f t="shared" si="11"/>
        <v>0</v>
      </c>
      <c r="O44" s="11"/>
      <c r="P44" s="2">
        <v>54451.43</v>
      </c>
      <c r="Q44" s="2"/>
      <c r="R44" s="19">
        <f t="shared" si="12"/>
        <v>3.4389325035549229E-2</v>
      </c>
      <c r="S44" s="2"/>
      <c r="T44" s="2"/>
      <c r="U44" s="2"/>
      <c r="V44" s="19">
        <f t="shared" si="13"/>
        <v>0</v>
      </c>
      <c r="W44" s="2"/>
      <c r="X44" s="2">
        <f t="shared" si="14"/>
        <v>54451.43</v>
      </c>
      <c r="Y44" s="2"/>
      <c r="Z44" s="19">
        <f t="shared" si="15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2728</v>
      </c>
      <c r="Q45" s="2"/>
      <c r="R45" s="19">
        <f t="shared" si="12"/>
        <v>1.7228946732340785E-3</v>
      </c>
      <c r="S45" s="2"/>
      <c r="T45" s="2"/>
      <c r="U45" s="2"/>
      <c r="V45" s="19">
        <f t="shared" si="13"/>
        <v>0</v>
      </c>
      <c r="W45" s="2"/>
      <c r="X45" s="2">
        <f t="shared" si="14"/>
        <v>2728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780.26</v>
      </c>
      <c r="E46" s="2"/>
      <c r="F46" s="19">
        <f t="shared" si="8"/>
        <v>9.2342144296168969E-3</v>
      </c>
      <c r="G46" s="2"/>
      <c r="H46" s="2"/>
      <c r="I46" s="2"/>
      <c r="J46" s="19">
        <f t="shared" si="9"/>
        <v>0</v>
      </c>
      <c r="K46" s="2"/>
      <c r="L46" s="2">
        <f t="shared" si="10"/>
        <v>780.26</v>
      </c>
      <c r="M46" s="2"/>
      <c r="N46" s="19">
        <f t="shared" si="11"/>
        <v>0</v>
      </c>
      <c r="O46" s="11"/>
      <c r="P46" s="2">
        <v>7860.66</v>
      </c>
      <c r="Q46" s="2"/>
      <c r="R46" s="19">
        <f t="shared" si="12"/>
        <v>4.9644755286305685E-3</v>
      </c>
      <c r="S46" s="2"/>
      <c r="T46" s="2"/>
      <c r="U46" s="2"/>
      <c r="V46" s="19">
        <f t="shared" si="13"/>
        <v>0</v>
      </c>
      <c r="W46" s="2"/>
      <c r="X46" s="2">
        <f t="shared" si="14"/>
        <v>7860.66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1409.73</v>
      </c>
      <c r="E47" s="2"/>
      <c r="F47" s="19">
        <f t="shared" si="8"/>
        <v>1.6683860646276662E-2</v>
      </c>
      <c r="G47" s="2"/>
      <c r="H47" s="2"/>
      <c r="I47" s="2"/>
      <c r="J47" s="19">
        <f t="shared" si="9"/>
        <v>0</v>
      </c>
      <c r="K47" s="2"/>
      <c r="L47" s="2">
        <f t="shared" si="10"/>
        <v>1409.73</v>
      </c>
      <c r="M47" s="2"/>
      <c r="N47" s="19">
        <f t="shared" si="11"/>
        <v>0</v>
      </c>
      <c r="O47" s="11"/>
      <c r="P47" s="2">
        <v>20604.38</v>
      </c>
      <c r="Q47" s="2"/>
      <c r="R47" s="19">
        <f t="shared" si="12"/>
        <v>1.3012894628772281E-2</v>
      </c>
      <c r="S47" s="2"/>
      <c r="T47" s="2"/>
      <c r="U47" s="2"/>
      <c r="V47" s="19">
        <f t="shared" si="13"/>
        <v>0</v>
      </c>
      <c r="W47" s="2"/>
      <c r="X47" s="2">
        <f t="shared" si="14"/>
        <v>20604.38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88.75</v>
      </c>
      <c r="Q48" s="2"/>
      <c r="R48" s="19">
        <f t="shared" si="12"/>
        <v>5.6050917246893132E-5</v>
      </c>
      <c r="S48" s="2"/>
      <c r="T48" s="2"/>
      <c r="U48" s="2"/>
      <c r="V48" s="19">
        <f t="shared" si="13"/>
        <v>0</v>
      </c>
      <c r="W48" s="2"/>
      <c r="X48" s="2">
        <f t="shared" si="14"/>
        <v>88.75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-60143.000000000007</v>
      </c>
      <c r="E49" s="2"/>
      <c r="F49" s="19">
        <f t="shared" si="8"/>
        <v>-0.71177986625028722</v>
      </c>
      <c r="G49" s="2"/>
      <c r="H49" s="2"/>
      <c r="I49" s="2"/>
      <c r="J49" s="19">
        <f t="shared" si="9"/>
        <v>0</v>
      </c>
      <c r="K49" s="2"/>
      <c r="L49" s="2">
        <f t="shared" si="10"/>
        <v>-60143.000000000007</v>
      </c>
      <c r="M49" s="2"/>
      <c r="N49" s="19">
        <f t="shared" si="11"/>
        <v>0</v>
      </c>
      <c r="O49" s="11"/>
      <c r="P49" s="2">
        <v>-1281641</v>
      </c>
      <c r="Q49" s="2"/>
      <c r="R49" s="19">
        <f t="shared" si="12"/>
        <v>-0.80943271697155339</v>
      </c>
      <c r="S49" s="2"/>
      <c r="T49" s="2"/>
      <c r="U49" s="2"/>
      <c r="V49" s="19">
        <f t="shared" si="13"/>
        <v>0</v>
      </c>
      <c r="W49" s="2"/>
      <c r="X49" s="2">
        <f t="shared" si="14"/>
        <v>-1281641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70546</v>
      </c>
      <c r="E50" s="2"/>
      <c r="F50" s="19">
        <f t="shared" si="8"/>
        <v>0.83489720240913745</v>
      </c>
      <c r="G50" s="2"/>
      <c r="H50" s="2"/>
      <c r="I50" s="2"/>
      <c r="J50" s="19">
        <f t="shared" si="9"/>
        <v>0</v>
      </c>
      <c r="K50" s="2"/>
      <c r="L50" s="2">
        <f t="shared" si="10"/>
        <v>70546</v>
      </c>
      <c r="M50" s="2"/>
      <c r="N50" s="19">
        <f t="shared" si="11"/>
        <v>0</v>
      </c>
      <c r="O50" s="11"/>
      <c r="P50" s="2">
        <v>1407045</v>
      </c>
      <c r="Q50" s="2"/>
      <c r="R50" s="19">
        <f t="shared" si="12"/>
        <v>0.88863282093132112</v>
      </c>
      <c r="S50" s="2"/>
      <c r="T50" s="2"/>
      <c r="U50" s="2"/>
      <c r="V50" s="19">
        <f t="shared" si="13"/>
        <v>0</v>
      </c>
      <c r="W50" s="2"/>
      <c r="X50" s="2">
        <f t="shared" si="14"/>
        <v>1407045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1"/>
      <c r="P51" s="2">
        <v>105.75</v>
      </c>
      <c r="Q51" s="2"/>
      <c r="R51" s="19">
        <f t="shared" si="12"/>
        <v>6.6787430973058574E-5</v>
      </c>
      <c r="S51" s="2"/>
      <c r="T51" s="2"/>
      <c r="U51" s="2"/>
      <c r="V51" s="19">
        <f t="shared" si="13"/>
        <v>0</v>
      </c>
      <c r="W51" s="2"/>
      <c r="X51" s="2">
        <f t="shared" si="14"/>
        <v>105.75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1"/>
      <c r="P52" s="2">
        <v>4.84</v>
      </c>
      <c r="Q52" s="2"/>
      <c r="R52" s="19">
        <f t="shared" si="12"/>
        <v>3.0567486138023972E-6</v>
      </c>
      <c r="S52" s="2"/>
      <c r="T52" s="2"/>
      <c r="U52" s="2"/>
      <c r="V52" s="19">
        <f t="shared" si="13"/>
        <v>0</v>
      </c>
      <c r="W52" s="2"/>
      <c r="X52" s="2">
        <f t="shared" si="14"/>
        <v>4.84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8.1199999999999992</v>
      </c>
      <c r="E53" s="2"/>
      <c r="F53" s="19">
        <f t="shared" si="8"/>
        <v>9.6098507123893565E-5</v>
      </c>
      <c r="G53" s="2"/>
      <c r="H53" s="2"/>
      <c r="I53" s="2"/>
      <c r="J53" s="19">
        <f t="shared" si="9"/>
        <v>0</v>
      </c>
      <c r="K53" s="2"/>
      <c r="L53" s="2">
        <f t="shared" si="10"/>
        <v>8.1199999999999992</v>
      </c>
      <c r="M53" s="2"/>
      <c r="N53" s="19">
        <f t="shared" si="11"/>
        <v>0</v>
      </c>
      <c r="O53" s="11"/>
      <c r="P53" s="2">
        <v>49.12</v>
      </c>
      <c r="Q53" s="2"/>
      <c r="R53" s="19">
        <f t="shared" si="12"/>
        <v>3.1022209072308621E-5</v>
      </c>
      <c r="S53" s="2"/>
      <c r="T53" s="2"/>
      <c r="U53" s="2"/>
      <c r="V53" s="19">
        <f t="shared" si="13"/>
        <v>0</v>
      </c>
      <c r="W53" s="2"/>
      <c r="X53" s="2">
        <f t="shared" si="14"/>
        <v>49.12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1"/>
      <c r="P54" s="2">
        <v>162.51</v>
      </c>
      <c r="Q54" s="2"/>
      <c r="R54" s="19">
        <f t="shared" si="12"/>
        <v>1.0263475562583214E-4</v>
      </c>
      <c r="S54" s="2"/>
      <c r="T54" s="2"/>
      <c r="U54" s="2"/>
      <c r="V54" s="19">
        <f t="shared" si="13"/>
        <v>0</v>
      </c>
      <c r="W54" s="2"/>
      <c r="X54" s="2">
        <f t="shared" si="14"/>
        <v>162.51</v>
      </c>
      <c r="Y54" s="2"/>
      <c r="Z54" s="19">
        <f t="shared" si="15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13950.840000000011</v>
      </c>
      <c r="E56" s="14"/>
      <c r="F56" s="20">
        <f>IF(D$12=0,0,D56/D$12)</f>
        <v>0.16510528289708135</v>
      </c>
      <c r="G56" s="14"/>
      <c r="H56" s="22">
        <f>H12-H40</f>
        <v>30684</v>
      </c>
      <c r="I56" s="14"/>
      <c r="J56" s="20">
        <f>IF(H$12=0,0,H56/H$12)</f>
        <v>0.21903218668132401</v>
      </c>
      <c r="K56" s="16"/>
      <c r="L56" s="22">
        <f>+D56-H56</f>
        <v>-16733.159999999989</v>
      </c>
      <c r="M56" s="16"/>
      <c r="N56" s="20">
        <f>IF(H56=0,0,L56/H56)</f>
        <v>-0.54533828705514242</v>
      </c>
      <c r="O56" s="28"/>
      <c r="P56" s="22">
        <f>P12-P40</f>
        <v>176334.91000000015</v>
      </c>
      <c r="Q56" s="14"/>
      <c r="R56" s="20">
        <f>IF(P$12=0,0,P56/P$12)</f>
        <v>0.11136601068336176</v>
      </c>
      <c r="S56" s="14"/>
      <c r="T56" s="22">
        <f>T12-T40</f>
        <v>311465</v>
      </c>
      <c r="U56" s="14"/>
      <c r="V56" s="20">
        <f>IF(T$12=0,0,T56/T$12)</f>
        <v>0.21903659482537341</v>
      </c>
      <c r="W56" s="16"/>
      <c r="X56" s="22">
        <f>+P56-T56</f>
        <v>-135130.08999999985</v>
      </c>
      <c r="Y56" s="16"/>
      <c r="Z56" s="20">
        <f>IF(T56=0,0,X56/T56)</f>
        <v>-0.43385320983095965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13308.350000000002</v>
      </c>
      <c r="E58" s="21"/>
      <c r="F58" s="30">
        <f t="shared" ref="F58:F69" si="16">IF(D$12=0,0,D58/D$12)</f>
        <v>0.15750154769486074</v>
      </c>
      <c r="G58" s="21"/>
      <c r="H58" s="21">
        <f>SUM(OSRRefH22x_0)</f>
        <v>14124.186112316922</v>
      </c>
      <c r="I58" s="21"/>
      <c r="J58" s="30">
        <f t="shared" ref="J58:J69" si="17">IF(H$12=0,0,H58/H$12)</f>
        <v>0.10082294907035472</v>
      </c>
      <c r="K58" s="4"/>
      <c r="L58" s="21">
        <f t="shared" ref="L58:L69" si="18">+D58-H58</f>
        <v>-815.83611231691975</v>
      </c>
      <c r="M58" s="4"/>
      <c r="N58" s="30">
        <f t="shared" ref="N58:N69" si="19">IF(H58=0,0,L58/H58)</f>
        <v>-5.7761637083320092E-2</v>
      </c>
      <c r="O58" s="10"/>
      <c r="P58" s="21">
        <f>SUM(OSRRefP22x_0)</f>
        <v>128433.93999999997</v>
      </c>
      <c r="Q58" s="21"/>
      <c r="R58" s="30">
        <f t="shared" ref="R58:R69" si="20">IF(P$12=0,0,P58/P$12)</f>
        <v>8.1113691747971103E-2</v>
      </c>
      <c r="S58" s="21"/>
      <c r="T58" s="21">
        <f>SUM(OSRRefT22x_0)</f>
        <v>97899.77250716</v>
      </c>
      <c r="U58" s="21"/>
      <c r="V58" s="30">
        <f t="shared" ref="V58:V69" si="21">IF(T$12=0,0,T58/T$12)</f>
        <v>6.8847648384720711E-2</v>
      </c>
      <c r="W58" s="4"/>
      <c r="X58" s="21">
        <f t="shared" ref="X58:X69" si="22">+P58-T58</f>
        <v>30534.167492839973</v>
      </c>
      <c r="Y58" s="4"/>
      <c r="Z58" s="30">
        <f t="shared" ref="Z58:Z69" si="23">IF(T58=0,0,X58/T58)</f>
        <v>0.31189211895877311</v>
      </c>
    </row>
    <row r="59" spans="1:26" s="25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2991.2100000000005</v>
      </c>
      <c r="E59" s="1"/>
      <c r="F59" s="5">
        <f t="shared" si="16"/>
        <v>3.5400346735721892E-2</v>
      </c>
      <c r="G59" s="1"/>
      <c r="H59" s="1">
        <f>SUM(OSRRefH22_0x_0)</f>
        <v>2357.5247215476916</v>
      </c>
      <c r="I59" s="1"/>
      <c r="J59" s="5">
        <f t="shared" si="17"/>
        <v>1.6828764011076469E-2</v>
      </c>
      <c r="K59" s="1"/>
      <c r="L59" s="1">
        <f t="shared" si="18"/>
        <v>633.68527845230892</v>
      </c>
      <c r="M59" s="1"/>
      <c r="N59" s="5">
        <f t="shared" si="19"/>
        <v>0.26879263350260896</v>
      </c>
      <c r="O59" s="13"/>
      <c r="P59" s="1">
        <f>SUM(OSRRefP22_0x_0)</f>
        <v>18221.209999999995</v>
      </c>
      <c r="Q59" s="1"/>
      <c r="R59" s="5">
        <f t="shared" si="20"/>
        <v>1.1507780663079E-2</v>
      </c>
      <c r="S59" s="1"/>
      <c r="T59" s="1">
        <f>SUM(OSRRefT22_0x_0)</f>
        <v>15685.803467159998</v>
      </c>
      <c r="U59" s="1"/>
      <c r="V59" s="5">
        <f t="shared" si="21"/>
        <v>1.1030982545540469E-2</v>
      </c>
      <c r="W59" s="1"/>
      <c r="X59" s="1">
        <f t="shared" si="22"/>
        <v>2535.4065328399975</v>
      </c>
      <c r="Y59" s="1"/>
      <c r="Z59" s="5">
        <f t="shared" si="23"/>
        <v>0.1616370202615478</v>
      </c>
    </row>
    <row r="60" spans="1:26" s="24" customFormat="1" hidden="1" outlineLevel="2" x14ac:dyDescent="0.25">
      <c r="A60" s="26"/>
      <c r="B60" s="11" t="str">
        <f>CONCATENATE("          ", "6111", " - ", "F.I.C.A.")</f>
        <v xml:space="preserve">          6111 - F.I.C.A.</v>
      </c>
      <c r="C60" s="11"/>
      <c r="D60" s="6">
        <v>526</v>
      </c>
      <c r="E60" s="2"/>
      <c r="F60" s="7">
        <f t="shared" si="16"/>
        <v>6.2251003383211852E-3</v>
      </c>
      <c r="G60" s="2"/>
      <c r="H60" s="6">
        <v>368.84942751692296</v>
      </c>
      <c r="I60" s="2"/>
      <c r="J60" s="7">
        <f t="shared" si="17"/>
        <v>2.6329649545426335E-3</v>
      </c>
      <c r="K60" s="2"/>
      <c r="L60" s="6">
        <f t="shared" si="18"/>
        <v>157.15057248307704</v>
      </c>
      <c r="M60" s="2"/>
      <c r="N60" s="7">
        <f t="shared" si="19"/>
        <v>0.42605616481773423</v>
      </c>
      <c r="O60" s="11"/>
      <c r="P60" s="6">
        <v>4227.74</v>
      </c>
      <c r="Q60" s="2"/>
      <c r="R60" s="7">
        <f t="shared" si="20"/>
        <v>2.670069914156394E-3</v>
      </c>
      <c r="S60" s="2"/>
      <c r="T60" s="6">
        <v>3112.43928396</v>
      </c>
      <c r="U60" s="2"/>
      <c r="V60" s="7">
        <f t="shared" si="21"/>
        <v>2.1888112704776517E-3</v>
      </c>
      <c r="W60" s="2"/>
      <c r="X60" s="6">
        <f t="shared" si="22"/>
        <v>1115.3007160399998</v>
      </c>
      <c r="Y60" s="2"/>
      <c r="Z60" s="7">
        <f t="shared" si="23"/>
        <v>0.35833653745077626</v>
      </c>
    </row>
    <row r="61" spans="1:26" s="24" customFormat="1" hidden="1" outlineLevel="2" x14ac:dyDescent="0.25">
      <c r="A61" s="26"/>
      <c r="B61" s="11" t="str">
        <f>CONCATENATE("          ", "6112", " - ", "COMPENSATION INSURANCE")</f>
        <v xml:space="preserve">          6112 - COMPENSATION INSURANCE</v>
      </c>
      <c r="C61" s="11"/>
      <c r="D61" s="6">
        <v>254.69</v>
      </c>
      <c r="E61" s="2"/>
      <c r="F61" s="7">
        <f t="shared" si="16"/>
        <v>3.0142030516483319E-3</v>
      </c>
      <c r="G61" s="2"/>
      <c r="H61" s="6">
        <v>157.60825046153801</v>
      </c>
      <c r="I61" s="2"/>
      <c r="J61" s="7">
        <f t="shared" si="17"/>
        <v>1.125058002138198E-3</v>
      </c>
      <c r="K61" s="2"/>
      <c r="L61" s="6">
        <f t="shared" si="18"/>
        <v>97.081749538461992</v>
      </c>
      <c r="M61" s="2"/>
      <c r="N61" s="7">
        <f t="shared" si="19"/>
        <v>0.6159687024896795</v>
      </c>
      <c r="O61" s="11"/>
      <c r="P61" s="6">
        <v>960.61</v>
      </c>
      <c r="Q61" s="2"/>
      <c r="R61" s="7">
        <f t="shared" si="20"/>
        <v>6.0668249708775224E-4</v>
      </c>
      <c r="S61" s="2"/>
      <c r="T61" s="6">
        <v>1168.9138579999978</v>
      </c>
      <c r="U61" s="2"/>
      <c r="V61" s="7">
        <f t="shared" si="21"/>
        <v>8.2203429310037917E-4</v>
      </c>
      <c r="W61" s="2"/>
      <c r="X61" s="6">
        <f t="shared" si="22"/>
        <v>-208.30385799999783</v>
      </c>
      <c r="Y61" s="2"/>
      <c r="Z61" s="7">
        <f t="shared" si="23"/>
        <v>-0.17820291595858401</v>
      </c>
    </row>
    <row r="62" spans="1:26" s="24" customFormat="1" hidden="1" outlineLevel="2" x14ac:dyDescent="0.25">
      <c r="A62" s="26"/>
      <c r="B62" s="11" t="str">
        <f>CONCATENATE("          ", "6113", " - ", "GROUP INSURANCE")</f>
        <v xml:space="preserve">          6113 - GROUP INSURANCE</v>
      </c>
      <c r="C62" s="11"/>
      <c r="D62" s="6">
        <v>1287.6500000000001</v>
      </c>
      <c r="E62" s="2"/>
      <c r="F62" s="7">
        <f t="shared" si="16"/>
        <v>1.5239069297793296E-2</v>
      </c>
      <c r="G62" s="2"/>
      <c r="H62" s="6">
        <v>1186.2</v>
      </c>
      <c r="I62" s="2"/>
      <c r="J62" s="7">
        <f t="shared" si="17"/>
        <v>8.4674742485134451E-3</v>
      </c>
      <c r="K62" s="2"/>
      <c r="L62" s="6">
        <f t="shared" si="18"/>
        <v>101.45000000000005</v>
      </c>
      <c r="M62" s="2"/>
      <c r="N62" s="7">
        <f t="shared" si="19"/>
        <v>8.5525206541898532E-2</v>
      </c>
      <c r="O62" s="11"/>
      <c r="P62" s="6">
        <v>6434.82</v>
      </c>
      <c r="Q62" s="2"/>
      <c r="R62" s="7">
        <f t="shared" si="20"/>
        <v>4.0639725444355252E-3</v>
      </c>
      <c r="S62" s="2"/>
      <c r="T62" s="6">
        <v>7117.2</v>
      </c>
      <c r="U62" s="2"/>
      <c r="V62" s="7">
        <f t="shared" si="21"/>
        <v>5.0051442463556022E-3</v>
      </c>
      <c r="W62" s="2"/>
      <c r="X62" s="6">
        <f t="shared" si="22"/>
        <v>-682.38000000000011</v>
      </c>
      <c r="Y62" s="2"/>
      <c r="Z62" s="7">
        <f t="shared" si="23"/>
        <v>-9.5877592311583229E-2</v>
      </c>
    </row>
    <row r="63" spans="1:26" s="24" customFormat="1" hidden="1" outlineLevel="2" x14ac:dyDescent="0.25">
      <c r="A63" s="26"/>
      <c r="B63" s="11" t="str">
        <f>CONCATENATE("          ", "6114", " - ", "STATE UNEMPLOYMENT INSURANCE")</f>
        <v xml:space="preserve">          6114 - STATE UNEMPLOYMENT INSURANCE</v>
      </c>
      <c r="C63" s="11"/>
      <c r="D63" s="6">
        <v>34.85</v>
      </c>
      <c r="E63" s="2"/>
      <c r="F63" s="7">
        <f t="shared" si="16"/>
        <v>4.1244248439257283E-4</v>
      </c>
      <c r="G63" s="2"/>
      <c r="H63" s="6">
        <v>21.567444800000001</v>
      </c>
      <c r="I63" s="2"/>
      <c r="J63" s="7">
        <f t="shared" si="17"/>
        <v>1.5395530555575385E-4</v>
      </c>
      <c r="K63" s="2"/>
      <c r="L63" s="6">
        <f t="shared" si="18"/>
        <v>13.282555200000001</v>
      </c>
      <c r="M63" s="2"/>
      <c r="N63" s="7">
        <f t="shared" si="19"/>
        <v>0.61586132818107409</v>
      </c>
      <c r="O63" s="11"/>
      <c r="P63" s="6">
        <v>159.9</v>
      </c>
      <c r="Q63" s="2"/>
      <c r="R63" s="7">
        <f t="shared" si="20"/>
        <v>1.0098638498905028E-4</v>
      </c>
      <c r="S63" s="2"/>
      <c r="T63" s="6">
        <v>159.9566332</v>
      </c>
      <c r="U63" s="2"/>
      <c r="V63" s="7">
        <f t="shared" si="21"/>
        <v>1.1248890326636788E-4</v>
      </c>
      <c r="W63" s="2"/>
      <c r="X63" s="6">
        <f t="shared" si="22"/>
        <v>-5.6633199999993167E-2</v>
      </c>
      <c r="Y63" s="2"/>
      <c r="Z63" s="7">
        <f t="shared" si="23"/>
        <v>-3.5405346353584773E-4</v>
      </c>
    </row>
    <row r="64" spans="1:26" s="24" customFormat="1" hidden="1" outlineLevel="2" x14ac:dyDescent="0.25">
      <c r="A64" s="26"/>
      <c r="B64" s="11" t="str">
        <f>CONCATENATE("          ", "6115", " - ", "P.E.R.S.")</f>
        <v xml:space="preserve">          6115 - P.E.R.S.</v>
      </c>
      <c r="C64" s="11"/>
      <c r="D64" s="6">
        <v>263.31</v>
      </c>
      <c r="E64" s="2"/>
      <c r="F64" s="7">
        <f t="shared" si="16"/>
        <v>3.1162189545310857E-3</v>
      </c>
      <c r="G64" s="2"/>
      <c r="H64" s="6">
        <v>294.022912615385</v>
      </c>
      <c r="I64" s="2"/>
      <c r="J64" s="7">
        <f t="shared" si="17"/>
        <v>2.0988294057019824E-3</v>
      </c>
      <c r="K64" s="2"/>
      <c r="L64" s="6">
        <f t="shared" si="18"/>
        <v>-30.712912615384994</v>
      </c>
      <c r="M64" s="2"/>
      <c r="N64" s="7">
        <f t="shared" si="19"/>
        <v>-0.10445754836651433</v>
      </c>
      <c r="O64" s="11"/>
      <c r="P64" s="6">
        <v>1285.92</v>
      </c>
      <c r="Q64" s="2"/>
      <c r="R64" s="7">
        <f t="shared" si="20"/>
        <v>8.1213516063239233E-4</v>
      </c>
      <c r="S64" s="2"/>
      <c r="T64" s="6">
        <v>1911.1489320000021</v>
      </c>
      <c r="U64" s="2"/>
      <c r="V64" s="7">
        <f t="shared" si="21"/>
        <v>1.3440083292486462E-3</v>
      </c>
      <c r="W64" s="2"/>
      <c r="X64" s="6">
        <f t="shared" si="22"/>
        <v>-625.22893200000203</v>
      </c>
      <c r="Y64" s="2"/>
      <c r="Z64" s="7">
        <f t="shared" si="23"/>
        <v>-0.32714819945806367</v>
      </c>
    </row>
    <row r="65" spans="1:26" s="24" customFormat="1" hidden="1" outlineLevel="2" x14ac:dyDescent="0.25">
      <c r="A65" s="26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6"/>
        <v>0</v>
      </c>
      <c r="G65" s="2"/>
      <c r="H65" s="6">
        <v>0</v>
      </c>
      <c r="I65" s="2"/>
      <c r="J65" s="7">
        <f t="shared" si="17"/>
        <v>0</v>
      </c>
      <c r="K65" s="2"/>
      <c r="L65" s="6">
        <f t="shared" si="18"/>
        <v>0</v>
      </c>
      <c r="M65" s="2"/>
      <c r="N65" s="7">
        <f t="shared" si="19"/>
        <v>0</v>
      </c>
      <c r="O65" s="11"/>
      <c r="P65" s="6"/>
      <c r="Q65" s="2"/>
      <c r="R65" s="7">
        <f t="shared" si="20"/>
        <v>0</v>
      </c>
      <c r="S65" s="2"/>
      <c r="T65" s="6">
        <v>0</v>
      </c>
      <c r="U65" s="2"/>
      <c r="V65" s="7">
        <f t="shared" si="21"/>
        <v>0</v>
      </c>
      <c r="W65" s="2"/>
      <c r="X65" s="6">
        <f t="shared" si="22"/>
        <v>0</v>
      </c>
      <c r="Y65" s="2"/>
      <c r="Z65" s="7">
        <f t="shared" si="23"/>
        <v>0</v>
      </c>
    </row>
    <row r="66" spans="1:26" s="24" customFormat="1" hidden="1" outlineLevel="2" x14ac:dyDescent="0.25">
      <c r="A66" s="26"/>
      <c r="B66" s="11" t="str">
        <f>CONCATENATE("          ", "6117", " - ", "RETIREMENT STAFF HOURLY")</f>
        <v xml:space="preserve">          6117 - RETIREMENT STAFF HOURLY</v>
      </c>
      <c r="C66" s="11"/>
      <c r="D66" s="6">
        <v>159.55000000000001</v>
      </c>
      <c r="E66" s="2"/>
      <c r="F66" s="7">
        <f t="shared" si="16"/>
        <v>1.888240986652367E-3</v>
      </c>
      <c r="G66" s="2"/>
      <c r="H66" s="6"/>
      <c r="I66" s="2"/>
      <c r="J66" s="7">
        <f t="shared" si="17"/>
        <v>0</v>
      </c>
      <c r="K66" s="2"/>
      <c r="L66" s="6">
        <f t="shared" si="18"/>
        <v>159.55000000000001</v>
      </c>
      <c r="M66" s="2"/>
      <c r="N66" s="7">
        <f t="shared" si="19"/>
        <v>0</v>
      </c>
      <c r="O66" s="11"/>
      <c r="P66" s="6">
        <v>1032.23</v>
      </c>
      <c r="Q66" s="2"/>
      <c r="R66" s="7">
        <f t="shared" si="20"/>
        <v>6.5191479785645632E-4</v>
      </c>
      <c r="S66" s="2"/>
      <c r="T66" s="6"/>
      <c r="U66" s="2"/>
      <c r="V66" s="7">
        <f t="shared" si="21"/>
        <v>0</v>
      </c>
      <c r="W66" s="2"/>
      <c r="X66" s="6">
        <f t="shared" si="22"/>
        <v>1032.23</v>
      </c>
      <c r="Y66" s="2"/>
      <c r="Z66" s="7">
        <f t="shared" si="23"/>
        <v>0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6">
        <v>125.52</v>
      </c>
      <c r="E67" s="2"/>
      <c r="F67" s="7">
        <f t="shared" si="16"/>
        <v>1.4855030313043252E-3</v>
      </c>
      <c r="G67" s="2"/>
      <c r="H67" s="6">
        <v>170.943553846154</v>
      </c>
      <c r="I67" s="2"/>
      <c r="J67" s="7">
        <f t="shared" si="17"/>
        <v>1.2202496544778962E-3</v>
      </c>
      <c r="K67" s="2"/>
      <c r="L67" s="6">
        <f t="shared" si="18"/>
        <v>-45.423553846154007</v>
      </c>
      <c r="M67" s="2"/>
      <c r="N67" s="7">
        <f t="shared" si="19"/>
        <v>-0.26572253135110524</v>
      </c>
      <c r="O67" s="11"/>
      <c r="P67" s="6">
        <v>1531.09</v>
      </c>
      <c r="Q67" s="2"/>
      <c r="R67" s="7">
        <f t="shared" si="20"/>
        <v>9.6697463535262641E-4</v>
      </c>
      <c r="S67" s="2"/>
      <c r="T67" s="6">
        <v>1111.1331</v>
      </c>
      <c r="U67" s="2"/>
      <c r="V67" s="7">
        <f t="shared" si="21"/>
        <v>7.8140019142363066E-4</v>
      </c>
      <c r="W67" s="2"/>
      <c r="X67" s="6">
        <f t="shared" si="22"/>
        <v>419.95689999999991</v>
      </c>
      <c r="Y67" s="2"/>
      <c r="Z67" s="7">
        <f t="shared" si="23"/>
        <v>0.37795373029567736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6">
        <v>173.86</v>
      </c>
      <c r="E68" s="2"/>
      <c r="F68" s="7">
        <f t="shared" si="16"/>
        <v>2.0575968532709531E-3</v>
      </c>
      <c r="G68" s="2"/>
      <c r="H68" s="6">
        <v>158.33313230769201</v>
      </c>
      <c r="I68" s="2"/>
      <c r="J68" s="7">
        <f t="shared" si="17"/>
        <v>1.1302324401465641E-3</v>
      </c>
      <c r="K68" s="2"/>
      <c r="L68" s="6">
        <f t="shared" si="18"/>
        <v>15.526867692308002</v>
      </c>
      <c r="M68" s="2"/>
      <c r="N68" s="7">
        <f t="shared" si="19"/>
        <v>9.8064552036615571E-2</v>
      </c>
      <c r="O68" s="11"/>
      <c r="P68" s="6">
        <v>1628.12</v>
      </c>
      <c r="Q68" s="2"/>
      <c r="R68" s="7">
        <f t="shared" si="20"/>
        <v>1.0282548663437931E-3</v>
      </c>
      <c r="S68" s="2"/>
      <c r="T68" s="6">
        <v>1105.0116599999978</v>
      </c>
      <c r="U68" s="2"/>
      <c r="V68" s="7">
        <f t="shared" si="21"/>
        <v>7.7709531166819006E-4</v>
      </c>
      <c r="W68" s="2"/>
      <c r="X68" s="6">
        <f t="shared" si="22"/>
        <v>523.10834000000204</v>
      </c>
      <c r="Y68" s="2"/>
      <c r="Z68" s="7">
        <f t="shared" si="23"/>
        <v>0.47339621737566379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6">
        <v>165.78</v>
      </c>
      <c r="E69" s="2"/>
      <c r="F69" s="7">
        <f t="shared" si="16"/>
        <v>1.9619717378077683E-3</v>
      </c>
      <c r="G69" s="2"/>
      <c r="H69" s="6"/>
      <c r="I69" s="2"/>
      <c r="J69" s="7">
        <f t="shared" si="17"/>
        <v>0</v>
      </c>
      <c r="K69" s="2"/>
      <c r="L69" s="6">
        <f t="shared" si="18"/>
        <v>165.78</v>
      </c>
      <c r="M69" s="2"/>
      <c r="N69" s="7">
        <f t="shared" si="19"/>
        <v>0</v>
      </c>
      <c r="O69" s="11"/>
      <c r="P69" s="6">
        <v>960.78</v>
      </c>
      <c r="Q69" s="2"/>
      <c r="R69" s="7">
        <f t="shared" si="20"/>
        <v>6.0678986222501387E-4</v>
      </c>
      <c r="S69" s="2"/>
      <c r="T69" s="6"/>
      <c r="U69" s="2"/>
      <c r="V69" s="7">
        <f t="shared" si="21"/>
        <v>0</v>
      </c>
      <c r="W69" s="2"/>
      <c r="X69" s="6">
        <f t="shared" si="22"/>
        <v>960.78</v>
      </c>
      <c r="Y69" s="2"/>
      <c r="Z69" s="7">
        <f t="shared" si="23"/>
        <v>0</v>
      </c>
    </row>
    <row r="70" spans="1:26" s="25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8569.36</v>
      </c>
      <c r="E70" s="1"/>
      <c r="F70" s="5">
        <f t="shared" ref="F70:F80" si="24">IF(D$12=0,0,D70/D$12)</f>
        <v>0.10141658904029664</v>
      </c>
      <c r="G70" s="1"/>
      <c r="H70" s="1">
        <f>SUM(OSRRefH22_1x_0)</f>
        <v>8021.6613907692299</v>
      </c>
      <c r="I70" s="1"/>
      <c r="J70" s="5">
        <f t="shared" ref="J70:J80" si="25">IF(H$12=0,0,H70/H$12)</f>
        <v>5.7261179612740687E-2</v>
      </c>
      <c r="K70" s="1"/>
      <c r="L70" s="1">
        <f t="shared" ref="L70:L80" si="26">+D70-H70</f>
        <v>547.69860923077067</v>
      </c>
      <c r="M70" s="1"/>
      <c r="N70" s="5">
        <f t="shared" ref="N70:N80" si="27">IF(H70=0,0,L70/H70)</f>
        <v>6.8277453079860009E-2</v>
      </c>
      <c r="O70" s="13"/>
      <c r="P70" s="1">
        <f>SUM(OSRRefP22_1x_0)</f>
        <v>57288.5</v>
      </c>
      <c r="Q70" s="1"/>
      <c r="R70" s="5">
        <f t="shared" ref="R70:R80" si="28">IF(P$12=0,0,P70/P$12)</f>
        <v>3.6181103917731119E-2</v>
      </c>
      <c r="S70" s="1"/>
      <c r="T70" s="1">
        <f>SUM(OSRRefT22_1x_0)</f>
        <v>59743.969039999996</v>
      </c>
      <c r="U70" s="1"/>
      <c r="V70" s="5">
        <f t="shared" ref="V70:V80" si="29">IF(T$12=0,0,T70/T$12)</f>
        <v>4.2014722488479067E-2</v>
      </c>
      <c r="W70" s="1"/>
      <c r="X70" s="1">
        <f t="shared" ref="X70:X80" si="30">+P70-T70</f>
        <v>-2455.4690399999963</v>
      </c>
      <c r="Y70" s="1"/>
      <c r="Z70" s="5">
        <f t="shared" ref="Z70:Z80" si="31">IF(T70=0,0,X70/T70)</f>
        <v>-4.1099864629951216E-2</v>
      </c>
    </row>
    <row r="71" spans="1:26" s="24" customFormat="1" hidden="1" outlineLevel="2" x14ac:dyDescent="0.25">
      <c r="A71" s="26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4"/>
        <v>0</v>
      </c>
      <c r="G71" s="2"/>
      <c r="H71" s="6">
        <v>3145.3613907692297</v>
      </c>
      <c r="I71" s="2"/>
      <c r="J71" s="7">
        <f t="shared" si="25"/>
        <v>2.2452593642393263E-2</v>
      </c>
      <c r="K71" s="2"/>
      <c r="L71" s="6">
        <f t="shared" si="26"/>
        <v>-3145.3613907692297</v>
      </c>
      <c r="M71" s="2"/>
      <c r="N71" s="7">
        <f t="shared" si="27"/>
        <v>-1</v>
      </c>
      <c r="O71" s="11"/>
      <c r="P71" s="6"/>
      <c r="Q71" s="2"/>
      <c r="R71" s="7">
        <f t="shared" si="28"/>
        <v>0</v>
      </c>
      <c r="S71" s="2"/>
      <c r="T71" s="6">
        <v>20444.849039999997</v>
      </c>
      <c r="U71" s="2"/>
      <c r="V71" s="7">
        <f t="shared" si="29"/>
        <v>1.4377763522194801E-2</v>
      </c>
      <c r="W71" s="2"/>
      <c r="X71" s="6">
        <f t="shared" si="30"/>
        <v>-20444.849039999997</v>
      </c>
      <c r="Y71" s="2"/>
      <c r="Z71" s="7">
        <f t="shared" si="31"/>
        <v>-1</v>
      </c>
    </row>
    <row r="72" spans="1:26" s="24" customFormat="1" hidden="1" outlineLevel="2" x14ac:dyDescent="0.25">
      <c r="A72" s="26"/>
      <c r="B72" s="11" t="str">
        <f>CONCATENATE("          ", "6002", " - ", "STAFF SALARIES")</f>
        <v xml:space="preserve">          6002 - STAFF SALARIES</v>
      </c>
      <c r="C72" s="11"/>
      <c r="D72" s="6">
        <v>3721.56</v>
      </c>
      <c r="E72" s="2"/>
      <c r="F72" s="7">
        <f t="shared" si="24"/>
        <v>4.4043886720689332E-2</v>
      </c>
      <c r="G72" s="2"/>
      <c r="H72" s="6">
        <v>0</v>
      </c>
      <c r="I72" s="2"/>
      <c r="J72" s="7">
        <f t="shared" si="25"/>
        <v>0</v>
      </c>
      <c r="K72" s="2"/>
      <c r="L72" s="6">
        <f t="shared" si="26"/>
        <v>3721.56</v>
      </c>
      <c r="M72" s="2"/>
      <c r="N72" s="7">
        <f t="shared" si="27"/>
        <v>0</v>
      </c>
      <c r="O72" s="11"/>
      <c r="P72" s="6">
        <v>18778.14</v>
      </c>
      <c r="Q72" s="2"/>
      <c r="R72" s="7">
        <f t="shared" si="28"/>
        <v>1.1859515168344492E-2</v>
      </c>
      <c r="S72" s="2"/>
      <c r="T72" s="6">
        <v>0</v>
      </c>
      <c r="U72" s="2"/>
      <c r="V72" s="7">
        <f t="shared" si="29"/>
        <v>0</v>
      </c>
      <c r="W72" s="2"/>
      <c r="X72" s="6">
        <f t="shared" si="30"/>
        <v>18778.14</v>
      </c>
      <c r="Y72" s="2"/>
      <c r="Z72" s="7">
        <f t="shared" si="31"/>
        <v>0</v>
      </c>
    </row>
    <row r="73" spans="1:26" s="24" customFormat="1" hidden="1" outlineLevel="2" x14ac:dyDescent="0.25">
      <c r="A73" s="26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4"/>
        <v>0</v>
      </c>
      <c r="G73" s="2"/>
      <c r="H73" s="6">
        <v>0</v>
      </c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1"/>
      <c r="P73" s="6"/>
      <c r="Q73" s="2"/>
      <c r="R73" s="7">
        <f t="shared" si="28"/>
        <v>0</v>
      </c>
      <c r="S73" s="2"/>
      <c r="T73" s="6">
        <v>0</v>
      </c>
      <c r="U73" s="2"/>
      <c r="V73" s="7">
        <f t="shared" si="29"/>
        <v>0</v>
      </c>
      <c r="W73" s="2"/>
      <c r="X73" s="6">
        <f t="shared" si="30"/>
        <v>0</v>
      </c>
      <c r="Y73" s="2"/>
      <c r="Z73" s="7">
        <f t="shared" si="31"/>
        <v>0</v>
      </c>
    </row>
    <row r="74" spans="1:26" s="24" customFormat="1" hidden="1" outlineLevel="2" x14ac:dyDescent="0.25">
      <c r="A74" s="26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4"/>
        <v>0</v>
      </c>
      <c r="G74" s="2"/>
      <c r="H74" s="6">
        <v>1400.8</v>
      </c>
      <c r="I74" s="2"/>
      <c r="J74" s="7">
        <f t="shared" si="25"/>
        <v>9.9993575512709772E-3</v>
      </c>
      <c r="K74" s="2"/>
      <c r="L74" s="6">
        <f t="shared" si="26"/>
        <v>-1400.8</v>
      </c>
      <c r="M74" s="2"/>
      <c r="N74" s="7">
        <f t="shared" si="27"/>
        <v>-1</v>
      </c>
      <c r="O74" s="11"/>
      <c r="P74" s="6"/>
      <c r="Q74" s="2"/>
      <c r="R74" s="7">
        <f t="shared" si="28"/>
        <v>0</v>
      </c>
      <c r="S74" s="2"/>
      <c r="T74" s="6">
        <v>9068.1200000000008</v>
      </c>
      <c r="U74" s="2"/>
      <c r="V74" s="7">
        <f t="shared" si="29"/>
        <v>6.3771214302341039E-3</v>
      </c>
      <c r="W74" s="2"/>
      <c r="X74" s="6">
        <f t="shared" si="30"/>
        <v>-9068.1200000000008</v>
      </c>
      <c r="Y74" s="2"/>
      <c r="Z74" s="7">
        <f t="shared" si="31"/>
        <v>-1</v>
      </c>
    </row>
    <row r="75" spans="1:26" s="24" customFormat="1" hidden="1" outlineLevel="2" x14ac:dyDescent="0.25">
      <c r="A75" s="26"/>
      <c r="B75" s="11" t="str">
        <f>CONCATENATE("          ", "6005", " - ", "TEMPORARY WAGES-HOURLY")</f>
        <v xml:space="preserve">          6005 - TEMPORARY WAGES-HOURLY</v>
      </c>
      <c r="C75" s="11"/>
      <c r="D75" s="6">
        <v>2457.04</v>
      </c>
      <c r="E75" s="2"/>
      <c r="F75" s="7">
        <f t="shared" si="24"/>
        <v>2.9078556150700919E-2</v>
      </c>
      <c r="G75" s="2"/>
      <c r="H75" s="6">
        <v>0</v>
      </c>
      <c r="I75" s="2"/>
      <c r="J75" s="7">
        <f t="shared" si="25"/>
        <v>0</v>
      </c>
      <c r="K75" s="2"/>
      <c r="L75" s="6">
        <f t="shared" si="26"/>
        <v>2457.04</v>
      </c>
      <c r="M75" s="2"/>
      <c r="N75" s="7">
        <f t="shared" si="27"/>
        <v>0</v>
      </c>
      <c r="O75" s="11"/>
      <c r="P75" s="6">
        <v>19659.289999999997</v>
      </c>
      <c r="Q75" s="2"/>
      <c r="R75" s="7">
        <f t="shared" si="28"/>
        <v>1.2416013937156885E-2</v>
      </c>
      <c r="S75" s="2"/>
      <c r="T75" s="6">
        <v>0</v>
      </c>
      <c r="U75" s="2"/>
      <c r="V75" s="7">
        <f t="shared" si="29"/>
        <v>0</v>
      </c>
      <c r="W75" s="2"/>
      <c r="X75" s="6">
        <f t="shared" si="30"/>
        <v>19659.289999999997</v>
      </c>
      <c r="Y75" s="2"/>
      <c r="Z75" s="7">
        <f t="shared" si="31"/>
        <v>0</v>
      </c>
    </row>
    <row r="76" spans="1:26" s="24" customFormat="1" hidden="1" outlineLevel="2" x14ac:dyDescent="0.25">
      <c r="A76" s="26"/>
      <c r="B76" s="11" t="str">
        <f>CONCATENATE("          ", "6006", " - ", "TEMPORARY PART TIME")</f>
        <v xml:space="preserve">          6006 - TEMPORARY PART TIME</v>
      </c>
      <c r="C76" s="11"/>
      <c r="D76" s="6">
        <v>641</v>
      </c>
      <c r="E76" s="2"/>
      <c r="F76" s="7">
        <f t="shared" si="24"/>
        <v>7.5861013628590861E-3</v>
      </c>
      <c r="G76" s="2"/>
      <c r="H76" s="6">
        <v>0</v>
      </c>
      <c r="I76" s="2"/>
      <c r="J76" s="7">
        <f t="shared" si="25"/>
        <v>0</v>
      </c>
      <c r="K76" s="2"/>
      <c r="L76" s="6">
        <f t="shared" si="26"/>
        <v>641</v>
      </c>
      <c r="M76" s="2"/>
      <c r="N76" s="7">
        <f t="shared" si="27"/>
        <v>0</v>
      </c>
      <c r="O76" s="11"/>
      <c r="P76" s="6">
        <v>8242.16</v>
      </c>
      <c r="Q76" s="2"/>
      <c r="R76" s="7">
        <f t="shared" si="28"/>
        <v>5.2054155278383404E-3</v>
      </c>
      <c r="S76" s="2"/>
      <c r="T76" s="6">
        <v>0</v>
      </c>
      <c r="U76" s="2"/>
      <c r="V76" s="7">
        <f t="shared" si="29"/>
        <v>0</v>
      </c>
      <c r="W76" s="2"/>
      <c r="X76" s="6">
        <f t="shared" si="30"/>
        <v>8242.16</v>
      </c>
      <c r="Y76" s="2"/>
      <c r="Z76" s="7">
        <f t="shared" si="31"/>
        <v>0</v>
      </c>
    </row>
    <row r="77" spans="1:26" s="24" customFormat="1" hidden="1" outlineLevel="2" x14ac:dyDescent="0.25">
      <c r="A77" s="26"/>
      <c r="B77" s="11" t="str">
        <f>CONCATENATE("          ", "6007", " - ", "STUDENT HOURLY")</f>
        <v xml:space="preserve">          6007 - STUDENT HOURLY</v>
      </c>
      <c r="C77" s="11"/>
      <c r="D77" s="6">
        <v>1749.76</v>
      </c>
      <c r="E77" s="2"/>
      <c r="F77" s="7">
        <f t="shared" si="24"/>
        <v>2.0708044806047293E-2</v>
      </c>
      <c r="G77" s="2"/>
      <c r="H77" s="6">
        <v>0</v>
      </c>
      <c r="I77" s="2"/>
      <c r="J77" s="7">
        <f t="shared" si="25"/>
        <v>0</v>
      </c>
      <c r="K77" s="2"/>
      <c r="L77" s="6">
        <f t="shared" si="26"/>
        <v>1749.76</v>
      </c>
      <c r="M77" s="2"/>
      <c r="N77" s="7">
        <f t="shared" si="27"/>
        <v>0</v>
      </c>
      <c r="O77" s="11"/>
      <c r="P77" s="6">
        <v>10608.91</v>
      </c>
      <c r="Q77" s="2"/>
      <c r="R77" s="7">
        <f t="shared" si="28"/>
        <v>6.7001592843914026E-3</v>
      </c>
      <c r="S77" s="2"/>
      <c r="T77" s="6">
        <v>9378.75</v>
      </c>
      <c r="U77" s="2"/>
      <c r="V77" s="7">
        <f t="shared" si="29"/>
        <v>6.5955708144365202E-3</v>
      </c>
      <c r="W77" s="2"/>
      <c r="X77" s="6">
        <f t="shared" si="30"/>
        <v>1230.1599999999999</v>
      </c>
      <c r="Y77" s="2"/>
      <c r="Z77" s="7">
        <f t="shared" si="31"/>
        <v>0.1311646008263361</v>
      </c>
    </row>
    <row r="78" spans="1:26" s="24" customFormat="1" hidden="1" outlineLevel="2" x14ac:dyDescent="0.25">
      <c r="A78" s="26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4"/>
        <v>0</v>
      </c>
      <c r="G78" s="2"/>
      <c r="H78" s="6">
        <v>3475.5</v>
      </c>
      <c r="I78" s="2"/>
      <c r="J78" s="7">
        <f t="shared" si="25"/>
        <v>2.4809228419076443E-2</v>
      </c>
      <c r="K78" s="2"/>
      <c r="L78" s="6">
        <f t="shared" si="26"/>
        <v>-3475.5</v>
      </c>
      <c r="M78" s="2"/>
      <c r="N78" s="7">
        <f t="shared" si="27"/>
        <v>-1</v>
      </c>
      <c r="O78" s="11"/>
      <c r="P78" s="6"/>
      <c r="Q78" s="2"/>
      <c r="R78" s="7">
        <f t="shared" si="28"/>
        <v>0</v>
      </c>
      <c r="S78" s="2"/>
      <c r="T78" s="6">
        <v>20852.25</v>
      </c>
      <c r="U78" s="2"/>
      <c r="V78" s="7">
        <f t="shared" si="29"/>
        <v>1.4664266721613641E-2</v>
      </c>
      <c r="W78" s="2"/>
      <c r="X78" s="6">
        <f t="shared" si="30"/>
        <v>-20852.25</v>
      </c>
      <c r="Y78" s="2"/>
      <c r="Z78" s="7">
        <f t="shared" si="31"/>
        <v>-1</v>
      </c>
    </row>
    <row r="79" spans="1:26" s="24" customFormat="1" hidden="1" outlineLevel="2" x14ac:dyDescent="0.25">
      <c r="A79" s="26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4"/>
        <v>0</v>
      </c>
      <c r="G79" s="2"/>
      <c r="H79" s="6">
        <v>0</v>
      </c>
      <c r="I79" s="2"/>
      <c r="J79" s="7">
        <f t="shared" si="25"/>
        <v>0</v>
      </c>
      <c r="K79" s="2"/>
      <c r="L79" s="6">
        <f t="shared" si="26"/>
        <v>0</v>
      </c>
      <c r="M79" s="2"/>
      <c r="N79" s="7">
        <f t="shared" si="27"/>
        <v>0</v>
      </c>
      <c r="O79" s="11"/>
      <c r="P79" s="6"/>
      <c r="Q79" s="2"/>
      <c r="R79" s="7">
        <f t="shared" si="28"/>
        <v>0</v>
      </c>
      <c r="S79" s="2"/>
      <c r="T79" s="6">
        <v>0</v>
      </c>
      <c r="U79" s="2"/>
      <c r="V79" s="7">
        <f t="shared" si="29"/>
        <v>0</v>
      </c>
      <c r="W79" s="2"/>
      <c r="X79" s="6">
        <f t="shared" si="30"/>
        <v>0</v>
      </c>
      <c r="Y79" s="2"/>
      <c r="Z79" s="7">
        <f t="shared" si="31"/>
        <v>0</v>
      </c>
    </row>
    <row r="80" spans="1:26" s="24" customFormat="1" hidden="1" outlineLevel="2" x14ac:dyDescent="0.25">
      <c r="A80" s="26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4"/>
        <v>0</v>
      </c>
      <c r="G80" s="2"/>
      <c r="H80" s="6">
        <v>0</v>
      </c>
      <c r="I80" s="2"/>
      <c r="J80" s="7">
        <f t="shared" si="25"/>
        <v>0</v>
      </c>
      <c r="K80" s="2"/>
      <c r="L80" s="6">
        <f t="shared" si="26"/>
        <v>0</v>
      </c>
      <c r="M80" s="2"/>
      <c r="N80" s="7">
        <f t="shared" si="27"/>
        <v>0</v>
      </c>
      <c r="O80" s="11"/>
      <c r="P80" s="6"/>
      <c r="Q80" s="2"/>
      <c r="R80" s="7">
        <f t="shared" si="28"/>
        <v>0</v>
      </c>
      <c r="S80" s="2"/>
      <c r="T80" s="6">
        <v>0</v>
      </c>
      <c r="U80" s="2"/>
      <c r="V80" s="7">
        <f t="shared" si="29"/>
        <v>0</v>
      </c>
      <c r="W80" s="2"/>
      <c r="X80" s="6">
        <f t="shared" si="30"/>
        <v>0</v>
      </c>
      <c r="Y80" s="2"/>
      <c r="Z80" s="7">
        <f t="shared" si="31"/>
        <v>0</v>
      </c>
    </row>
    <row r="81" spans="1:26" s="25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79.67</v>
      </c>
      <c r="E81" s="1"/>
      <c r="F81" s="5">
        <f t="shared" ref="F81:F97" si="32">IF(D$12=0,0,D81/D$12)</f>
        <v>9.4287784021682283E-4</v>
      </c>
      <c r="G81" s="1"/>
      <c r="H81" s="1">
        <f>SUM(OSRRefH22_2x_0)</f>
        <v>250</v>
      </c>
      <c r="I81" s="1"/>
      <c r="J81" s="5">
        <f t="shared" ref="J81:J97" si="33">IF(H$12=0,0,H81/H$12)</f>
        <v>1.7845798028396235E-3</v>
      </c>
      <c r="K81" s="1"/>
      <c r="L81" s="1">
        <f t="shared" ref="L81:L97" si="34">+D81-H81</f>
        <v>-170.32999999999998</v>
      </c>
      <c r="M81" s="1"/>
      <c r="N81" s="5">
        <f t="shared" ref="N81:N97" si="35">IF(H81=0,0,L81/H81)</f>
        <v>-0.68131999999999993</v>
      </c>
      <c r="O81" s="13"/>
      <c r="P81" s="1">
        <f>SUM(OSRRefP22_2x_0)</f>
        <v>1508.38</v>
      </c>
      <c r="Q81" s="1"/>
      <c r="R81" s="5">
        <f t="shared" ref="R81:R97" si="36">IF(P$12=0,0,P81/P$12)</f>
        <v>9.5263191613373149E-4</v>
      </c>
      <c r="S81" s="1"/>
      <c r="T81" s="1">
        <f>SUM(OSRRefT22_2x_0)</f>
        <v>1500</v>
      </c>
      <c r="U81" s="1"/>
      <c r="V81" s="5">
        <f t="shared" ref="V81:V97" si="37">IF(T$12=0,0,T81/T$12)</f>
        <v>1.0548693825568206E-3</v>
      </c>
      <c r="W81" s="1"/>
      <c r="X81" s="1">
        <f t="shared" ref="X81:X97" si="38">+P81-T81</f>
        <v>8.3800000000001091</v>
      </c>
      <c r="Y81" s="1"/>
      <c r="Z81" s="5">
        <f t="shared" ref="Z81:Z97" si="39">IF(T81=0,0,X81/T81)</f>
        <v>5.5866666666667397E-3</v>
      </c>
    </row>
    <row r="82" spans="1:26" s="24" customFormat="1" hidden="1" outlineLevel="2" x14ac:dyDescent="0.25">
      <c r="A82" s="26"/>
      <c r="B82" s="11" t="str">
        <f>CONCATENATE("          ", "6362", " - ", "ADVERTISING EXPENSE")</f>
        <v xml:space="preserve">          6362 - ADVERTISING EXPENSE</v>
      </c>
      <c r="C82" s="11"/>
      <c r="D82" s="6">
        <v>79.67</v>
      </c>
      <c r="E82" s="2"/>
      <c r="F82" s="7">
        <f t="shared" si="32"/>
        <v>9.4287784021682283E-4</v>
      </c>
      <c r="G82" s="2"/>
      <c r="H82" s="6">
        <v>250</v>
      </c>
      <c r="I82" s="2"/>
      <c r="J82" s="7">
        <f t="shared" si="33"/>
        <v>1.7845798028396235E-3</v>
      </c>
      <c r="K82" s="2"/>
      <c r="L82" s="6">
        <f t="shared" si="34"/>
        <v>-170.32999999999998</v>
      </c>
      <c r="M82" s="2"/>
      <c r="N82" s="7">
        <f t="shared" si="35"/>
        <v>-0.68131999999999993</v>
      </c>
      <c r="O82" s="11"/>
      <c r="P82" s="6">
        <v>1508.38</v>
      </c>
      <c r="Q82" s="2"/>
      <c r="R82" s="7">
        <f t="shared" si="36"/>
        <v>9.5263191613373149E-4</v>
      </c>
      <c r="S82" s="2"/>
      <c r="T82" s="6">
        <v>1500</v>
      </c>
      <c r="U82" s="2"/>
      <c r="V82" s="7">
        <f t="shared" si="37"/>
        <v>1.0548693825568206E-3</v>
      </c>
      <c r="W82" s="2"/>
      <c r="X82" s="6">
        <f t="shared" si="38"/>
        <v>8.3800000000001091</v>
      </c>
      <c r="Y82" s="2"/>
      <c r="Z82" s="7">
        <f t="shared" si="39"/>
        <v>5.5866666666667397E-3</v>
      </c>
    </row>
    <row r="83" spans="1:26" s="25" customFormat="1" outlineLevel="1" collapsed="1" x14ac:dyDescent="0.25">
      <c r="A83" s="27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2"/>
        <v>3.3189489332296446E-3</v>
      </c>
      <c r="G83" s="1"/>
      <c r="H83" s="1">
        <f>SUM(OSRRefH22_3x_0)</f>
        <v>0</v>
      </c>
      <c r="I83" s="1"/>
      <c r="J83" s="5">
        <f t="shared" si="33"/>
        <v>0</v>
      </c>
      <c r="K83" s="1"/>
      <c r="L83" s="1">
        <f t="shared" si="34"/>
        <v>280.44</v>
      </c>
      <c r="M83" s="1"/>
      <c r="N83" s="5">
        <f t="shared" si="35"/>
        <v>0</v>
      </c>
      <c r="O83" s="13"/>
      <c r="P83" s="1">
        <f>SUM(OSRRefP22_3x_0)</f>
        <v>1682.64</v>
      </c>
      <c r="Q83" s="1"/>
      <c r="R83" s="5">
        <f t="shared" si="36"/>
        <v>1.0626874974232368E-3</v>
      </c>
      <c r="S83" s="1"/>
      <c r="T83" s="1">
        <f>SUM(OSRRefT22_3x_0)</f>
        <v>0</v>
      </c>
      <c r="U83" s="1"/>
      <c r="V83" s="5">
        <f t="shared" si="37"/>
        <v>0</v>
      </c>
      <c r="W83" s="1"/>
      <c r="X83" s="1">
        <f t="shared" si="38"/>
        <v>1682.64</v>
      </c>
      <c r="Y83" s="1"/>
      <c r="Z83" s="5">
        <f t="shared" si="39"/>
        <v>0</v>
      </c>
    </row>
    <row r="84" spans="1:26" s="24" customFormat="1" hidden="1" outlineLevel="2" x14ac:dyDescent="0.25">
      <c r="A84" s="26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2"/>
        <v>3.3189489332296446E-3</v>
      </c>
      <c r="G84" s="2"/>
      <c r="H84" s="6"/>
      <c r="I84" s="2"/>
      <c r="J84" s="7">
        <f t="shared" si="33"/>
        <v>0</v>
      </c>
      <c r="K84" s="2"/>
      <c r="L84" s="6">
        <f t="shared" si="34"/>
        <v>280.44</v>
      </c>
      <c r="M84" s="2"/>
      <c r="N84" s="7">
        <f t="shared" si="35"/>
        <v>0</v>
      </c>
      <c r="O84" s="11"/>
      <c r="P84" s="6">
        <v>1682.64</v>
      </c>
      <c r="Q84" s="2"/>
      <c r="R84" s="7">
        <f t="shared" si="36"/>
        <v>1.0626874974232368E-3</v>
      </c>
      <c r="S84" s="2"/>
      <c r="T84" s="6"/>
      <c r="U84" s="2"/>
      <c r="V84" s="7">
        <f t="shared" si="37"/>
        <v>0</v>
      </c>
      <c r="W84" s="2"/>
      <c r="X84" s="6">
        <f t="shared" si="38"/>
        <v>1682.64</v>
      </c>
      <c r="Y84" s="2"/>
      <c r="Z84" s="7">
        <f t="shared" si="39"/>
        <v>0</v>
      </c>
    </row>
    <row r="85" spans="1:26" s="25" customFormat="1" outlineLevel="1" collapsed="1" x14ac:dyDescent="0.25">
      <c r="A85" s="27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933.49</v>
      </c>
      <c r="E85" s="1"/>
      <c r="F85" s="5">
        <f t="shared" si="32"/>
        <v>1.1047659533877268E-2</v>
      </c>
      <c r="G85" s="1"/>
      <c r="H85" s="1">
        <f>SUM(OSRRefH22_4x_0)</f>
        <v>2500</v>
      </c>
      <c r="I85" s="1"/>
      <c r="J85" s="5">
        <f t="shared" si="33"/>
        <v>1.7845798028396233E-2</v>
      </c>
      <c r="K85" s="1"/>
      <c r="L85" s="1">
        <f t="shared" si="34"/>
        <v>-1566.51</v>
      </c>
      <c r="M85" s="1"/>
      <c r="N85" s="5">
        <f t="shared" si="35"/>
        <v>-0.62660400000000005</v>
      </c>
      <c r="O85" s="13"/>
      <c r="P85" s="1">
        <f>SUM(OSRRefP22_4x_0)</f>
        <v>49270.659999999996</v>
      </c>
      <c r="Q85" s="1"/>
      <c r="R85" s="5">
        <f t="shared" si="36"/>
        <v>3.1117359846307688E-2</v>
      </c>
      <c r="S85" s="1"/>
      <c r="T85" s="1">
        <f>SUM(OSRRefT22_4x_0)</f>
        <v>15000</v>
      </c>
      <c r="U85" s="1"/>
      <c r="V85" s="5">
        <f t="shared" si="37"/>
        <v>1.0548693825568205E-2</v>
      </c>
      <c r="W85" s="1"/>
      <c r="X85" s="1">
        <f t="shared" si="38"/>
        <v>34270.659999999996</v>
      </c>
      <c r="Y85" s="1"/>
      <c r="Z85" s="5">
        <f t="shared" si="39"/>
        <v>2.2847106666666663</v>
      </c>
    </row>
    <row r="86" spans="1:26" s="24" customFormat="1" hidden="1" outlineLevel="2" x14ac:dyDescent="0.25">
      <c r="A86" s="26"/>
      <c r="B86" s="11" t="str">
        <f>CONCATENATE("          ", "6382", " - ", "DISCOUNTS/MARK DOWNS")</f>
        <v xml:space="preserve">          6382 - DISCOUNTS/MARK DOWNS</v>
      </c>
      <c r="C86" s="11"/>
      <c r="D86" s="6">
        <v>933.49</v>
      </c>
      <c r="E86" s="2"/>
      <c r="F86" s="7">
        <f t="shared" si="32"/>
        <v>1.1047659533877268E-2</v>
      </c>
      <c r="G86" s="2"/>
      <c r="H86" s="6">
        <v>2500</v>
      </c>
      <c r="I86" s="2"/>
      <c r="J86" s="7">
        <f t="shared" si="33"/>
        <v>1.7845798028396233E-2</v>
      </c>
      <c r="K86" s="2"/>
      <c r="L86" s="6">
        <f t="shared" si="34"/>
        <v>-1566.51</v>
      </c>
      <c r="M86" s="2"/>
      <c r="N86" s="7">
        <f t="shared" si="35"/>
        <v>-0.62660400000000005</v>
      </c>
      <c r="O86" s="11"/>
      <c r="P86" s="6">
        <v>49270.659999999996</v>
      </c>
      <c r="Q86" s="2"/>
      <c r="R86" s="7">
        <f t="shared" si="36"/>
        <v>3.1117359846307688E-2</v>
      </c>
      <c r="S86" s="2"/>
      <c r="T86" s="6">
        <v>15000</v>
      </c>
      <c r="U86" s="2"/>
      <c r="V86" s="7">
        <f t="shared" si="37"/>
        <v>1.0548693825568205E-2</v>
      </c>
      <c r="W86" s="2"/>
      <c r="X86" s="6">
        <f t="shared" si="38"/>
        <v>34270.659999999996</v>
      </c>
      <c r="Y86" s="2"/>
      <c r="Z86" s="7">
        <f t="shared" si="39"/>
        <v>2.2847106666666663</v>
      </c>
    </row>
    <row r="87" spans="1:26" s="25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2"/>
        <v>0</v>
      </c>
      <c r="G87" s="1"/>
      <c r="H87" s="1">
        <f>SUM(OSRRefH22_5x_0)</f>
        <v>40</v>
      </c>
      <c r="I87" s="1"/>
      <c r="J87" s="5">
        <f t="shared" si="33"/>
        <v>2.8553276845433973E-4</v>
      </c>
      <c r="K87" s="1"/>
      <c r="L87" s="1">
        <f t="shared" si="34"/>
        <v>-40</v>
      </c>
      <c r="M87" s="1"/>
      <c r="N87" s="5">
        <f t="shared" si="35"/>
        <v>-1</v>
      </c>
      <c r="O87" s="13"/>
      <c r="P87" s="1">
        <f>SUM(OSRRefP22_5x_0)</f>
        <v>0</v>
      </c>
      <c r="Q87" s="1"/>
      <c r="R87" s="5">
        <f t="shared" si="36"/>
        <v>0</v>
      </c>
      <c r="S87" s="1"/>
      <c r="T87" s="1">
        <f>SUM(OSRRefT22_5x_0)</f>
        <v>240</v>
      </c>
      <c r="U87" s="1"/>
      <c r="V87" s="5">
        <f t="shared" si="37"/>
        <v>1.687791012090913E-4</v>
      </c>
      <c r="W87" s="1"/>
      <c r="X87" s="1">
        <f t="shared" si="38"/>
        <v>-240</v>
      </c>
      <c r="Y87" s="1"/>
      <c r="Z87" s="5">
        <f t="shared" si="39"/>
        <v>-1</v>
      </c>
    </row>
    <row r="88" spans="1:26" s="24" customFormat="1" hidden="1" outlineLevel="2" x14ac:dyDescent="0.25">
      <c r="A88" s="26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2"/>
        <v>0</v>
      </c>
      <c r="G88" s="2"/>
      <c r="H88" s="6">
        <v>40</v>
      </c>
      <c r="I88" s="2"/>
      <c r="J88" s="7">
        <f t="shared" si="33"/>
        <v>2.8553276845433973E-4</v>
      </c>
      <c r="K88" s="2"/>
      <c r="L88" s="6">
        <f t="shared" si="34"/>
        <v>-40</v>
      </c>
      <c r="M88" s="2"/>
      <c r="N88" s="7">
        <f t="shared" si="35"/>
        <v>-1</v>
      </c>
      <c r="O88" s="11"/>
      <c r="P88" s="6"/>
      <c r="Q88" s="2"/>
      <c r="R88" s="7">
        <f t="shared" si="36"/>
        <v>0</v>
      </c>
      <c r="S88" s="2"/>
      <c r="T88" s="6">
        <v>240</v>
      </c>
      <c r="U88" s="2"/>
      <c r="V88" s="7">
        <f t="shared" si="37"/>
        <v>1.687791012090913E-4</v>
      </c>
      <c r="W88" s="2"/>
      <c r="X88" s="6">
        <f t="shared" si="38"/>
        <v>-240</v>
      </c>
      <c r="Y88" s="2"/>
      <c r="Z88" s="7">
        <f t="shared" si="39"/>
        <v>-1</v>
      </c>
    </row>
    <row r="89" spans="1:26" s="25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2"/>
        <v>0</v>
      </c>
      <c r="G89" s="1"/>
      <c r="H89" s="1">
        <f>SUM(OSRRefH22_6x_0)</f>
        <v>25</v>
      </c>
      <c r="I89" s="1"/>
      <c r="J89" s="5">
        <f t="shared" si="33"/>
        <v>1.7845798028396235E-4</v>
      </c>
      <c r="K89" s="1"/>
      <c r="L89" s="1">
        <f t="shared" si="34"/>
        <v>-25</v>
      </c>
      <c r="M89" s="1"/>
      <c r="N89" s="5">
        <f t="shared" si="35"/>
        <v>-1</v>
      </c>
      <c r="O89" s="13"/>
      <c r="P89" s="1">
        <f>SUM(OSRRefP22_6x_0)</f>
        <v>41.61</v>
      </c>
      <c r="Q89" s="1"/>
      <c r="R89" s="5">
        <f t="shared" si="36"/>
        <v>2.6279196243867304E-5</v>
      </c>
      <c r="S89" s="1"/>
      <c r="T89" s="1">
        <f>SUM(OSRRefT22_6x_0)</f>
        <v>150</v>
      </c>
      <c r="U89" s="1"/>
      <c r="V89" s="5">
        <f t="shared" si="37"/>
        <v>1.0548693825568205E-4</v>
      </c>
      <c r="W89" s="1"/>
      <c r="X89" s="1">
        <f t="shared" si="38"/>
        <v>-108.39</v>
      </c>
      <c r="Y89" s="1"/>
      <c r="Z89" s="5">
        <f t="shared" si="39"/>
        <v>-0.72260000000000002</v>
      </c>
    </row>
    <row r="90" spans="1:26" s="24" customFormat="1" hidden="1" outlineLevel="2" x14ac:dyDescent="0.25">
      <c r="A90" s="26"/>
      <c r="B90" s="11" t="str">
        <f>CONCATENATE("          ", "6305", " - ", "FREIGHT OUT")</f>
        <v xml:space="preserve">          6305 - FREIGHT OUT</v>
      </c>
      <c r="C90" s="11"/>
      <c r="D90" s="6"/>
      <c r="E90" s="2"/>
      <c r="F90" s="7">
        <f t="shared" si="32"/>
        <v>0</v>
      </c>
      <c r="G90" s="2"/>
      <c r="H90" s="6">
        <v>25</v>
      </c>
      <c r="I90" s="2"/>
      <c r="J90" s="7">
        <f t="shared" si="33"/>
        <v>1.7845798028396235E-4</v>
      </c>
      <c r="K90" s="2"/>
      <c r="L90" s="6">
        <f t="shared" si="34"/>
        <v>-25</v>
      </c>
      <c r="M90" s="2"/>
      <c r="N90" s="7">
        <f t="shared" si="35"/>
        <v>-1</v>
      </c>
      <c r="O90" s="11"/>
      <c r="P90" s="6">
        <v>41.61</v>
      </c>
      <c r="Q90" s="2"/>
      <c r="R90" s="7">
        <f t="shared" si="36"/>
        <v>2.6279196243867304E-5</v>
      </c>
      <c r="S90" s="2"/>
      <c r="T90" s="6">
        <v>150</v>
      </c>
      <c r="U90" s="2"/>
      <c r="V90" s="7">
        <f t="shared" si="37"/>
        <v>1.0548693825568205E-4</v>
      </c>
      <c r="W90" s="2"/>
      <c r="X90" s="6">
        <f t="shared" si="38"/>
        <v>-108.39</v>
      </c>
      <c r="Y90" s="2"/>
      <c r="Z90" s="7">
        <f t="shared" si="39"/>
        <v>-0.72260000000000002</v>
      </c>
    </row>
    <row r="91" spans="1:26" s="25" customFormat="1" outlineLevel="1" collapsed="1" x14ac:dyDescent="0.25">
      <c r="A91" s="27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197.18</v>
      </c>
      <c r="E91" s="1"/>
      <c r="F91" s="5">
        <f t="shared" si="32"/>
        <v>2.333584191464204E-3</v>
      </c>
      <c r="G91" s="1"/>
      <c r="H91" s="1">
        <f>SUM(OSRRefH22_7x_0)</f>
        <v>0</v>
      </c>
      <c r="I91" s="1"/>
      <c r="J91" s="5">
        <f t="shared" si="33"/>
        <v>0</v>
      </c>
      <c r="K91" s="1"/>
      <c r="L91" s="1">
        <f t="shared" si="34"/>
        <v>197.18</v>
      </c>
      <c r="M91" s="1"/>
      <c r="N91" s="5">
        <f t="shared" si="35"/>
        <v>0</v>
      </c>
      <c r="O91" s="13"/>
      <c r="P91" s="1">
        <f>SUM(OSRRefP22_7x_0)</f>
        <v>197.18</v>
      </c>
      <c r="Q91" s="1"/>
      <c r="R91" s="5">
        <f t="shared" si="36"/>
        <v>1.2453092803090015E-4</v>
      </c>
      <c r="S91" s="1"/>
      <c r="T91" s="1">
        <f>SUM(OSRRefT22_7x_0)</f>
        <v>0</v>
      </c>
      <c r="U91" s="1"/>
      <c r="V91" s="5">
        <f t="shared" si="37"/>
        <v>0</v>
      </c>
      <c r="W91" s="1"/>
      <c r="X91" s="1">
        <f t="shared" si="38"/>
        <v>197.18</v>
      </c>
      <c r="Y91" s="1"/>
      <c r="Z91" s="5">
        <f t="shared" si="39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197.18</v>
      </c>
      <c r="E92" s="2"/>
      <c r="F92" s="7">
        <f t="shared" si="32"/>
        <v>2.333584191464204E-3</v>
      </c>
      <c r="G92" s="2"/>
      <c r="H92" s="6"/>
      <c r="I92" s="2"/>
      <c r="J92" s="7">
        <f t="shared" si="33"/>
        <v>0</v>
      </c>
      <c r="K92" s="2"/>
      <c r="L92" s="6">
        <f t="shared" si="34"/>
        <v>197.18</v>
      </c>
      <c r="M92" s="2"/>
      <c r="N92" s="7">
        <f t="shared" si="35"/>
        <v>0</v>
      </c>
      <c r="O92" s="11"/>
      <c r="P92" s="6">
        <v>197.18</v>
      </c>
      <c r="Q92" s="2"/>
      <c r="R92" s="7">
        <f t="shared" si="36"/>
        <v>1.2453092803090015E-4</v>
      </c>
      <c r="S92" s="2"/>
      <c r="T92" s="6"/>
      <c r="U92" s="2"/>
      <c r="V92" s="7">
        <f t="shared" si="37"/>
        <v>0</v>
      </c>
      <c r="W92" s="2"/>
      <c r="X92" s="6">
        <f t="shared" si="38"/>
        <v>197.18</v>
      </c>
      <c r="Y92" s="2"/>
      <c r="Z92" s="7">
        <f t="shared" si="39"/>
        <v>0</v>
      </c>
    </row>
    <row r="93" spans="1:26" s="25" customFormat="1" outlineLevel="1" collapsed="1" x14ac:dyDescent="0.25">
      <c r="A93" s="27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2"/>
        <v>0</v>
      </c>
      <c r="G93" s="1"/>
      <c r="H93" s="1">
        <f>SUM(OSRRefH22_8x_0)</f>
        <v>0</v>
      </c>
      <c r="I93" s="1"/>
      <c r="J93" s="5">
        <f t="shared" si="33"/>
        <v>0</v>
      </c>
      <c r="K93" s="1"/>
      <c r="L93" s="1">
        <f t="shared" si="34"/>
        <v>0</v>
      </c>
      <c r="M93" s="1"/>
      <c r="N93" s="5">
        <f t="shared" si="35"/>
        <v>0</v>
      </c>
      <c r="O93" s="13"/>
      <c r="P93" s="1">
        <f>SUM(OSRRefP22_8x_0)</f>
        <v>-5000</v>
      </c>
      <c r="Q93" s="1"/>
      <c r="R93" s="5">
        <f t="shared" si="36"/>
        <v>-3.1577981547545424E-3</v>
      </c>
      <c r="S93" s="1"/>
      <c r="T93" s="1">
        <f>SUM(OSRRefT22_8x_0)</f>
        <v>0</v>
      </c>
      <c r="U93" s="1"/>
      <c r="V93" s="5">
        <f t="shared" si="37"/>
        <v>0</v>
      </c>
      <c r="W93" s="1"/>
      <c r="X93" s="1">
        <f t="shared" si="38"/>
        <v>-5000</v>
      </c>
      <c r="Y93" s="1"/>
      <c r="Z93" s="5">
        <f t="shared" si="39"/>
        <v>0</v>
      </c>
    </row>
    <row r="94" spans="1:26" s="24" customFormat="1" hidden="1" outlineLevel="2" x14ac:dyDescent="0.25">
      <c r="A94" s="26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32"/>
        <v>0</v>
      </c>
      <c r="G94" s="2"/>
      <c r="H94" s="6"/>
      <c r="I94" s="2"/>
      <c r="J94" s="7">
        <f t="shared" si="33"/>
        <v>0</v>
      </c>
      <c r="K94" s="2"/>
      <c r="L94" s="6">
        <f t="shared" si="34"/>
        <v>0</v>
      </c>
      <c r="M94" s="2"/>
      <c r="N94" s="7">
        <f t="shared" si="35"/>
        <v>0</v>
      </c>
      <c r="O94" s="11"/>
      <c r="P94" s="6">
        <v>-5000</v>
      </c>
      <c r="Q94" s="2"/>
      <c r="R94" s="7">
        <f t="shared" si="36"/>
        <v>-3.1577981547545424E-3</v>
      </c>
      <c r="S94" s="2"/>
      <c r="T94" s="6"/>
      <c r="U94" s="2"/>
      <c r="V94" s="7">
        <f t="shared" si="37"/>
        <v>0</v>
      </c>
      <c r="W94" s="2"/>
      <c r="X94" s="6">
        <f t="shared" si="38"/>
        <v>-5000</v>
      </c>
      <c r="Y94" s="2"/>
      <c r="Z94" s="7">
        <f t="shared" si="39"/>
        <v>0</v>
      </c>
    </row>
    <row r="95" spans="1:26" s="25" customFormat="1" outlineLevel="1" collapsed="1" x14ac:dyDescent="0.25">
      <c r="A95" s="27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0</v>
      </c>
      <c r="E95" s="1"/>
      <c r="F95" s="5">
        <f t="shared" si="32"/>
        <v>0</v>
      </c>
      <c r="G95" s="1"/>
      <c r="H95" s="1">
        <f>SUM(OSRRefH22_9x_0)</f>
        <v>275</v>
      </c>
      <c r="I95" s="1"/>
      <c r="J95" s="5">
        <f t="shared" si="33"/>
        <v>1.9630377831235859E-3</v>
      </c>
      <c r="K95" s="1"/>
      <c r="L95" s="1">
        <f t="shared" si="34"/>
        <v>-275</v>
      </c>
      <c r="M95" s="1"/>
      <c r="N95" s="5">
        <f t="shared" si="35"/>
        <v>-1</v>
      </c>
      <c r="O95" s="13"/>
      <c r="P95" s="1">
        <f>SUM(OSRRefP22_9x_0)</f>
        <v>2702.03</v>
      </c>
      <c r="Q95" s="1"/>
      <c r="R95" s="5">
        <f t="shared" si="36"/>
        <v>1.7064930696182835E-3</v>
      </c>
      <c r="S95" s="1"/>
      <c r="T95" s="1">
        <f>SUM(OSRRefT22_9x_0)</f>
        <v>1650</v>
      </c>
      <c r="U95" s="1"/>
      <c r="V95" s="5">
        <f t="shared" si="37"/>
        <v>1.1603563208125026E-3</v>
      </c>
      <c r="W95" s="1"/>
      <c r="X95" s="1">
        <f t="shared" si="38"/>
        <v>1052.0300000000002</v>
      </c>
      <c r="Y95" s="1"/>
      <c r="Z95" s="5">
        <f t="shared" si="39"/>
        <v>0.63759393939393949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6"/>
      <c r="E96" s="2"/>
      <c r="F96" s="7">
        <f t="shared" si="32"/>
        <v>0</v>
      </c>
      <c r="G96" s="2"/>
      <c r="H96" s="6">
        <v>275</v>
      </c>
      <c r="I96" s="2"/>
      <c r="J96" s="7">
        <f t="shared" si="33"/>
        <v>1.9630377831235859E-3</v>
      </c>
      <c r="K96" s="2"/>
      <c r="L96" s="6">
        <f t="shared" si="34"/>
        <v>-275</v>
      </c>
      <c r="M96" s="2"/>
      <c r="N96" s="7">
        <f t="shared" si="35"/>
        <v>-1</v>
      </c>
      <c r="O96" s="11"/>
      <c r="P96" s="6">
        <v>692.65</v>
      </c>
      <c r="Q96" s="2"/>
      <c r="R96" s="7">
        <f t="shared" si="36"/>
        <v>4.3744977837814679E-4</v>
      </c>
      <c r="S96" s="2"/>
      <c r="T96" s="6">
        <v>1650</v>
      </c>
      <c r="U96" s="2"/>
      <c r="V96" s="7">
        <f t="shared" si="37"/>
        <v>1.1603563208125026E-3</v>
      </c>
      <c r="W96" s="2"/>
      <c r="X96" s="6">
        <f t="shared" si="38"/>
        <v>-957.35</v>
      </c>
      <c r="Y96" s="2"/>
      <c r="Z96" s="7">
        <f t="shared" si="39"/>
        <v>-0.58021212121212118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32"/>
        <v>0</v>
      </c>
      <c r="G97" s="2"/>
      <c r="H97" s="6"/>
      <c r="I97" s="2"/>
      <c r="J97" s="7">
        <f t="shared" si="33"/>
        <v>0</v>
      </c>
      <c r="K97" s="2"/>
      <c r="L97" s="6">
        <f t="shared" si="34"/>
        <v>0</v>
      </c>
      <c r="M97" s="2"/>
      <c r="N97" s="7">
        <f t="shared" si="35"/>
        <v>0</v>
      </c>
      <c r="O97" s="11"/>
      <c r="P97" s="6">
        <v>2009.38</v>
      </c>
      <c r="Q97" s="2"/>
      <c r="R97" s="7">
        <f t="shared" si="36"/>
        <v>1.2690432912401367E-3</v>
      </c>
      <c r="S97" s="2"/>
      <c r="T97" s="6"/>
      <c r="U97" s="2"/>
      <c r="V97" s="7">
        <f t="shared" si="37"/>
        <v>0</v>
      </c>
      <c r="W97" s="2"/>
      <c r="X97" s="6">
        <f t="shared" si="38"/>
        <v>2009.38</v>
      </c>
      <c r="Y97" s="2"/>
      <c r="Z97" s="7">
        <f t="shared" si="39"/>
        <v>0</v>
      </c>
    </row>
    <row r="98" spans="1:26" s="25" customFormat="1" outlineLevel="1" collapsed="1" x14ac:dyDescent="0.25">
      <c r="A98" s="27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257</v>
      </c>
      <c r="E98" s="1"/>
      <c r="F98" s="5">
        <f t="shared" ref="F98:F100" si="40">IF(D$12=0,0,D98/D$12)</f>
        <v>3.041541420054267E-3</v>
      </c>
      <c r="G98" s="1"/>
      <c r="H98" s="1">
        <f>SUM(OSRRefH22_10x_0)</f>
        <v>280</v>
      </c>
      <c r="I98" s="1"/>
      <c r="J98" s="5">
        <f t="shared" ref="J98:J100" si="41">IF(H$12=0,0,H98/H$12)</f>
        <v>1.9987293791803784E-3</v>
      </c>
      <c r="K98" s="1"/>
      <c r="L98" s="1">
        <f t="shared" ref="L98:L100" si="42">+D98-H98</f>
        <v>-23</v>
      </c>
      <c r="M98" s="1"/>
      <c r="N98" s="5">
        <f t="shared" ref="N98:N100" si="43">IF(H98=0,0,L98/H98)</f>
        <v>-8.2142857142857142E-2</v>
      </c>
      <c r="O98" s="13"/>
      <c r="P98" s="1">
        <f>SUM(OSRRefP22_10x_0)</f>
        <v>1536.15</v>
      </c>
      <c r="Q98" s="1"/>
      <c r="R98" s="5">
        <f t="shared" ref="R98:R100" si="44">IF(P$12=0,0,P98/P$12)</f>
        <v>9.7017032708523814E-4</v>
      </c>
      <c r="S98" s="1"/>
      <c r="T98" s="1">
        <f>SUM(OSRRefT22_10x_0)</f>
        <v>1680</v>
      </c>
      <c r="U98" s="1"/>
      <c r="V98" s="5">
        <f t="shared" ref="V98:V100" si="45">IF(T$12=0,0,T98/T$12)</f>
        <v>1.1814537084636389E-3</v>
      </c>
      <c r="W98" s="1"/>
      <c r="X98" s="1">
        <f t="shared" ref="X98:X100" si="46">+P98-T98</f>
        <v>-143.84999999999991</v>
      </c>
      <c r="Y98" s="1"/>
      <c r="Z98" s="5">
        <f t="shared" ref="Z98:Z100" si="47">IF(T98=0,0,X98/T98)</f>
        <v>-8.5624999999999951E-2</v>
      </c>
    </row>
    <row r="99" spans="1:26" s="24" customFormat="1" hidden="1" outlineLevel="2" x14ac:dyDescent="0.25">
      <c r="A99" s="26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40"/>
        <v>0</v>
      </c>
      <c r="G99" s="2"/>
      <c r="H99" s="6">
        <v>280</v>
      </c>
      <c r="I99" s="2"/>
      <c r="J99" s="7">
        <f t="shared" si="41"/>
        <v>1.9987293791803784E-3</v>
      </c>
      <c r="K99" s="2"/>
      <c r="L99" s="6">
        <f t="shared" si="42"/>
        <v>-280</v>
      </c>
      <c r="M99" s="2"/>
      <c r="N99" s="7">
        <f t="shared" si="43"/>
        <v>-1</v>
      </c>
      <c r="O99" s="11"/>
      <c r="P99" s="6"/>
      <c r="Q99" s="2"/>
      <c r="R99" s="7">
        <f t="shared" si="44"/>
        <v>0</v>
      </c>
      <c r="S99" s="2"/>
      <c r="T99" s="6">
        <v>1680</v>
      </c>
      <c r="U99" s="2"/>
      <c r="V99" s="7">
        <f t="shared" si="45"/>
        <v>1.1814537084636389E-3</v>
      </c>
      <c r="W99" s="2"/>
      <c r="X99" s="6">
        <f t="shared" si="46"/>
        <v>-1680</v>
      </c>
      <c r="Y99" s="2"/>
      <c r="Z99" s="7">
        <f t="shared" si="47"/>
        <v>-1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6">
        <v>257</v>
      </c>
      <c r="E100" s="2"/>
      <c r="F100" s="7">
        <f t="shared" si="40"/>
        <v>3.041541420054267E-3</v>
      </c>
      <c r="G100" s="2"/>
      <c r="H100" s="6"/>
      <c r="I100" s="2"/>
      <c r="J100" s="7">
        <f t="shared" si="41"/>
        <v>0</v>
      </c>
      <c r="K100" s="2"/>
      <c r="L100" s="6">
        <f t="shared" si="42"/>
        <v>257</v>
      </c>
      <c r="M100" s="2"/>
      <c r="N100" s="7">
        <f t="shared" si="43"/>
        <v>0</v>
      </c>
      <c r="O100" s="11"/>
      <c r="P100" s="6">
        <v>1536.15</v>
      </c>
      <c r="Q100" s="2"/>
      <c r="R100" s="7">
        <f t="shared" si="44"/>
        <v>9.7017032708523814E-4</v>
      </c>
      <c r="S100" s="2"/>
      <c r="T100" s="6"/>
      <c r="U100" s="2"/>
      <c r="V100" s="7">
        <f t="shared" si="45"/>
        <v>0</v>
      </c>
      <c r="W100" s="2"/>
      <c r="X100" s="6">
        <f t="shared" si="46"/>
        <v>1536.15</v>
      </c>
      <c r="Y100" s="2"/>
      <c r="Z100" s="7">
        <f t="shared" si="47"/>
        <v>0</v>
      </c>
    </row>
    <row r="101" spans="1:26" s="25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0</v>
      </c>
      <c r="E101" s="1"/>
      <c r="F101" s="5">
        <f t="shared" ref="F101:F104" si="48">IF(D$12=0,0,D101/D$12)</f>
        <v>0</v>
      </c>
      <c r="G101" s="1"/>
      <c r="H101" s="1">
        <f>SUM(OSRRefH22_11x_0)</f>
        <v>375</v>
      </c>
      <c r="I101" s="1"/>
      <c r="J101" s="5">
        <f t="shared" ref="J101:J104" si="49">IF(H$12=0,0,H101/H$12)</f>
        <v>2.6768697042594352E-3</v>
      </c>
      <c r="K101" s="1"/>
      <c r="L101" s="1">
        <f t="shared" ref="L101:L104" si="50">+D101-H101</f>
        <v>-375</v>
      </c>
      <c r="M101" s="1"/>
      <c r="N101" s="5">
        <f t="shared" ref="N101:N104" si="51">IF(H101=0,0,L101/H101)</f>
        <v>-1</v>
      </c>
      <c r="O101" s="13"/>
      <c r="P101" s="1">
        <f>SUM(OSRRefP22_11x_0)</f>
        <v>1163.6400000000001</v>
      </c>
      <c r="Q101" s="1"/>
      <c r="R101" s="5">
        <f t="shared" ref="R101:R104" si="52">IF(P$12=0,0,P101/P$12)</f>
        <v>7.3490804895971523E-4</v>
      </c>
      <c r="S101" s="1"/>
      <c r="T101" s="1">
        <f>SUM(OSRRefT22_11x_0)</f>
        <v>2250</v>
      </c>
      <c r="U101" s="1"/>
      <c r="V101" s="5">
        <f t="shared" ref="V101:V104" si="53">IF(T$12=0,0,T101/T$12)</f>
        <v>1.5823040738352308E-3</v>
      </c>
      <c r="W101" s="1"/>
      <c r="X101" s="1">
        <f t="shared" ref="X101:X104" si="54">+P101-T101</f>
        <v>-1086.3599999999999</v>
      </c>
      <c r="Y101" s="1"/>
      <c r="Z101" s="5">
        <f t="shared" ref="Z101:Z104" si="55">IF(T101=0,0,X101/T101)</f>
        <v>-0.48282666666666663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48"/>
        <v>0</v>
      </c>
      <c r="G102" s="2"/>
      <c r="H102" s="6">
        <v>375</v>
      </c>
      <c r="I102" s="2"/>
      <c r="J102" s="7">
        <f t="shared" si="49"/>
        <v>2.6768697042594352E-3</v>
      </c>
      <c r="K102" s="2"/>
      <c r="L102" s="6">
        <f t="shared" si="50"/>
        <v>-375</v>
      </c>
      <c r="M102" s="2"/>
      <c r="N102" s="7">
        <f t="shared" si="51"/>
        <v>-1</v>
      </c>
      <c r="O102" s="11"/>
      <c r="P102" s="6">
        <v>1163.6400000000001</v>
      </c>
      <c r="Q102" s="2"/>
      <c r="R102" s="7">
        <f t="shared" si="52"/>
        <v>7.3490804895971523E-4</v>
      </c>
      <c r="S102" s="2"/>
      <c r="T102" s="6">
        <v>2250</v>
      </c>
      <c r="U102" s="2"/>
      <c r="V102" s="7">
        <f t="shared" si="53"/>
        <v>1.5823040738352308E-3</v>
      </c>
      <c r="W102" s="2"/>
      <c r="X102" s="6">
        <f t="shared" si="54"/>
        <v>-1086.3599999999999</v>
      </c>
      <c r="Y102" s="2"/>
      <c r="Z102" s="7">
        <f t="shared" si="55"/>
        <v>-0.48282666666666663</v>
      </c>
    </row>
    <row r="103" spans="1:26" s="25" customFormat="1" outlineLevel="1" collapsed="1" x14ac:dyDescent="0.25">
      <c r="A103" s="27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8"/>
        <v>0</v>
      </c>
      <c r="G103" s="1"/>
      <c r="H103" s="1">
        <f>SUM(OSRRefH22_12x_0)</f>
        <v>0</v>
      </c>
      <c r="I103" s="1"/>
      <c r="J103" s="5">
        <f t="shared" si="49"/>
        <v>0</v>
      </c>
      <c r="K103" s="1"/>
      <c r="L103" s="1">
        <f t="shared" si="50"/>
        <v>0</v>
      </c>
      <c r="M103" s="1"/>
      <c r="N103" s="5">
        <f t="shared" si="51"/>
        <v>0</v>
      </c>
      <c r="O103" s="13"/>
      <c r="P103" s="1">
        <f>SUM(OSRRefP22_12x_0)</f>
        <v>-178.06</v>
      </c>
      <c r="Q103" s="1"/>
      <c r="R103" s="5">
        <f t="shared" si="52"/>
        <v>-1.1245550788711877E-4</v>
      </c>
      <c r="S103" s="1"/>
      <c r="T103" s="1">
        <f>SUM(OSRRefT22_12x_0)</f>
        <v>0</v>
      </c>
      <c r="U103" s="1"/>
      <c r="V103" s="5">
        <f t="shared" si="53"/>
        <v>0</v>
      </c>
      <c r="W103" s="1"/>
      <c r="X103" s="1">
        <f t="shared" si="54"/>
        <v>-178.06</v>
      </c>
      <c r="Y103" s="1"/>
      <c r="Z103" s="5">
        <f t="shared" si="55"/>
        <v>0</v>
      </c>
    </row>
    <row r="104" spans="1:26" s="24" customFormat="1" hidden="1" outlineLevel="2" x14ac:dyDescent="0.25">
      <c r="A104" s="26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48"/>
        <v>0</v>
      </c>
      <c r="G104" s="2"/>
      <c r="H104" s="6"/>
      <c r="I104" s="2"/>
      <c r="J104" s="7">
        <f t="shared" si="49"/>
        <v>0</v>
      </c>
      <c r="K104" s="2"/>
      <c r="L104" s="6">
        <f t="shared" si="50"/>
        <v>0</v>
      </c>
      <c r="M104" s="2"/>
      <c r="N104" s="7">
        <f t="shared" si="51"/>
        <v>0</v>
      </c>
      <c r="O104" s="11"/>
      <c r="P104" s="6">
        <v>-178.06</v>
      </c>
      <c r="Q104" s="2"/>
      <c r="R104" s="7">
        <f t="shared" si="52"/>
        <v>-1.1245550788711877E-4</v>
      </c>
      <c r="S104" s="2"/>
      <c r="T104" s="6"/>
      <c r="U104" s="2"/>
      <c r="V104" s="7">
        <f t="shared" si="53"/>
        <v>0</v>
      </c>
      <c r="W104" s="2"/>
      <c r="X104" s="6">
        <f t="shared" si="54"/>
        <v>-178.06</v>
      </c>
      <c r="Y104" s="2"/>
      <c r="Z104" s="7">
        <f t="shared" si="55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4.9300000000000068</v>
      </c>
      <c r="E106" s="4"/>
      <c r="F106" s="12">
        <f t="shared" ref="F106:F110" si="56">IF(D$12=0,0,D106/D$12)</f>
        <v>5.8345522182364038E-5</v>
      </c>
      <c r="G106" s="4"/>
      <c r="H106" s="4">
        <f>SUM(OSRRefH25x_0)</f>
        <v>2025</v>
      </c>
      <c r="I106" s="4"/>
      <c r="J106" s="12">
        <f t="shared" ref="J106:J110" si="57">IF(H$12=0,0,H106/H$12)</f>
        <v>1.4455096403000949E-2</v>
      </c>
      <c r="K106" s="4"/>
      <c r="L106" s="4">
        <f t="shared" ref="L106:L110" si="58">+D106-H106</f>
        <v>-2020.07</v>
      </c>
      <c r="M106" s="4"/>
      <c r="N106" s="12">
        <f t="shared" ref="N106:N110" si="59">IF(H106=0,0,L106/H106)</f>
        <v>-0.99756543209876536</v>
      </c>
      <c r="O106" s="10"/>
      <c r="P106" s="4">
        <f>SUM(OSRRefP25x_0)</f>
        <v>7236.66</v>
      </c>
      <c r="Q106" s="4"/>
      <c r="R106" s="12">
        <f t="shared" ref="R106:R110" si="60">IF(P$12=0,0,P106/P$12)</f>
        <v>4.5703823189172012E-3</v>
      </c>
      <c r="S106" s="4"/>
      <c r="T106" s="4">
        <f>SUM(OSRRefT25x_0)</f>
        <v>11475</v>
      </c>
      <c r="U106" s="4"/>
      <c r="V106" s="12">
        <f t="shared" ref="V106:V110" si="61">IF(T$12=0,0,T106/T$12)</f>
        <v>8.0697507765596765E-3</v>
      </c>
      <c r="W106" s="4"/>
      <c r="X106" s="4">
        <f t="shared" ref="X106:X110" si="62">+P106-T106</f>
        <v>-4238.34</v>
      </c>
      <c r="Y106" s="4"/>
      <c r="Z106" s="12">
        <f t="shared" ref="Z106:Z110" si="63">IF(T106=0,0,X106/T106)</f>
        <v>-0.3693542483660131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--456.99</f>
        <v>456.99</v>
      </c>
      <c r="E107" s="2"/>
      <c r="F107" s="19">
        <f t="shared" si="56"/>
        <v>5.4083813756832669E-3</v>
      </c>
      <c r="G107" s="2"/>
      <c r="H107" s="2"/>
      <c r="I107" s="2"/>
      <c r="J107" s="19">
        <f t="shared" si="57"/>
        <v>0</v>
      </c>
      <c r="K107" s="2"/>
      <c r="L107" s="2">
        <f t="shared" si="58"/>
        <v>456.99</v>
      </c>
      <c r="M107" s="2"/>
      <c r="N107" s="19">
        <f t="shared" si="59"/>
        <v>0</v>
      </c>
      <c r="O107" s="11"/>
      <c r="P107" s="2">
        <f>--13188.92</f>
        <v>13188.92</v>
      </c>
      <c r="Q107" s="2"/>
      <c r="R107" s="19">
        <f t="shared" si="60"/>
        <v>8.329589447841056E-3</v>
      </c>
      <c r="S107" s="2"/>
      <c r="T107" s="2"/>
      <c r="U107" s="2"/>
      <c r="V107" s="19">
        <f t="shared" si="61"/>
        <v>0</v>
      </c>
      <c r="W107" s="2"/>
      <c r="X107" s="2">
        <f t="shared" si="62"/>
        <v>13188.92</v>
      </c>
      <c r="Y107" s="2"/>
      <c r="Z107" s="19">
        <f t="shared" si="63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6"/>
        <v>0</v>
      </c>
      <c r="G108" s="2"/>
      <c r="H108" s="2"/>
      <c r="I108" s="2"/>
      <c r="J108" s="19">
        <f t="shared" si="57"/>
        <v>0</v>
      </c>
      <c r="K108" s="2"/>
      <c r="L108" s="2">
        <f t="shared" si="58"/>
        <v>0</v>
      </c>
      <c r="M108" s="2"/>
      <c r="N108" s="19">
        <f t="shared" si="59"/>
        <v>0</v>
      </c>
      <c r="O108" s="11"/>
      <c r="P108" s="2">
        <f>-7889</f>
        <v>-7889</v>
      </c>
      <c r="Q108" s="2"/>
      <c r="R108" s="19">
        <f t="shared" si="60"/>
        <v>-4.9823739285717169E-3</v>
      </c>
      <c r="S108" s="2"/>
      <c r="T108" s="2"/>
      <c r="U108" s="2"/>
      <c r="V108" s="19">
        <f t="shared" si="61"/>
        <v>0</v>
      </c>
      <c r="W108" s="2"/>
      <c r="X108" s="2">
        <f t="shared" si="62"/>
        <v>-7889</v>
      </c>
      <c r="Y108" s="2"/>
      <c r="Z108" s="19">
        <f t="shared" si="63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-56.72</f>
        <v>-56.72</v>
      </c>
      <c r="E109" s="2"/>
      <c r="F109" s="19">
        <f t="shared" si="56"/>
        <v>-6.7126937488512853E-4</v>
      </c>
      <c r="G109" s="2"/>
      <c r="H109" s="2"/>
      <c r="I109" s="2"/>
      <c r="J109" s="19">
        <f t="shared" si="57"/>
        <v>0</v>
      </c>
      <c r="K109" s="2"/>
      <c r="L109" s="2">
        <f t="shared" si="58"/>
        <v>-56.72</v>
      </c>
      <c r="M109" s="2"/>
      <c r="N109" s="19">
        <f t="shared" si="59"/>
        <v>0</v>
      </c>
      <c r="O109" s="11"/>
      <c r="P109" s="2">
        <f>-56.72</f>
        <v>-56.72</v>
      </c>
      <c r="Q109" s="2"/>
      <c r="R109" s="19">
        <f t="shared" si="60"/>
        <v>-3.5822062267535532E-5</v>
      </c>
      <c r="S109" s="2"/>
      <c r="T109" s="2"/>
      <c r="U109" s="2"/>
      <c r="V109" s="19">
        <f t="shared" si="61"/>
        <v>0</v>
      </c>
      <c r="W109" s="2"/>
      <c r="X109" s="2">
        <f t="shared" si="62"/>
        <v>-56.72</v>
      </c>
      <c r="Y109" s="2"/>
      <c r="Z109" s="19">
        <f t="shared" si="63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-395.34</f>
        <v>-395.34</v>
      </c>
      <c r="E110" s="2"/>
      <c r="F110" s="19">
        <f t="shared" si="56"/>
        <v>-4.6787664786157738E-3</v>
      </c>
      <c r="G110" s="2"/>
      <c r="H110" s="2">
        <v>2025</v>
      </c>
      <c r="I110" s="2"/>
      <c r="J110" s="19">
        <f t="shared" si="57"/>
        <v>1.4455096403000949E-2</v>
      </c>
      <c r="K110" s="2"/>
      <c r="L110" s="2">
        <f t="shared" si="58"/>
        <v>-2420.34</v>
      </c>
      <c r="M110" s="2"/>
      <c r="N110" s="19">
        <f t="shared" si="59"/>
        <v>-1.1952296296296296</v>
      </c>
      <c r="O110" s="11"/>
      <c r="P110" s="2">
        <f>--1993.46</f>
        <v>1993.46</v>
      </c>
      <c r="Q110" s="2"/>
      <c r="R110" s="19">
        <f t="shared" si="60"/>
        <v>1.2589888619153982E-3</v>
      </c>
      <c r="S110" s="2"/>
      <c r="T110" s="2">
        <v>11475</v>
      </c>
      <c r="U110" s="2"/>
      <c r="V110" s="19">
        <f t="shared" si="61"/>
        <v>8.0697507765596765E-3</v>
      </c>
      <c r="W110" s="2"/>
      <c r="X110" s="2">
        <f t="shared" si="62"/>
        <v>-9481.5400000000009</v>
      </c>
      <c r="Y110" s="2"/>
      <c r="Z110" s="19">
        <f t="shared" si="63"/>
        <v>-0.82627799564270155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2">
        <f>+D56-D58+D106</f>
        <v>647.42000000000894</v>
      </c>
      <c r="E112" s="14"/>
      <c r="F112" s="20">
        <f>IF(D$12=0,0,D112/D$12)</f>
        <v>7.6620807244029603E-3</v>
      </c>
      <c r="G112" s="14"/>
      <c r="H112" s="22">
        <f>+H56-H58+H106</f>
        <v>18584.813887683078</v>
      </c>
      <c r="I112" s="14"/>
      <c r="J112" s="20">
        <f>IF(H$12=0,0,H112/H$12)</f>
        <v>0.13266433401397024</v>
      </c>
      <c r="K112" s="16"/>
      <c r="L112" s="22">
        <f>+D112-H112</f>
        <v>-17937.393887683069</v>
      </c>
      <c r="M112" s="16"/>
      <c r="N112" s="20">
        <f>IF(H112=0,0,L112/H112)</f>
        <v>-0.9651640310248637</v>
      </c>
      <c r="O112" s="28"/>
      <c r="P112" s="22">
        <f>+P56-P58+P106</f>
        <v>55137.630000000179</v>
      </c>
      <c r="Q112" s="14"/>
      <c r="R112" s="20">
        <f>IF(P$12=0,0,P112/P$12)</f>
        <v>3.4822701254307857E-2</v>
      </c>
      <c r="S112" s="14"/>
      <c r="T112" s="22">
        <f>+T56-T58+T106</f>
        <v>225040.22749284</v>
      </c>
      <c r="U112" s="14"/>
      <c r="V112" s="20">
        <f>IF(T$12=0,0,T112/T$12)</f>
        <v>0.15825869721721236</v>
      </c>
      <c r="W112" s="16"/>
      <c r="X112" s="22">
        <f>+P112-T112</f>
        <v>-169902.59749283982</v>
      </c>
      <c r="Y112" s="16"/>
      <c r="Z112" s="20">
        <f>IF(T112=0,0,X112/T112)</f>
        <v>-0.75498767214073104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12295.62</v>
      </c>
      <c r="E114" s="4"/>
      <c r="F114" s="12">
        <f>IF(D$12=0,0,D114/D$12)</f>
        <v>0.14551609928111925</v>
      </c>
      <c r="G114" s="4"/>
      <c r="H114" s="4">
        <v>20715</v>
      </c>
      <c r="I114" s="4"/>
      <c r="J114" s="12">
        <f>IF(H$12=0,0,H114/H$12)</f>
        <v>0.1478702824632912</v>
      </c>
      <c r="K114" s="4"/>
      <c r="L114" s="4">
        <f>+D114-H114</f>
        <v>-8419.3799999999992</v>
      </c>
      <c r="M114" s="4"/>
      <c r="N114" s="12">
        <f>IF(H114=0,0,L114/H114)</f>
        <v>-0.40643881245474289</v>
      </c>
      <c r="O114" s="10"/>
      <c r="P114" s="4">
        <v>171017.42</v>
      </c>
      <c r="Q114" s="4"/>
      <c r="R114" s="12">
        <f>IF(P$12=0,0,P114/P$12)</f>
        <v>0.10800769866137652</v>
      </c>
      <c r="S114" s="4"/>
      <c r="T114" s="4">
        <v>183171</v>
      </c>
      <c r="U114" s="4"/>
      <c r="V114" s="12">
        <f>IF(T$12=0,0,T114/T$12)</f>
        <v>0.12881431978154359</v>
      </c>
      <c r="W114" s="4"/>
      <c r="X114" s="4">
        <f>+P114-T114</f>
        <v>-12153.579999999987</v>
      </c>
      <c r="Y114" s="4"/>
      <c r="Z114" s="12">
        <f>IF(T114=0,0,X114/T114)</f>
        <v>-6.6351005344732442E-2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1">
        <f>+D112-D114</f>
        <v>-11648.199999999992</v>
      </c>
      <c r="E116" s="14"/>
      <c r="F116" s="32">
        <f>IF(D$12=0,0,D116/D$12)</f>
        <v>-0.13785401855671631</v>
      </c>
      <c r="G116" s="14"/>
      <c r="H116" s="31">
        <f>+H112-H114</f>
        <v>-2130.1861123169219</v>
      </c>
      <c r="I116" s="14"/>
      <c r="J116" s="32">
        <f>IF(H$12=0,0,H116/H$12)</f>
        <v>-1.5205948449320945E-2</v>
      </c>
      <c r="K116" s="16"/>
      <c r="L116" s="31">
        <f>D116-H116</f>
        <v>-9518.0138876830697</v>
      </c>
      <c r="M116" s="16"/>
      <c r="N116" s="32">
        <f>IF(H116=0,0,L116/H116)</f>
        <v>4.4681607079536771</v>
      </c>
      <c r="O116" s="28"/>
      <c r="P116" s="31">
        <f>+P112-P114</f>
        <v>-115879.78999999983</v>
      </c>
      <c r="Q116" s="14"/>
      <c r="R116" s="32">
        <f>IF(P$12=0,0,P116/P$12)</f>
        <v>-7.3184997407068672E-2</v>
      </c>
      <c r="S116" s="14"/>
      <c r="T116" s="31">
        <f>+T112-T114</f>
        <v>41869.22749284</v>
      </c>
      <c r="U116" s="14"/>
      <c r="V116" s="32">
        <f>IF(T$12=0,0,T116/T$12)</f>
        <v>2.944437743566879E-2</v>
      </c>
      <c r="W116" s="16"/>
      <c r="X116" s="31">
        <f>P116-T116</f>
        <v>-157749.01749283983</v>
      </c>
      <c r="Y116" s="16"/>
      <c r="Z116" s="32">
        <f>IF(T116=0,0,X116/T116)</f>
        <v>-3.7676600916464551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5">
        <f>SUM(D116:D118)</f>
        <v>-11648.199999999992</v>
      </c>
      <c r="E119" s="14"/>
      <c r="F119" s="34">
        <f>IF(D$12=0,0,D119/D$12)</f>
        <v>-0.13785401855671631</v>
      </c>
      <c r="G119" s="14"/>
      <c r="H119" s="35">
        <f>SUM(H116:H118)</f>
        <v>-2130.1861123169219</v>
      </c>
      <c r="I119" s="14"/>
      <c r="J119" s="34">
        <f>IF(H$12=0,0,H119/H$12)</f>
        <v>-1.5205948449320945E-2</v>
      </c>
      <c r="K119" s="16"/>
      <c r="L119" s="35">
        <f>+D119-H119</f>
        <v>-9518.0138876830697</v>
      </c>
      <c r="M119" s="16"/>
      <c r="N119" s="34">
        <f>IF(H119=0,0,L119/H119)</f>
        <v>4.4681607079536771</v>
      </c>
      <c r="O119" s="28"/>
      <c r="P119" s="35">
        <f>SUM(P116:P118)</f>
        <v>-115879.78999999983</v>
      </c>
      <c r="Q119" s="14"/>
      <c r="R119" s="34">
        <f>IF(P$12=0,0,P119/P$12)</f>
        <v>-7.3184997407068672E-2</v>
      </c>
      <c r="S119" s="14"/>
      <c r="T119" s="35">
        <f>SUM(T116:T118)</f>
        <v>41869.22749284</v>
      </c>
      <c r="U119" s="14"/>
      <c r="V119" s="34">
        <f>IF(T$12=0,0,T119/T$12)</f>
        <v>2.944437743566879E-2</v>
      </c>
      <c r="W119" s="16"/>
      <c r="X119" s="35">
        <f>+P119-T119</f>
        <v>-157749.01749283983</v>
      </c>
      <c r="Y119" s="16"/>
      <c r="Z119" s="34">
        <f>IF(T119=0,0,X119/T119)</f>
        <v>-3.7676600916464551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63">
        <v>43847.445988888889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A122" s="9"/>
      <c r="B122" s="55" t="s">
        <v>314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6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","318", " - ", "E-Commerce")</f>
        <v>Department 318 - E-Commerce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0">
        <f>IF(D$12=0,0,D18/D$12)</f>
        <v>0</v>
      </c>
      <c r="G18" s="21"/>
      <c r="H18" s="21">
        <f>SUM(0)</f>
        <v>0</v>
      </c>
      <c r="I18" s="21"/>
      <c r="J18" s="30">
        <f>IF(H$12=0,0,H18/H$12)</f>
        <v>0</v>
      </c>
      <c r="K18" s="4"/>
      <c r="L18" s="21">
        <f>+D18-H18</f>
        <v>0</v>
      </c>
      <c r="M18" s="4"/>
      <c r="N18" s="30">
        <f>IF(H18=0,0,L18/H18)</f>
        <v>0</v>
      </c>
      <c r="O18" s="10"/>
      <c r="P18" s="21">
        <f>SUM(0)</f>
        <v>0</v>
      </c>
      <c r="Q18" s="21"/>
      <c r="R18" s="30">
        <f>IF(P$12=0,0,P18/P$12)</f>
        <v>0</v>
      </c>
      <c r="S18" s="21"/>
      <c r="T18" s="21">
        <f>SUM(0)</f>
        <v>0</v>
      </c>
      <c r="U18" s="21"/>
      <c r="V18" s="30">
        <f>IF(T$12=0,0,T18/T$12)</f>
        <v>0</v>
      </c>
      <c r="W18" s="4"/>
      <c r="X18" s="21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6"/>
      <c r="L26" s="31">
        <f>D26-H26</f>
        <v>0</v>
      </c>
      <c r="M26" s="16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6"/>
      <c r="X26" s="31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5">
        <f>SUM(D26:D28)</f>
        <v>0</v>
      </c>
      <c r="E29" s="14"/>
      <c r="F29" s="34">
        <f>IF(D$12=0,0,D29/D$12)</f>
        <v>0</v>
      </c>
      <c r="G29" s="14"/>
      <c r="H29" s="35">
        <f>SUM(H26:H28)</f>
        <v>0</v>
      </c>
      <c r="I29" s="14"/>
      <c r="J29" s="34">
        <f>IF(H$12=0,0,H29/H$12)</f>
        <v>0</v>
      </c>
      <c r="K29" s="16"/>
      <c r="L29" s="35">
        <f>+D29-H29</f>
        <v>0</v>
      </c>
      <c r="M29" s="16"/>
      <c r="N29" s="34">
        <f>IF(H29=0,0,L29/H29)</f>
        <v>0</v>
      </c>
      <c r="O29" s="28"/>
      <c r="P29" s="35">
        <f>SUM(P26:P28)</f>
        <v>0</v>
      </c>
      <c r="Q29" s="14"/>
      <c r="R29" s="34">
        <f>IF(P$12=0,0,P29/P$12)</f>
        <v>0</v>
      </c>
      <c r="S29" s="14"/>
      <c r="T29" s="35">
        <f>SUM(T26:T28)</f>
        <v>0</v>
      </c>
      <c r="U29" s="14"/>
      <c r="V29" s="34">
        <f>IF(T$12=0,0,T29/T$12)</f>
        <v>0</v>
      </c>
      <c r="W29" s="16"/>
      <c r="X29" s="35">
        <f>+P29-T29</f>
        <v>0</v>
      </c>
      <c r="Y29" s="16"/>
      <c r="Z29" s="34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3">
        <v>43847.446002546298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55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6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307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207967.3</v>
      </c>
      <c r="E12" s="4"/>
      <c r="F12" s="12"/>
      <c r="G12" s="4"/>
      <c r="H12" s="4">
        <f>SUM(OSRRefH13x_0)</f>
        <v>246046</v>
      </c>
      <c r="I12" s="4"/>
      <c r="J12" s="12"/>
      <c r="K12" s="4"/>
      <c r="L12" s="4">
        <f t="shared" ref="L12:L22" si="0">+D12-H12</f>
        <v>-38078.700000000012</v>
      </c>
      <c r="M12" s="4"/>
      <c r="N12" s="12">
        <f t="shared" ref="N12:N22" si="1">IF(H12=0,0,L12/H12)</f>
        <v>-0.15476252408086297</v>
      </c>
      <c r="O12" s="10"/>
      <c r="P12" s="4">
        <f>SUM(OSRRefP13x_0)</f>
        <v>1626792.8199999998</v>
      </c>
      <c r="Q12" s="4"/>
      <c r="R12" s="12"/>
      <c r="S12" s="4"/>
      <c r="T12" s="4">
        <f>SUM(OSRRefT13x_0)</f>
        <v>1631184.2</v>
      </c>
      <c r="U12" s="4"/>
      <c r="V12" s="12"/>
      <c r="W12" s="4"/>
      <c r="X12" s="4">
        <f t="shared" ref="X12:X22" si="2">+P12-T12</f>
        <v>-4391.3800000001211</v>
      </c>
      <c r="Y12" s="4"/>
      <c r="Z12" s="12">
        <f t="shared" ref="Z12:Z22" si="3">IF(T12=0,0,X12/T12)</f>
        <v>-2.692142309863056E-3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54036</v>
      </c>
      <c r="I13" s="2"/>
      <c r="J13" s="19"/>
      <c r="K13" s="2"/>
      <c r="L13" s="2">
        <f t="shared" si="0"/>
        <v>-54036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380459.2</v>
      </c>
      <c r="U13" s="2"/>
      <c r="V13" s="19"/>
      <c r="W13" s="2"/>
      <c r="X13" s="2">
        <f t="shared" si="2"/>
        <v>-380459.2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--28435.15</f>
        <v>28435.15</v>
      </c>
      <c r="E14" s="2"/>
      <c r="F14" s="19"/>
      <c r="G14" s="2"/>
      <c r="H14" s="2"/>
      <c r="I14" s="2"/>
      <c r="J14" s="19"/>
      <c r="K14" s="2"/>
      <c r="L14" s="2">
        <f t="shared" si="0"/>
        <v>28435.15</v>
      </c>
      <c r="M14" s="2"/>
      <c r="N14" s="19">
        <f t="shared" si="1"/>
        <v>0</v>
      </c>
      <c r="O14" s="11"/>
      <c r="P14" s="2">
        <f>--189948.88</f>
        <v>189948.88</v>
      </c>
      <c r="Q14" s="2"/>
      <c r="R14" s="19"/>
      <c r="S14" s="2"/>
      <c r="T14" s="2"/>
      <c r="U14" s="2"/>
      <c r="V14" s="19"/>
      <c r="W14" s="2"/>
      <c r="X14" s="2">
        <f t="shared" si="2"/>
        <v>189948.88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--282.75</f>
        <v>282.75</v>
      </c>
      <c r="E15" s="2"/>
      <c r="F15" s="19"/>
      <c r="G15" s="2"/>
      <c r="H15" s="2"/>
      <c r="I15" s="2"/>
      <c r="J15" s="19"/>
      <c r="K15" s="2"/>
      <c r="L15" s="2">
        <f t="shared" si="0"/>
        <v>282.75</v>
      </c>
      <c r="M15" s="2"/>
      <c r="N15" s="19">
        <f t="shared" si="1"/>
        <v>0</v>
      </c>
      <c r="O15" s="11"/>
      <c r="P15" s="2">
        <f>--2201.92</f>
        <v>2201.92</v>
      </c>
      <c r="Q15" s="2"/>
      <c r="R15" s="19"/>
      <c r="S15" s="2"/>
      <c r="T15" s="2"/>
      <c r="U15" s="2"/>
      <c r="V15" s="19"/>
      <c r="W15" s="2"/>
      <c r="X15" s="2">
        <f t="shared" si="2"/>
        <v>2201.92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--16373.97</f>
        <v>16373.97</v>
      </c>
      <c r="E16" s="2"/>
      <c r="F16" s="19"/>
      <c r="G16" s="2"/>
      <c r="H16" s="2"/>
      <c r="I16" s="2"/>
      <c r="J16" s="19"/>
      <c r="K16" s="2"/>
      <c r="L16" s="2">
        <f t="shared" si="0"/>
        <v>16373.97</v>
      </c>
      <c r="M16" s="2"/>
      <c r="N16" s="19">
        <f t="shared" si="1"/>
        <v>0</v>
      </c>
      <c r="O16" s="11"/>
      <c r="P16" s="2">
        <f>--108371.16</f>
        <v>108371.16</v>
      </c>
      <c r="Q16" s="2"/>
      <c r="R16" s="19"/>
      <c r="S16" s="2"/>
      <c r="T16" s="2"/>
      <c r="U16" s="2"/>
      <c r="V16" s="19"/>
      <c r="W16" s="2"/>
      <c r="X16" s="2">
        <f t="shared" si="2"/>
        <v>108371.16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192010</v>
      </c>
      <c r="I17" s="2"/>
      <c r="J17" s="19"/>
      <c r="K17" s="2"/>
      <c r="L17" s="2">
        <f t="shared" si="0"/>
        <v>-192010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1250725</v>
      </c>
      <c r="U17" s="2"/>
      <c r="V17" s="19"/>
      <c r="W17" s="2"/>
      <c r="X17" s="2">
        <f t="shared" si="2"/>
        <v>-1250725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--84051.32</f>
        <v>84051.32</v>
      </c>
      <c r="E18" s="2"/>
      <c r="F18" s="19"/>
      <c r="G18" s="2"/>
      <c r="H18" s="2"/>
      <c r="I18" s="2"/>
      <c r="J18" s="19"/>
      <c r="K18" s="2"/>
      <c r="L18" s="2">
        <f t="shared" si="0"/>
        <v>84051.32</v>
      </c>
      <c r="M18" s="2"/>
      <c r="N18" s="19">
        <f t="shared" si="1"/>
        <v>0</v>
      </c>
      <c r="O18" s="11"/>
      <c r="P18" s="2">
        <f>--739121.72</f>
        <v>739121.72</v>
      </c>
      <c r="Q18" s="2"/>
      <c r="R18" s="19"/>
      <c r="S18" s="2"/>
      <c r="T18" s="2"/>
      <c r="U18" s="2"/>
      <c r="V18" s="19"/>
      <c r="W18" s="2"/>
      <c r="X18" s="2">
        <f t="shared" si="2"/>
        <v>739121.72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--0.39</f>
        <v>0.39</v>
      </c>
      <c r="Q19" s="2"/>
      <c r="R19" s="19"/>
      <c r="S19" s="2"/>
      <c r="T19" s="2"/>
      <c r="U19" s="2"/>
      <c r="V19" s="19"/>
      <c r="W19" s="2"/>
      <c r="X19" s="2">
        <f t="shared" si="2"/>
        <v>0.39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--125.56</f>
        <v>125.56</v>
      </c>
      <c r="E20" s="2"/>
      <c r="F20" s="19"/>
      <c r="G20" s="2"/>
      <c r="H20" s="2"/>
      <c r="I20" s="2"/>
      <c r="J20" s="19"/>
      <c r="K20" s="2"/>
      <c r="L20" s="2">
        <f t="shared" si="0"/>
        <v>125.56</v>
      </c>
      <c r="M20" s="2"/>
      <c r="N20" s="19">
        <f t="shared" si="1"/>
        <v>0</v>
      </c>
      <c r="O20" s="11"/>
      <c r="P20" s="2">
        <f>--1150.1</f>
        <v>1150.0999999999999</v>
      </c>
      <c r="Q20" s="2"/>
      <c r="R20" s="19"/>
      <c r="S20" s="2"/>
      <c r="T20" s="2"/>
      <c r="U20" s="2"/>
      <c r="V20" s="19"/>
      <c r="W20" s="2"/>
      <c r="X20" s="2">
        <f t="shared" si="2"/>
        <v>1150.0999999999999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--75965.55</f>
        <v>75965.55</v>
      </c>
      <c r="E21" s="2"/>
      <c r="F21" s="19"/>
      <c r="G21" s="2"/>
      <c r="H21" s="2"/>
      <c r="I21" s="2"/>
      <c r="J21" s="19"/>
      <c r="K21" s="2"/>
      <c r="L21" s="2">
        <f t="shared" si="0"/>
        <v>75965.55</v>
      </c>
      <c r="M21" s="2"/>
      <c r="N21" s="19">
        <f t="shared" si="1"/>
        <v>0</v>
      </c>
      <c r="O21" s="11"/>
      <c r="P21" s="2">
        <f>--576438.65</f>
        <v>576438.65</v>
      </c>
      <c r="Q21" s="2"/>
      <c r="R21" s="19"/>
      <c r="S21" s="2"/>
      <c r="T21" s="2"/>
      <c r="U21" s="2"/>
      <c r="V21" s="19"/>
      <c r="W21" s="2"/>
      <c r="X21" s="2">
        <f t="shared" si="2"/>
        <v>576438.65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--2733</f>
        <v>2733</v>
      </c>
      <c r="E22" s="2"/>
      <c r="F22" s="19"/>
      <c r="G22" s="2"/>
      <c r="H22" s="2"/>
      <c r="I22" s="2"/>
      <c r="J22" s="19"/>
      <c r="K22" s="2"/>
      <c r="L22" s="2">
        <f t="shared" si="0"/>
        <v>2733</v>
      </c>
      <c r="M22" s="2"/>
      <c r="N22" s="19">
        <f t="shared" si="1"/>
        <v>0</v>
      </c>
      <c r="O22" s="11"/>
      <c r="P22" s="2">
        <f>--9560</f>
        <v>9560</v>
      </c>
      <c r="Q22" s="2"/>
      <c r="R22" s="19"/>
      <c r="S22" s="2"/>
      <c r="T22" s="2"/>
      <c r="U22" s="2"/>
      <c r="V22" s="19"/>
      <c r="W22" s="2"/>
      <c r="X22" s="2">
        <f t="shared" si="2"/>
        <v>9560</v>
      </c>
      <c r="Y22" s="2"/>
      <c r="Z22" s="19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95403.959999999992</v>
      </c>
      <c r="E24" s="4"/>
      <c r="F24" s="12">
        <f t="shared" ref="F24:F27" si="4">IF(D$12=0,0,D24/D$12)</f>
        <v>0.45874500462332296</v>
      </c>
      <c r="G24" s="4"/>
      <c r="H24" s="4">
        <f>SUM(OSRRefH16x_0)</f>
        <v>118532</v>
      </c>
      <c r="I24" s="4"/>
      <c r="J24" s="12">
        <f t="shared" ref="J24:J27" si="5">IF(H$12=0,0,H24/H$12)</f>
        <v>0.48174731554262212</v>
      </c>
      <c r="K24" s="4"/>
      <c r="L24" s="4">
        <f t="shared" ref="L24:L27" si="6">+D24-H24</f>
        <v>-23128.040000000008</v>
      </c>
      <c r="M24" s="4"/>
      <c r="N24" s="12">
        <f t="shared" ref="N24:N27" si="7">IF(H24=0,0,L24/H24)</f>
        <v>-0.19512064252691264</v>
      </c>
      <c r="O24" s="10"/>
      <c r="P24" s="4">
        <f>SUM(OSRRefP16x_0)</f>
        <v>774258.54</v>
      </c>
      <c r="Q24" s="4"/>
      <c r="R24" s="12">
        <f t="shared" ref="R24:R27" si="8">IF(P$12=0,0,P24/P$12)</f>
        <v>0.4759416998164524</v>
      </c>
      <c r="S24" s="4"/>
      <c r="T24" s="4">
        <f>SUM(OSRRefT16x_0)</f>
        <v>785949</v>
      </c>
      <c r="U24" s="4"/>
      <c r="V24" s="12">
        <f t="shared" ref="V24:V27" si="9">IF(T$12=0,0,T24/T$12)</f>
        <v>0.48182725163718482</v>
      </c>
      <c r="W24" s="4"/>
      <c r="X24" s="4">
        <f t="shared" ref="X24:X27" si="10">+P24-T24</f>
        <v>-11690.459999999963</v>
      </c>
      <c r="Y24" s="4"/>
      <c r="Z24" s="12">
        <f t="shared" ref="Z24:Z27" si="11">IF(T24=0,0,X24/T24)</f>
        <v>-1.4874323906512971E-2</v>
      </c>
    </row>
    <row r="25" spans="1:26" s="24" customFormat="1" hidden="1" outlineLevel="1" x14ac:dyDescent="0.25">
      <c r="A25" s="44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19">
        <f t="shared" si="4"/>
        <v>0</v>
      </c>
      <c r="G25" s="2"/>
      <c r="H25" s="2">
        <v>118532</v>
      </c>
      <c r="I25" s="2"/>
      <c r="J25" s="19">
        <f t="shared" si="5"/>
        <v>0.48174731554262212</v>
      </c>
      <c r="K25" s="2"/>
      <c r="L25" s="2">
        <f t="shared" si="6"/>
        <v>-118532</v>
      </c>
      <c r="M25" s="2"/>
      <c r="N25" s="19">
        <f t="shared" si="7"/>
        <v>-1</v>
      </c>
      <c r="O25" s="11"/>
      <c r="P25" s="2"/>
      <c r="Q25" s="2"/>
      <c r="R25" s="19">
        <f t="shared" si="8"/>
        <v>0</v>
      </c>
      <c r="S25" s="2"/>
      <c r="T25" s="2">
        <v>785949</v>
      </c>
      <c r="U25" s="2"/>
      <c r="V25" s="19">
        <f t="shared" si="9"/>
        <v>0.48182725163718482</v>
      </c>
      <c r="W25" s="2"/>
      <c r="X25" s="2">
        <f t="shared" si="10"/>
        <v>-785949</v>
      </c>
      <c r="Y25" s="2"/>
      <c r="Z25" s="19">
        <f t="shared" si="11"/>
        <v>-1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70856.59</v>
      </c>
      <c r="E26" s="2"/>
      <c r="F26" s="19">
        <f t="shared" si="4"/>
        <v>0.34071024627429408</v>
      </c>
      <c r="G26" s="2"/>
      <c r="H26" s="2"/>
      <c r="I26" s="2"/>
      <c r="J26" s="19">
        <f t="shared" si="5"/>
        <v>0</v>
      </c>
      <c r="K26" s="2"/>
      <c r="L26" s="2">
        <f t="shared" si="6"/>
        <v>70856.59</v>
      </c>
      <c r="M26" s="2"/>
      <c r="N26" s="19">
        <f t="shared" si="7"/>
        <v>0</v>
      </c>
      <c r="O26" s="11"/>
      <c r="P26" s="2">
        <v>783872.38</v>
      </c>
      <c r="Q26" s="2"/>
      <c r="R26" s="19">
        <f t="shared" si="8"/>
        <v>0.48185138904166058</v>
      </c>
      <c r="S26" s="2"/>
      <c r="T26" s="2"/>
      <c r="U26" s="2"/>
      <c r="V26" s="19">
        <f t="shared" si="9"/>
        <v>0</v>
      </c>
      <c r="W26" s="2"/>
      <c r="X26" s="2">
        <f t="shared" si="10"/>
        <v>783872.38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24547.37</v>
      </c>
      <c r="E27" s="2"/>
      <c r="F27" s="19">
        <f t="shared" si="4"/>
        <v>0.11803475834902891</v>
      </c>
      <c r="G27" s="2"/>
      <c r="H27" s="2"/>
      <c r="I27" s="2"/>
      <c r="J27" s="19">
        <f t="shared" si="5"/>
        <v>0</v>
      </c>
      <c r="K27" s="2"/>
      <c r="L27" s="2">
        <f t="shared" si="6"/>
        <v>24547.37</v>
      </c>
      <c r="M27" s="2"/>
      <c r="N27" s="19">
        <f t="shared" si="7"/>
        <v>0</v>
      </c>
      <c r="O27" s="11"/>
      <c r="P27" s="2">
        <v>-9613.84</v>
      </c>
      <c r="Q27" s="2"/>
      <c r="R27" s="19">
        <f t="shared" si="8"/>
        <v>-5.9096892252081621E-3</v>
      </c>
      <c r="S27" s="2"/>
      <c r="T27" s="2"/>
      <c r="U27" s="2"/>
      <c r="V27" s="19">
        <f t="shared" si="9"/>
        <v>0</v>
      </c>
      <c r="W27" s="2"/>
      <c r="X27" s="2">
        <f t="shared" si="10"/>
        <v>-9613.84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D12-D24</f>
        <v>112563.34</v>
      </c>
      <c r="E29" s="14"/>
      <c r="F29" s="20">
        <f>IF(D$12=0,0,D29/D$12)</f>
        <v>0.54125499537667698</v>
      </c>
      <c r="G29" s="14"/>
      <c r="H29" s="22">
        <f>H12-H24</f>
        <v>127514</v>
      </c>
      <c r="I29" s="14"/>
      <c r="J29" s="20">
        <f>IF(H$12=0,0,H29/H$12)</f>
        <v>0.51825268445737793</v>
      </c>
      <c r="K29" s="16"/>
      <c r="L29" s="22">
        <f>+D29-H29</f>
        <v>-14950.660000000003</v>
      </c>
      <c r="M29" s="16"/>
      <c r="N29" s="20">
        <f>IF(H29=0,0,L29/H29)</f>
        <v>-0.11724720422855532</v>
      </c>
      <c r="O29" s="28"/>
      <c r="P29" s="22">
        <f>P12-P24</f>
        <v>852534.2799999998</v>
      </c>
      <c r="Q29" s="14"/>
      <c r="R29" s="20">
        <f>IF(P$12=0,0,P29/P$12)</f>
        <v>0.5240583001835476</v>
      </c>
      <c r="S29" s="14"/>
      <c r="T29" s="22">
        <f>T12-T24</f>
        <v>845235.19999999995</v>
      </c>
      <c r="U29" s="14"/>
      <c r="V29" s="20">
        <f>IF(T$12=0,0,T29/T$12)</f>
        <v>0.51817274836281513</v>
      </c>
      <c r="W29" s="16"/>
      <c r="X29" s="22">
        <f>+P29-T29</f>
        <v>7299.0799999998417</v>
      </c>
      <c r="Y29" s="16"/>
      <c r="Z29" s="20">
        <f>IF(T29=0,0,X29/T29)</f>
        <v>8.6355608474420406E-3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1">
        <f>SUM(OSRRefD22x_0)</f>
        <v>99742.12999999999</v>
      </c>
      <c r="E31" s="21"/>
      <c r="F31" s="30">
        <f t="shared" ref="F31:F41" si="12">IF(D$12=0,0,D31/D$12)</f>
        <v>0.47960487057340262</v>
      </c>
      <c r="G31" s="21"/>
      <c r="H31" s="21">
        <f>SUM(OSRRefH22x_0)</f>
        <v>96230.144412638474</v>
      </c>
      <c r="I31" s="21"/>
      <c r="J31" s="30">
        <f t="shared" ref="J31:J41" si="13">IF(H$12=0,0,H31/H$12)</f>
        <v>0.39110631513066041</v>
      </c>
      <c r="K31" s="4"/>
      <c r="L31" s="21">
        <f t="shared" ref="L31:L41" si="14">+D31-H31</f>
        <v>3511.9855873615161</v>
      </c>
      <c r="M31" s="4"/>
      <c r="N31" s="30">
        <f t="shared" ref="N31:N41" si="15">IF(H31=0,0,L31/H31)</f>
        <v>3.6495690708952797E-2</v>
      </c>
      <c r="O31" s="10"/>
      <c r="P31" s="21">
        <f>SUM(OSRRefP22x_0)</f>
        <v>638674.50999999989</v>
      </c>
      <c r="Q31" s="21"/>
      <c r="R31" s="30">
        <f t="shared" ref="R31:R41" si="16">IF(P$12=0,0,P31/P$12)</f>
        <v>0.39259732533119979</v>
      </c>
      <c r="S31" s="21"/>
      <c r="T31" s="21">
        <f>SUM(OSRRefT22x_0)</f>
        <v>615617.89515065006</v>
      </c>
      <c r="U31" s="21"/>
      <c r="V31" s="30">
        <f t="shared" ref="V31:V41" si="17">IF(T$12=0,0,T31/T$12)</f>
        <v>0.37740550402011624</v>
      </c>
      <c r="W31" s="4"/>
      <c r="X31" s="21">
        <f t="shared" ref="X31:X41" si="18">+P31-T31</f>
        <v>23056.614849349833</v>
      </c>
      <c r="Y31" s="4"/>
      <c r="Z31" s="30">
        <f t="shared" ref="Z31:Z41" si="19">IF(T31=0,0,X31/T31)</f>
        <v>3.7452801536426369E-2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11181.929999999998</v>
      </c>
      <c r="E32" s="1"/>
      <c r="F32" s="5">
        <f t="shared" si="12"/>
        <v>5.3767731753982473E-2</v>
      </c>
      <c r="G32" s="1"/>
      <c r="H32" s="1">
        <f>SUM(OSRRefH22_0x_0)</f>
        <v>12206.849451099997</v>
      </c>
      <c r="I32" s="1"/>
      <c r="J32" s="5">
        <f t="shared" si="13"/>
        <v>4.9612062179836276E-2</v>
      </c>
      <c r="K32" s="1"/>
      <c r="L32" s="1">
        <f t="shared" si="14"/>
        <v>-1024.9194510999987</v>
      </c>
      <c r="M32" s="1"/>
      <c r="N32" s="5">
        <f t="shared" si="15"/>
        <v>-8.396265188702233E-2</v>
      </c>
      <c r="O32" s="13"/>
      <c r="P32" s="1">
        <f>SUM(OSRRefP22_0x_0)</f>
        <v>84044.49</v>
      </c>
      <c r="Q32" s="1"/>
      <c r="R32" s="5">
        <f t="shared" si="16"/>
        <v>5.1662688061286141E-2</v>
      </c>
      <c r="S32" s="1"/>
      <c r="T32" s="1">
        <f>SUM(OSRRefT22_0x_0)</f>
        <v>77389.032900649996</v>
      </c>
      <c r="U32" s="1"/>
      <c r="V32" s="5">
        <f t="shared" si="17"/>
        <v>4.7443466470954043E-2</v>
      </c>
      <c r="W32" s="1"/>
      <c r="X32" s="1">
        <f t="shared" si="18"/>
        <v>6655.4570993500092</v>
      </c>
      <c r="Y32" s="1"/>
      <c r="Z32" s="5">
        <f t="shared" si="19"/>
        <v>8.6000003487498158E-2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6">
        <v>1674.44</v>
      </c>
      <c r="E33" s="2"/>
      <c r="F33" s="7">
        <f t="shared" si="12"/>
        <v>8.0514580898054661E-3</v>
      </c>
      <c r="G33" s="2"/>
      <c r="H33" s="6">
        <v>1436.9220406384609</v>
      </c>
      <c r="I33" s="2"/>
      <c r="J33" s="7">
        <f t="shared" si="13"/>
        <v>5.8400544639557678E-3</v>
      </c>
      <c r="K33" s="2"/>
      <c r="L33" s="6">
        <f t="shared" si="14"/>
        <v>237.51795936153917</v>
      </c>
      <c r="M33" s="2"/>
      <c r="N33" s="7">
        <f t="shared" si="15"/>
        <v>0.16529634360400228</v>
      </c>
      <c r="O33" s="11"/>
      <c r="P33" s="6">
        <v>14367.88</v>
      </c>
      <c r="Q33" s="2"/>
      <c r="R33" s="7">
        <f t="shared" si="16"/>
        <v>8.8320281620126659E-3</v>
      </c>
      <c r="S33" s="2"/>
      <c r="T33" s="6">
        <v>10596.803362649996</v>
      </c>
      <c r="U33" s="2"/>
      <c r="V33" s="7">
        <f t="shared" si="17"/>
        <v>6.4963867125797303E-3</v>
      </c>
      <c r="W33" s="2"/>
      <c r="X33" s="6">
        <f t="shared" si="18"/>
        <v>3771.0766373500028</v>
      </c>
      <c r="Y33" s="2"/>
      <c r="Z33" s="7">
        <f t="shared" si="19"/>
        <v>0.35586926625832477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6">
        <v>1343.94</v>
      </c>
      <c r="E34" s="2"/>
      <c r="F34" s="7">
        <f t="shared" si="12"/>
        <v>6.4622659427708111E-3</v>
      </c>
      <c r="G34" s="2"/>
      <c r="H34" s="6">
        <v>1003.906449230769</v>
      </c>
      <c r="I34" s="2"/>
      <c r="J34" s="7">
        <f t="shared" si="13"/>
        <v>4.0801575690349321E-3</v>
      </c>
      <c r="K34" s="2"/>
      <c r="L34" s="6">
        <f t="shared" si="14"/>
        <v>340.03355076923106</v>
      </c>
      <c r="M34" s="2"/>
      <c r="N34" s="7">
        <f t="shared" si="15"/>
        <v>0.33871039580408874</v>
      </c>
      <c r="O34" s="11"/>
      <c r="P34" s="6">
        <v>5385.78</v>
      </c>
      <c r="Q34" s="2"/>
      <c r="R34" s="7">
        <f t="shared" si="16"/>
        <v>3.3106735742784998E-3</v>
      </c>
      <c r="S34" s="2"/>
      <c r="T34" s="6">
        <v>6400.824595</v>
      </c>
      <c r="U34" s="2"/>
      <c r="V34" s="7">
        <f t="shared" si="17"/>
        <v>3.9240354308238152E-3</v>
      </c>
      <c r="W34" s="2"/>
      <c r="X34" s="6">
        <f t="shared" si="18"/>
        <v>-1015.0445950000003</v>
      </c>
      <c r="Y34" s="2"/>
      <c r="Z34" s="7">
        <f t="shared" si="19"/>
        <v>-0.1585802860139148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6">
        <v>4476.93</v>
      </c>
      <c r="E35" s="2"/>
      <c r="F35" s="7">
        <f t="shared" si="12"/>
        <v>2.1527086229421646E-2</v>
      </c>
      <c r="G35" s="2"/>
      <c r="H35" s="6">
        <v>5998</v>
      </c>
      <c r="I35" s="2"/>
      <c r="J35" s="7">
        <f t="shared" si="13"/>
        <v>2.4377555416466839E-2</v>
      </c>
      <c r="K35" s="2"/>
      <c r="L35" s="6">
        <f t="shared" si="14"/>
        <v>-1521.0699999999997</v>
      </c>
      <c r="M35" s="2"/>
      <c r="N35" s="7">
        <f t="shared" si="15"/>
        <v>-0.25359619873291095</v>
      </c>
      <c r="O35" s="11"/>
      <c r="P35" s="6">
        <v>36835.43</v>
      </c>
      <c r="Q35" s="2"/>
      <c r="R35" s="7">
        <f t="shared" si="16"/>
        <v>2.2642975520386181E-2</v>
      </c>
      <c r="S35" s="2"/>
      <c r="T35" s="6">
        <v>35988</v>
      </c>
      <c r="U35" s="2"/>
      <c r="V35" s="7">
        <f t="shared" si="17"/>
        <v>2.2062499134064689E-2</v>
      </c>
      <c r="W35" s="2"/>
      <c r="X35" s="6">
        <f t="shared" si="18"/>
        <v>847.43000000000029</v>
      </c>
      <c r="Y35" s="2"/>
      <c r="Z35" s="7">
        <f t="shared" si="19"/>
        <v>2.3547571412693129E-2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6">
        <v>178.7</v>
      </c>
      <c r="E36" s="2"/>
      <c r="F36" s="7">
        <f t="shared" si="12"/>
        <v>8.5926970249649822E-4</v>
      </c>
      <c r="G36" s="2"/>
      <c r="H36" s="6">
        <v>137.37667200000001</v>
      </c>
      <c r="I36" s="2"/>
      <c r="J36" s="7">
        <f t="shared" si="13"/>
        <v>5.5833735155214883E-4</v>
      </c>
      <c r="K36" s="2"/>
      <c r="L36" s="6">
        <f t="shared" si="14"/>
        <v>41.323327999999975</v>
      </c>
      <c r="M36" s="2"/>
      <c r="N36" s="7">
        <f t="shared" si="15"/>
        <v>0.30080309413813699</v>
      </c>
      <c r="O36" s="11"/>
      <c r="P36" s="6">
        <v>870.25</v>
      </c>
      <c r="Q36" s="2"/>
      <c r="R36" s="7">
        <f t="shared" si="16"/>
        <v>5.349482671063179E-4</v>
      </c>
      <c r="S36" s="2"/>
      <c r="T36" s="6">
        <v>875.90231300000005</v>
      </c>
      <c r="U36" s="2"/>
      <c r="V36" s="7">
        <f t="shared" si="17"/>
        <v>5.369732694811537E-4</v>
      </c>
      <c r="W36" s="2"/>
      <c r="X36" s="6">
        <f t="shared" si="18"/>
        <v>-5.6523130000000492</v>
      </c>
      <c r="Y36" s="2"/>
      <c r="Z36" s="7">
        <f t="shared" si="19"/>
        <v>-6.4531317204091559E-3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6">
        <v>1363.79</v>
      </c>
      <c r="E37" s="2"/>
      <c r="F37" s="7">
        <f t="shared" si="12"/>
        <v>6.5577136405579146E-3</v>
      </c>
      <c r="G37" s="2"/>
      <c r="H37" s="6">
        <v>1499.133212307692</v>
      </c>
      <c r="I37" s="2"/>
      <c r="J37" s="7">
        <f t="shared" si="13"/>
        <v>6.0928981259914484E-3</v>
      </c>
      <c r="K37" s="2"/>
      <c r="L37" s="6">
        <f t="shared" si="14"/>
        <v>-135.34321230769206</v>
      </c>
      <c r="M37" s="2"/>
      <c r="N37" s="7">
        <f t="shared" si="15"/>
        <v>-9.0280977832084289E-2</v>
      </c>
      <c r="O37" s="11"/>
      <c r="P37" s="6">
        <v>9651.67</v>
      </c>
      <c r="Q37" s="2"/>
      <c r="R37" s="7">
        <f t="shared" si="16"/>
        <v>5.9329435692985176E-3</v>
      </c>
      <c r="S37" s="2"/>
      <c r="T37" s="6">
        <v>9744.3658800000012</v>
      </c>
      <c r="U37" s="2"/>
      <c r="V37" s="7">
        <f t="shared" si="17"/>
        <v>5.9737985936842699E-3</v>
      </c>
      <c r="W37" s="2"/>
      <c r="X37" s="6">
        <f t="shared" si="18"/>
        <v>-92.695880000001125</v>
      </c>
      <c r="Y37" s="2"/>
      <c r="Z37" s="7">
        <f t="shared" si="19"/>
        <v>-9.5127667763642218E-3</v>
      </c>
    </row>
    <row r="38" spans="1:26" s="24" customFormat="1" hidden="1" outlineLevel="2" x14ac:dyDescent="0.25">
      <c r="A38" s="26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909.14</v>
      </c>
      <c r="E39" s="2"/>
      <c r="F39" s="7">
        <f t="shared" si="12"/>
        <v>4.3715526431318775E-3</v>
      </c>
      <c r="G39" s="2"/>
      <c r="H39" s="6">
        <v>622.60579230769224</v>
      </c>
      <c r="I39" s="2"/>
      <c r="J39" s="7">
        <f t="shared" si="13"/>
        <v>2.5304446823264438E-3</v>
      </c>
      <c r="K39" s="2"/>
      <c r="L39" s="6">
        <f t="shared" si="14"/>
        <v>286.53420769230775</v>
      </c>
      <c r="M39" s="2"/>
      <c r="N39" s="7">
        <f t="shared" si="15"/>
        <v>0.46021770313165078</v>
      </c>
      <c r="O39" s="11"/>
      <c r="P39" s="6">
        <v>7797.58</v>
      </c>
      <c r="Q39" s="2"/>
      <c r="R39" s="7">
        <f t="shared" si="16"/>
        <v>4.7932225321722288E-3</v>
      </c>
      <c r="S39" s="2"/>
      <c r="T39" s="6">
        <v>4104.1798999999992</v>
      </c>
      <c r="U39" s="2"/>
      <c r="V39" s="7">
        <f t="shared" si="17"/>
        <v>2.516073843775583E-3</v>
      </c>
      <c r="W39" s="2"/>
      <c r="X39" s="6">
        <f t="shared" si="18"/>
        <v>3693.4001000000007</v>
      </c>
      <c r="Y39" s="2"/>
      <c r="Z39" s="7">
        <f t="shared" si="19"/>
        <v>0.89991184353298004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611</v>
      </c>
      <c r="E40" s="2"/>
      <c r="F40" s="7">
        <f t="shared" si="12"/>
        <v>2.9379618815073335E-3</v>
      </c>
      <c r="G40" s="2"/>
      <c r="H40" s="6">
        <v>1508.9052846153852</v>
      </c>
      <c r="I40" s="2"/>
      <c r="J40" s="7">
        <f t="shared" si="13"/>
        <v>6.1326145705087069E-3</v>
      </c>
      <c r="K40" s="2"/>
      <c r="L40" s="6">
        <f t="shared" si="14"/>
        <v>-897.9052846153852</v>
      </c>
      <c r="M40" s="2"/>
      <c r="N40" s="7">
        <f t="shared" si="15"/>
        <v>-0.59507067393183544</v>
      </c>
      <c r="O40" s="11"/>
      <c r="P40" s="6">
        <v>5350.08</v>
      </c>
      <c r="Q40" s="2"/>
      <c r="R40" s="7">
        <f t="shared" si="16"/>
        <v>3.2887285548752303E-3</v>
      </c>
      <c r="S40" s="2"/>
      <c r="T40" s="6">
        <v>9553.9568500000023</v>
      </c>
      <c r="U40" s="2"/>
      <c r="V40" s="7">
        <f t="shared" si="17"/>
        <v>5.8570680429592212E-3</v>
      </c>
      <c r="W40" s="2"/>
      <c r="X40" s="6">
        <f t="shared" si="18"/>
        <v>-4203.8768500000024</v>
      </c>
      <c r="Y40" s="2"/>
      <c r="Z40" s="7">
        <f t="shared" si="19"/>
        <v>-0.44001421777407351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623.99</v>
      </c>
      <c r="E41" s="2"/>
      <c r="F41" s="7">
        <f t="shared" si="12"/>
        <v>3.0004236242909344E-3</v>
      </c>
      <c r="G41" s="2"/>
      <c r="H41" s="6"/>
      <c r="I41" s="2"/>
      <c r="J41" s="7">
        <f t="shared" si="13"/>
        <v>0</v>
      </c>
      <c r="K41" s="2"/>
      <c r="L41" s="6">
        <f t="shared" si="14"/>
        <v>623.99</v>
      </c>
      <c r="M41" s="2"/>
      <c r="N41" s="7">
        <f t="shared" si="15"/>
        <v>0</v>
      </c>
      <c r="O41" s="11"/>
      <c r="P41" s="6">
        <v>3785.82</v>
      </c>
      <c r="Q41" s="2"/>
      <c r="R41" s="7">
        <f t="shared" si="16"/>
        <v>2.3271678811564956E-3</v>
      </c>
      <c r="S41" s="2"/>
      <c r="T41" s="6">
        <v>125</v>
      </c>
      <c r="U41" s="2"/>
      <c r="V41" s="7">
        <f t="shared" si="17"/>
        <v>7.6631443585586467E-5</v>
      </c>
      <c r="W41" s="2"/>
      <c r="X41" s="6">
        <f t="shared" si="18"/>
        <v>3660.82</v>
      </c>
      <c r="Y41" s="2"/>
      <c r="Z41" s="7">
        <f t="shared" si="19"/>
        <v>29.286560000000001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44075.56</v>
      </c>
      <c r="E42" s="1"/>
      <c r="F42" s="5">
        <f t="shared" ref="F42:F52" si="20">IF(D$12=0,0,D42/D$12)</f>
        <v>0.21193504940440155</v>
      </c>
      <c r="G42" s="1"/>
      <c r="H42" s="1">
        <f>SUM(OSRRefH22_1x_0)</f>
        <v>51616.294961538471</v>
      </c>
      <c r="I42" s="1"/>
      <c r="J42" s="5">
        <f t="shared" ref="J42:J52" si="21">IF(H$12=0,0,H42/H$12)</f>
        <v>0.20978310950610241</v>
      </c>
      <c r="K42" s="1"/>
      <c r="L42" s="1">
        <f t="shared" ref="L42:L52" si="22">+D42-H42</f>
        <v>-7540.7349615384737</v>
      </c>
      <c r="M42" s="1"/>
      <c r="N42" s="5">
        <f t="shared" ref="N42:N52" si="23">IF(H42=0,0,L42/H42)</f>
        <v>-0.14609213945242294</v>
      </c>
      <c r="O42" s="13"/>
      <c r="P42" s="1">
        <f>SUM(OSRRefP22_1x_0)</f>
        <v>317038.13999999996</v>
      </c>
      <c r="Q42" s="1"/>
      <c r="R42" s="5">
        <f t="shared" ref="R42:R52" si="24">IF(P$12=0,0,P42/P$12)</f>
        <v>0.19488538190130442</v>
      </c>
      <c r="S42" s="1"/>
      <c r="T42" s="1">
        <f>SUM(OSRRefT22_1x_0)</f>
        <v>328754.86225000001</v>
      </c>
      <c r="U42" s="1"/>
      <c r="V42" s="5">
        <f t="shared" ref="V42:V52" si="25">IF(T$12=0,0,T42/T$12)</f>
        <v>0.20154367743998503</v>
      </c>
      <c r="W42" s="1"/>
      <c r="X42" s="1">
        <f t="shared" ref="X42:X52" si="26">+P42-T42</f>
        <v>-11716.72225000005</v>
      </c>
      <c r="Y42" s="1"/>
      <c r="Z42" s="5">
        <f t="shared" ref="Z42:Z52" si="27">IF(T42=0,0,X42/T42)</f>
        <v>-3.5639692656743514E-2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12802.75246153847</v>
      </c>
      <c r="I43" s="2"/>
      <c r="J43" s="7">
        <f t="shared" si="21"/>
        <v>5.203397926216427E-2</v>
      </c>
      <c r="K43" s="2"/>
      <c r="L43" s="6">
        <f t="shared" si="22"/>
        <v>-12802.75246153847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83217.891000000047</v>
      </c>
      <c r="U43" s="2"/>
      <c r="V43" s="7">
        <f t="shared" si="25"/>
        <v>5.1016856955823905E-2</v>
      </c>
      <c r="W43" s="2"/>
      <c r="X43" s="6">
        <f t="shared" si="26"/>
        <v>-83217.891000000047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12478.66</v>
      </c>
      <c r="E44" s="2"/>
      <c r="F44" s="7">
        <f t="shared" si="20"/>
        <v>6.0002990854812276E-2</v>
      </c>
      <c r="G44" s="2"/>
      <c r="H44" s="6">
        <v>3559.68</v>
      </c>
      <c r="I44" s="2"/>
      <c r="J44" s="7">
        <f t="shared" si="21"/>
        <v>1.4467538590344895E-2</v>
      </c>
      <c r="K44" s="2"/>
      <c r="L44" s="6">
        <f t="shared" si="22"/>
        <v>8918.98</v>
      </c>
      <c r="M44" s="2"/>
      <c r="N44" s="7">
        <f t="shared" si="23"/>
        <v>2.5055566792520674</v>
      </c>
      <c r="O44" s="11"/>
      <c r="P44" s="6">
        <v>98646.13</v>
      </c>
      <c r="Q44" s="2"/>
      <c r="R44" s="7">
        <f t="shared" si="24"/>
        <v>6.0638409997408285E-2</v>
      </c>
      <c r="S44" s="2"/>
      <c r="T44" s="6">
        <v>23137.919999999998</v>
      </c>
      <c r="U44" s="2"/>
      <c r="V44" s="7">
        <f t="shared" si="25"/>
        <v>1.4184737689342503E-2</v>
      </c>
      <c r="W44" s="2"/>
      <c r="X44" s="6">
        <f t="shared" si="26"/>
        <v>75508.210000000006</v>
      </c>
      <c r="Y44" s="2"/>
      <c r="Z44" s="7">
        <f t="shared" si="27"/>
        <v>3.2633966233784202</v>
      </c>
    </row>
    <row r="45" spans="1:26" s="24" customFormat="1" hidden="1" outlineLevel="2" x14ac:dyDescent="0.25">
      <c r="A45" s="26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20"/>
        <v>0</v>
      </c>
      <c r="G46" s="2"/>
      <c r="H46" s="6">
        <v>1344.15</v>
      </c>
      <c r="I46" s="2"/>
      <c r="J46" s="7">
        <f t="shared" si="21"/>
        <v>5.4630028531250261E-3</v>
      </c>
      <c r="K46" s="2"/>
      <c r="L46" s="6">
        <f t="shared" si="22"/>
        <v>-1344.15</v>
      </c>
      <c r="M46" s="2"/>
      <c r="N46" s="7">
        <f t="shared" si="23"/>
        <v>-1</v>
      </c>
      <c r="O46" s="11"/>
      <c r="P46" s="6">
        <v>254.64</v>
      </c>
      <c r="Q46" s="2"/>
      <c r="R46" s="7">
        <f t="shared" si="24"/>
        <v>1.5652884428147404E-4</v>
      </c>
      <c r="S46" s="2"/>
      <c r="T46" s="6">
        <v>10645.05</v>
      </c>
      <c r="U46" s="2"/>
      <c r="V46" s="7">
        <f t="shared" si="25"/>
        <v>6.5259643883259777E-3</v>
      </c>
      <c r="W46" s="2"/>
      <c r="X46" s="6">
        <f t="shared" si="26"/>
        <v>-10390.41</v>
      </c>
      <c r="Y46" s="2"/>
      <c r="Z46" s="7">
        <f t="shared" si="27"/>
        <v>-0.97607902264432767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6204.49</v>
      </c>
      <c r="E47" s="2"/>
      <c r="F47" s="7">
        <f t="shared" si="20"/>
        <v>2.9833969090332951E-2</v>
      </c>
      <c r="G47" s="2"/>
      <c r="H47" s="6">
        <v>1181.46</v>
      </c>
      <c r="I47" s="2"/>
      <c r="J47" s="7">
        <f t="shared" si="21"/>
        <v>4.8017850320671747E-3</v>
      </c>
      <c r="K47" s="2"/>
      <c r="L47" s="6">
        <f t="shared" si="22"/>
        <v>5023.03</v>
      </c>
      <c r="M47" s="2"/>
      <c r="N47" s="7">
        <f t="shared" si="23"/>
        <v>4.2515446989318297</v>
      </c>
      <c r="O47" s="11"/>
      <c r="P47" s="6">
        <v>39453.279999999999</v>
      </c>
      <c r="Q47" s="2"/>
      <c r="R47" s="7">
        <f t="shared" si="24"/>
        <v>2.4252184737328753E-2</v>
      </c>
      <c r="S47" s="2"/>
      <c r="T47" s="6">
        <v>6708.52</v>
      </c>
      <c r="U47" s="2"/>
      <c r="V47" s="7">
        <f t="shared" si="25"/>
        <v>4.1126685753822287E-3</v>
      </c>
      <c r="W47" s="2"/>
      <c r="X47" s="6">
        <f t="shared" si="26"/>
        <v>32744.76</v>
      </c>
      <c r="Y47" s="2"/>
      <c r="Z47" s="7">
        <f t="shared" si="27"/>
        <v>4.8810706385313001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>
        <v>1552.13</v>
      </c>
      <c r="E48" s="2"/>
      <c r="F48" s="7">
        <f t="shared" si="20"/>
        <v>7.4633367841963625E-3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1552.13</v>
      </c>
      <c r="M48" s="2"/>
      <c r="N48" s="7">
        <f t="shared" si="23"/>
        <v>0</v>
      </c>
      <c r="O48" s="11"/>
      <c r="P48" s="6">
        <v>10033.43</v>
      </c>
      <c r="Q48" s="2"/>
      <c r="R48" s="7">
        <f t="shared" si="24"/>
        <v>6.1676138944355566E-3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10033.43</v>
      </c>
      <c r="Y48" s="2"/>
      <c r="Z48" s="7">
        <f t="shared" si="27"/>
        <v>0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22793.279999999999</v>
      </c>
      <c r="E49" s="2"/>
      <c r="F49" s="7">
        <f t="shared" si="20"/>
        <v>0.10960030735601221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22793.279999999999</v>
      </c>
      <c r="M49" s="2"/>
      <c r="N49" s="7">
        <f t="shared" si="23"/>
        <v>0</v>
      </c>
      <c r="O49" s="11"/>
      <c r="P49" s="6">
        <v>159819.87</v>
      </c>
      <c r="Q49" s="2"/>
      <c r="R49" s="7">
        <f t="shared" si="24"/>
        <v>9.8242301069413382E-2</v>
      </c>
      <c r="S49" s="2"/>
      <c r="T49" s="6">
        <v>14410.143749999999</v>
      </c>
      <c r="U49" s="2"/>
      <c r="V49" s="7">
        <f t="shared" si="25"/>
        <v>8.8341609427065315E-3</v>
      </c>
      <c r="W49" s="2"/>
      <c r="X49" s="6">
        <f t="shared" si="26"/>
        <v>145409.72625000001</v>
      </c>
      <c r="Y49" s="2"/>
      <c r="Z49" s="7">
        <f t="shared" si="27"/>
        <v>10.090789430882673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>
        <v>1047</v>
      </c>
      <c r="E50" s="2"/>
      <c r="F50" s="7">
        <f t="shared" si="20"/>
        <v>5.0344453190477546E-3</v>
      </c>
      <c r="G50" s="2"/>
      <c r="H50" s="6">
        <v>32728.252500000002</v>
      </c>
      <c r="I50" s="2"/>
      <c r="J50" s="7">
        <f t="shared" si="21"/>
        <v>0.13301680376840105</v>
      </c>
      <c r="K50" s="2"/>
      <c r="L50" s="6">
        <f t="shared" si="22"/>
        <v>-31681.252500000002</v>
      </c>
      <c r="M50" s="2"/>
      <c r="N50" s="7">
        <f t="shared" si="23"/>
        <v>-0.96800929105518241</v>
      </c>
      <c r="O50" s="11"/>
      <c r="P50" s="6">
        <v>8830.7900000000009</v>
      </c>
      <c r="Q50" s="2"/>
      <c r="R50" s="7">
        <f t="shared" si="24"/>
        <v>5.4283433584370027E-3</v>
      </c>
      <c r="S50" s="2"/>
      <c r="T50" s="6">
        <v>190635.33749999999</v>
      </c>
      <c r="U50" s="2"/>
      <c r="V50" s="7">
        <f t="shared" si="25"/>
        <v>0.11686928888840389</v>
      </c>
      <c r="W50" s="2"/>
      <c r="X50" s="6">
        <f t="shared" si="26"/>
        <v>-181804.54749999999</v>
      </c>
      <c r="Y50" s="2"/>
      <c r="Z50" s="7">
        <f t="shared" si="27"/>
        <v>-0.95367705633274835</v>
      </c>
    </row>
    <row r="51" spans="1:26" s="24" customFormat="1" hidden="1" outlineLevel="2" x14ac:dyDescent="0.25">
      <c r="A51" s="26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25">
      <c r="A52" s="26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5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619.30999999999995</v>
      </c>
      <c r="E53" s="1"/>
      <c r="F53" s="5">
        <f t="shared" ref="F53:F62" si="28">IF(D$12=0,0,D53/D$12)</f>
        <v>2.9779200864751333E-3</v>
      </c>
      <c r="G53" s="1"/>
      <c r="H53" s="1">
        <f>SUM(OSRRefH22_2x_0)</f>
        <v>150</v>
      </c>
      <c r="I53" s="1"/>
      <c r="J53" s="5">
        <f t="shared" ref="J53:J62" si="29">IF(H$12=0,0,H53/H$12)</f>
        <v>6.0964209944481922E-4</v>
      </c>
      <c r="K53" s="1"/>
      <c r="L53" s="1">
        <f t="shared" ref="L53:L62" si="30">+D53-H53</f>
        <v>469.30999999999995</v>
      </c>
      <c r="M53" s="1"/>
      <c r="N53" s="5">
        <f t="shared" ref="N53:N62" si="31">IF(H53=0,0,L53/H53)</f>
        <v>3.1287333333333329</v>
      </c>
      <c r="O53" s="13"/>
      <c r="P53" s="1">
        <f>SUM(OSRRefP22_2x_0)</f>
        <v>2433.41</v>
      </c>
      <c r="Q53" s="1"/>
      <c r="R53" s="5">
        <f t="shared" ref="R53:R62" si="32">IF(P$12=0,0,P53/P$12)</f>
        <v>1.4958327637566043E-3</v>
      </c>
      <c r="S53" s="1"/>
      <c r="T53" s="1">
        <f>SUM(OSRRefT22_2x_0)</f>
        <v>675</v>
      </c>
      <c r="U53" s="1"/>
      <c r="V53" s="5">
        <f t="shared" ref="V53:V62" si="33">IF(T$12=0,0,T53/T$12)</f>
        <v>4.1380979536216698E-4</v>
      </c>
      <c r="W53" s="1"/>
      <c r="X53" s="1">
        <f t="shared" ref="X53:X62" si="34">+P53-T53</f>
        <v>1758.4099999999999</v>
      </c>
      <c r="Y53" s="1"/>
      <c r="Z53" s="5">
        <f t="shared" ref="Z53:Z62" si="35">IF(T53=0,0,X53/T53)</f>
        <v>2.6050518518518517</v>
      </c>
    </row>
    <row r="54" spans="1:26" s="24" customFormat="1" hidden="1" outlineLevel="2" x14ac:dyDescent="0.25">
      <c r="A54" s="26"/>
      <c r="B54" s="11" t="str">
        <f>CONCATENATE("          ", "6362", " - ", "ADVERTISING EXPENSE")</f>
        <v xml:space="preserve">          6362 - ADVERTISING EXPENSE</v>
      </c>
      <c r="C54" s="11"/>
      <c r="D54" s="6">
        <v>619.30999999999995</v>
      </c>
      <c r="E54" s="2"/>
      <c r="F54" s="7">
        <f t="shared" si="28"/>
        <v>2.9779200864751333E-3</v>
      </c>
      <c r="G54" s="2"/>
      <c r="H54" s="6">
        <v>150</v>
      </c>
      <c r="I54" s="2"/>
      <c r="J54" s="7">
        <f t="shared" si="29"/>
        <v>6.0964209944481922E-4</v>
      </c>
      <c r="K54" s="2"/>
      <c r="L54" s="6">
        <f t="shared" si="30"/>
        <v>469.30999999999995</v>
      </c>
      <c r="M54" s="2"/>
      <c r="N54" s="7">
        <f t="shared" si="31"/>
        <v>3.1287333333333329</v>
      </c>
      <c r="O54" s="11"/>
      <c r="P54" s="6">
        <v>2433.41</v>
      </c>
      <c r="Q54" s="2"/>
      <c r="R54" s="7">
        <f t="shared" si="32"/>
        <v>1.4958327637566043E-3</v>
      </c>
      <c r="S54" s="2"/>
      <c r="T54" s="6">
        <v>675</v>
      </c>
      <c r="U54" s="2"/>
      <c r="V54" s="7">
        <f t="shared" si="33"/>
        <v>4.1380979536216698E-4</v>
      </c>
      <c r="W54" s="2"/>
      <c r="X54" s="6">
        <f t="shared" si="34"/>
        <v>1758.4099999999999</v>
      </c>
      <c r="Y54" s="2"/>
      <c r="Z54" s="7">
        <f t="shared" si="35"/>
        <v>2.6050518518518517</v>
      </c>
    </row>
    <row r="55" spans="1:26" s="25" customFormat="1" outlineLevel="1" collapsed="1" x14ac:dyDescent="0.25">
      <c r="A55" s="27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-27.79</v>
      </c>
      <c r="E55" s="1"/>
      <c r="F55" s="5">
        <f t="shared" si="28"/>
        <v>-1.3362677690194563E-4</v>
      </c>
      <c r="G55" s="1"/>
      <c r="H55" s="1">
        <f>SUM(OSRRefH22_3x_0)</f>
        <v>10</v>
      </c>
      <c r="I55" s="1"/>
      <c r="J55" s="5">
        <f t="shared" si="29"/>
        <v>4.0642806629654619E-5</v>
      </c>
      <c r="K55" s="1"/>
      <c r="L55" s="1">
        <f t="shared" si="30"/>
        <v>-37.79</v>
      </c>
      <c r="M55" s="1"/>
      <c r="N55" s="5">
        <f t="shared" si="31"/>
        <v>-3.7789999999999999</v>
      </c>
      <c r="O55" s="13"/>
      <c r="P55" s="1">
        <f>SUM(OSRRefP22_3x_0)</f>
        <v>-282.88</v>
      </c>
      <c r="Q55" s="1"/>
      <c r="R55" s="5">
        <f t="shared" si="32"/>
        <v>-1.7388815374781407E-4</v>
      </c>
      <c r="S55" s="1"/>
      <c r="T55" s="1">
        <f>SUM(OSRRefT22_3x_0)</f>
        <v>60</v>
      </c>
      <c r="U55" s="1"/>
      <c r="V55" s="5">
        <f t="shared" si="33"/>
        <v>3.6783092921081504E-5</v>
      </c>
      <c r="W55" s="1"/>
      <c r="X55" s="1">
        <f t="shared" si="34"/>
        <v>-342.88</v>
      </c>
      <c r="Y55" s="1"/>
      <c r="Z55" s="5">
        <f t="shared" si="35"/>
        <v>-5.714666666666667</v>
      </c>
    </row>
    <row r="56" spans="1:26" s="24" customFormat="1" hidden="1" outlineLevel="2" x14ac:dyDescent="0.25">
      <c r="A56" s="26"/>
      <c r="B56" s="11" t="str">
        <f>CONCATENATE("          ", "6272", " - ", "CASH (OVER/SHORT)")</f>
        <v xml:space="preserve">          6272 - CASH (OVER/SHORT)</v>
      </c>
      <c r="C56" s="11"/>
      <c r="D56" s="6">
        <v>-27.79</v>
      </c>
      <c r="E56" s="2"/>
      <c r="F56" s="7">
        <f t="shared" si="28"/>
        <v>-1.3362677690194563E-4</v>
      </c>
      <c r="G56" s="2"/>
      <c r="H56" s="6">
        <v>10</v>
      </c>
      <c r="I56" s="2"/>
      <c r="J56" s="7">
        <f t="shared" si="29"/>
        <v>4.0642806629654619E-5</v>
      </c>
      <c r="K56" s="2"/>
      <c r="L56" s="6">
        <f t="shared" si="30"/>
        <v>-37.79</v>
      </c>
      <c r="M56" s="2"/>
      <c r="N56" s="7">
        <f t="shared" si="31"/>
        <v>-3.7789999999999999</v>
      </c>
      <c r="O56" s="11"/>
      <c r="P56" s="6">
        <v>-282.88</v>
      </c>
      <c r="Q56" s="2"/>
      <c r="R56" s="7">
        <f t="shared" si="32"/>
        <v>-1.7388815374781407E-4</v>
      </c>
      <c r="S56" s="2"/>
      <c r="T56" s="6">
        <v>60</v>
      </c>
      <c r="U56" s="2"/>
      <c r="V56" s="7">
        <f t="shared" si="33"/>
        <v>3.6783092921081504E-5</v>
      </c>
      <c r="W56" s="2"/>
      <c r="X56" s="6">
        <f t="shared" si="34"/>
        <v>-342.88</v>
      </c>
      <c r="Y56" s="2"/>
      <c r="Z56" s="7">
        <f t="shared" si="35"/>
        <v>-5.714666666666667</v>
      </c>
    </row>
    <row r="57" spans="1:26" s="25" customFormat="1" outlineLevel="1" collapsed="1" x14ac:dyDescent="0.25">
      <c r="A57" s="27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7222.5</v>
      </c>
      <c r="E57" s="1"/>
      <c r="F57" s="5">
        <f t="shared" si="28"/>
        <v>3.4729017494577276E-2</v>
      </c>
      <c r="G57" s="1"/>
      <c r="H57" s="1">
        <f>SUM(OSRRefH22_4x_0)</f>
        <v>8028</v>
      </c>
      <c r="I57" s="1"/>
      <c r="J57" s="5">
        <f t="shared" si="29"/>
        <v>3.2628045162286727E-2</v>
      </c>
      <c r="K57" s="1"/>
      <c r="L57" s="1">
        <f t="shared" si="30"/>
        <v>-805.5</v>
      </c>
      <c r="M57" s="1"/>
      <c r="N57" s="5">
        <f t="shared" si="31"/>
        <v>-0.10033632286995516</v>
      </c>
      <c r="O57" s="13"/>
      <c r="P57" s="1">
        <f>SUM(OSRRefP22_4x_0)</f>
        <v>56715</v>
      </c>
      <c r="Q57" s="1"/>
      <c r="R57" s="5">
        <f t="shared" si="32"/>
        <v>3.4863074942757616E-2</v>
      </c>
      <c r="S57" s="1"/>
      <c r="T57" s="1">
        <f>SUM(OSRRefT22_4x_0)</f>
        <v>52299</v>
      </c>
      <c r="U57" s="1"/>
      <c r="V57" s="5">
        <f t="shared" si="33"/>
        <v>3.2061982944660693E-2</v>
      </c>
      <c r="W57" s="1"/>
      <c r="X57" s="1">
        <f t="shared" si="34"/>
        <v>4416</v>
      </c>
      <c r="Y57" s="1"/>
      <c r="Z57" s="5">
        <f t="shared" si="35"/>
        <v>8.4437560947628068E-2</v>
      </c>
    </row>
    <row r="58" spans="1:26" s="24" customFormat="1" hidden="1" outlineLevel="2" x14ac:dyDescent="0.25">
      <c r="A58" s="26"/>
      <c r="B58" s="11" t="str">
        <f>CONCATENATE("          ", "6381", " - ", "BANK/CREDIT CARD FEES")</f>
        <v xml:space="preserve">          6381 - BANK/CREDIT CARD FEES</v>
      </c>
      <c r="C58" s="11"/>
      <c r="D58" s="6">
        <v>7222.5</v>
      </c>
      <c r="E58" s="2"/>
      <c r="F58" s="7">
        <f t="shared" si="28"/>
        <v>3.4729017494577276E-2</v>
      </c>
      <c r="G58" s="2"/>
      <c r="H58" s="6">
        <v>8028</v>
      </c>
      <c r="I58" s="2"/>
      <c r="J58" s="7">
        <f t="shared" si="29"/>
        <v>3.2628045162286727E-2</v>
      </c>
      <c r="K58" s="2"/>
      <c r="L58" s="6">
        <f t="shared" si="30"/>
        <v>-805.5</v>
      </c>
      <c r="M58" s="2"/>
      <c r="N58" s="7">
        <f t="shared" si="31"/>
        <v>-0.10033632286995516</v>
      </c>
      <c r="O58" s="11"/>
      <c r="P58" s="6">
        <v>56715</v>
      </c>
      <c r="Q58" s="2"/>
      <c r="R58" s="7">
        <f t="shared" si="32"/>
        <v>3.4863074942757616E-2</v>
      </c>
      <c r="S58" s="2"/>
      <c r="T58" s="6">
        <v>52299</v>
      </c>
      <c r="U58" s="2"/>
      <c r="V58" s="7">
        <f t="shared" si="33"/>
        <v>3.2061982944660693E-2</v>
      </c>
      <c r="W58" s="2"/>
      <c r="X58" s="6">
        <f t="shared" si="34"/>
        <v>4416</v>
      </c>
      <c r="Y58" s="2"/>
      <c r="Z58" s="7">
        <f t="shared" si="35"/>
        <v>8.4437560947628068E-2</v>
      </c>
    </row>
    <row r="59" spans="1:26" s="25" customFormat="1" outlineLevel="1" collapsed="1" x14ac:dyDescent="0.25">
      <c r="A59" s="27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8546.9</v>
      </c>
      <c r="E59" s="1"/>
      <c r="F59" s="5">
        <f t="shared" si="28"/>
        <v>4.1097326358518864E-2</v>
      </c>
      <c r="G59" s="1"/>
      <c r="H59" s="1">
        <f>SUM(OSRRefH22_5x_0)</f>
        <v>9234</v>
      </c>
      <c r="I59" s="1"/>
      <c r="J59" s="5">
        <f t="shared" si="29"/>
        <v>3.7529567641823074E-2</v>
      </c>
      <c r="K59" s="1"/>
      <c r="L59" s="1">
        <f t="shared" si="30"/>
        <v>-687.10000000000036</v>
      </c>
      <c r="M59" s="1"/>
      <c r="N59" s="5">
        <f t="shared" si="31"/>
        <v>-7.4409789906865975E-2</v>
      </c>
      <c r="O59" s="13"/>
      <c r="P59" s="1">
        <f>SUM(OSRRefP22_5x_0)</f>
        <v>50564.3</v>
      </c>
      <c r="Q59" s="1"/>
      <c r="R59" s="5">
        <f t="shared" si="32"/>
        <v>3.1082200129208835E-2</v>
      </c>
      <c r="S59" s="1"/>
      <c r="T59" s="1">
        <f>SUM(OSRRefT22_5x_0)</f>
        <v>52650</v>
      </c>
      <c r="U59" s="1"/>
      <c r="V59" s="5">
        <f t="shared" si="33"/>
        <v>3.2277164038249026E-2</v>
      </c>
      <c r="W59" s="1"/>
      <c r="X59" s="1">
        <f t="shared" si="34"/>
        <v>-2085.6999999999971</v>
      </c>
      <c r="Y59" s="1"/>
      <c r="Z59" s="5">
        <f t="shared" si="35"/>
        <v>-3.9614434947768229E-2</v>
      </c>
    </row>
    <row r="60" spans="1:26" s="24" customFormat="1" hidden="1" outlineLevel="2" x14ac:dyDescent="0.25">
      <c r="A60" s="26"/>
      <c r="B60" s="11" t="str">
        <f>CONCATENATE("          ", "6321", " - ", "BUILDING DEPRECIATION")</f>
        <v xml:space="preserve">          6321 - BUILDING DEPRECIATION</v>
      </c>
      <c r="C60" s="11"/>
      <c r="D60" s="6">
        <v>5080.51</v>
      </c>
      <c r="E60" s="2"/>
      <c r="F60" s="7">
        <f t="shared" si="28"/>
        <v>2.4429369424904784E-2</v>
      </c>
      <c r="G60" s="2"/>
      <c r="H60" s="6">
        <v>5081</v>
      </c>
      <c r="I60" s="2"/>
      <c r="J60" s="7">
        <f t="shared" si="29"/>
        <v>2.0650610048527512E-2</v>
      </c>
      <c r="K60" s="2"/>
      <c r="L60" s="6">
        <f t="shared" si="30"/>
        <v>-0.48999999999978172</v>
      </c>
      <c r="M60" s="2"/>
      <c r="N60" s="7">
        <f t="shared" si="31"/>
        <v>-9.6437709112336489E-5</v>
      </c>
      <c r="O60" s="11"/>
      <c r="P60" s="6">
        <v>30483.059999999998</v>
      </c>
      <c r="Q60" s="2"/>
      <c r="R60" s="7">
        <f t="shared" si="32"/>
        <v>1.8738132861933827E-2</v>
      </c>
      <c r="S60" s="2"/>
      <c r="T60" s="6">
        <v>30486</v>
      </c>
      <c r="U60" s="2"/>
      <c r="V60" s="7">
        <f t="shared" si="33"/>
        <v>1.8689489513201513E-2</v>
      </c>
      <c r="W60" s="2"/>
      <c r="X60" s="6">
        <f t="shared" si="34"/>
        <v>-2.9400000000023283</v>
      </c>
      <c r="Y60" s="2"/>
      <c r="Z60" s="7">
        <f t="shared" si="35"/>
        <v>-9.6437709112455832E-5</v>
      </c>
    </row>
    <row r="61" spans="1:26" s="24" customFormat="1" hidden="1" outlineLevel="2" x14ac:dyDescent="0.25">
      <c r="A61" s="26"/>
      <c r="B61" s="11" t="str">
        <f>CONCATENATE("          ", "6322", " - ", "EQUIPMENT DEPRECIATION EXPENSE")</f>
        <v xml:space="preserve">          6322 - EQUIPMENT DEPRECIATION EXPENSE</v>
      </c>
      <c r="C61" s="11"/>
      <c r="D61" s="6">
        <v>3466.39</v>
      </c>
      <c r="E61" s="2"/>
      <c r="F61" s="7">
        <f t="shared" si="28"/>
        <v>1.6667956933614083E-2</v>
      </c>
      <c r="G61" s="2"/>
      <c r="H61" s="6">
        <v>3175</v>
      </c>
      <c r="I61" s="2"/>
      <c r="J61" s="7">
        <f t="shared" si="29"/>
        <v>1.2904091104915342E-2</v>
      </c>
      <c r="K61" s="2"/>
      <c r="L61" s="6">
        <f t="shared" si="30"/>
        <v>291.38999999999987</v>
      </c>
      <c r="M61" s="2"/>
      <c r="N61" s="7">
        <f t="shared" si="31"/>
        <v>9.1776377952755867E-2</v>
      </c>
      <c r="O61" s="11"/>
      <c r="P61" s="6">
        <v>20081.240000000002</v>
      </c>
      <c r="Q61" s="2"/>
      <c r="R61" s="7">
        <f t="shared" si="32"/>
        <v>1.2344067267275008E-2</v>
      </c>
      <c r="S61" s="2"/>
      <c r="T61" s="6">
        <v>19050</v>
      </c>
      <c r="U61" s="2"/>
      <c r="V61" s="7">
        <f t="shared" si="33"/>
        <v>1.1678632002443378E-2</v>
      </c>
      <c r="W61" s="2"/>
      <c r="X61" s="6">
        <f t="shared" si="34"/>
        <v>1031.2400000000016</v>
      </c>
      <c r="Y61" s="2"/>
      <c r="Z61" s="7">
        <f t="shared" si="35"/>
        <v>5.4133333333333415E-2</v>
      </c>
    </row>
    <row r="62" spans="1:26" s="24" customFormat="1" hidden="1" outlineLevel="2" x14ac:dyDescent="0.25">
      <c r="A62" s="26"/>
      <c r="B62" s="11" t="str">
        <f>CONCATENATE("          ", "6324", " - ", "FURNITURE + FIXT DEPRECIATION")</f>
        <v xml:space="preserve">          6324 - FURNITURE + FIXT DEPRECIATION</v>
      </c>
      <c r="C62" s="11"/>
      <c r="D62" s="6"/>
      <c r="E62" s="2"/>
      <c r="F62" s="7">
        <f t="shared" si="28"/>
        <v>0</v>
      </c>
      <c r="G62" s="2"/>
      <c r="H62" s="6">
        <v>978</v>
      </c>
      <c r="I62" s="2"/>
      <c r="J62" s="7">
        <f t="shared" si="29"/>
        <v>3.9748664883802213E-3</v>
      </c>
      <c r="K62" s="2"/>
      <c r="L62" s="6">
        <f t="shared" si="30"/>
        <v>-978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3114</v>
      </c>
      <c r="U62" s="2"/>
      <c r="V62" s="7">
        <f t="shared" si="33"/>
        <v>1.9090425226041302E-3</v>
      </c>
      <c r="W62" s="2"/>
      <c r="X62" s="6">
        <f t="shared" si="34"/>
        <v>-3114</v>
      </c>
      <c r="Y62" s="2"/>
      <c r="Z62" s="7">
        <f t="shared" si="35"/>
        <v>-1</v>
      </c>
    </row>
    <row r="63" spans="1:26" s="25" customFormat="1" outlineLevel="1" collapsed="1" x14ac:dyDescent="0.25">
      <c r="A63" s="27"/>
      <c r="B63" s="13" t="str">
        <f>CONCATENATE("     ","Discounts and Markdowns                           ")</f>
        <v xml:space="preserve">     Discounts and Markdowns                           </v>
      </c>
      <c r="C63" s="13"/>
      <c r="D63" s="1">
        <f>SUM(OSRRefD22_6x_0)</f>
        <v>16.62</v>
      </c>
      <c r="E63" s="1"/>
      <c r="F63" s="5">
        <f t="shared" ref="F63:F84" si="36">IF(D$12=0,0,D63/D$12)</f>
        <v>7.9916409935600465E-5</v>
      </c>
      <c r="G63" s="1"/>
      <c r="H63" s="1">
        <f>SUM(OSRRefH22_6x_0)</f>
        <v>0</v>
      </c>
      <c r="I63" s="1"/>
      <c r="J63" s="5">
        <f t="shared" ref="J63:J84" si="37">IF(H$12=0,0,H63/H$12)</f>
        <v>0</v>
      </c>
      <c r="K63" s="1"/>
      <c r="L63" s="1">
        <f t="shared" ref="L63:L84" si="38">+D63-H63</f>
        <v>16.62</v>
      </c>
      <c r="M63" s="1"/>
      <c r="N63" s="5">
        <f t="shared" ref="N63:N84" si="39">IF(H63=0,0,L63/H63)</f>
        <v>0</v>
      </c>
      <c r="O63" s="13"/>
      <c r="P63" s="1">
        <f>SUM(OSRRefP22_6x_0)</f>
        <v>76.37</v>
      </c>
      <c r="Q63" s="1"/>
      <c r="R63" s="5">
        <f t="shared" ref="R63:R84" si="40">IF(P$12=0,0,P63/P$12)</f>
        <v>4.6945129743073251E-5</v>
      </c>
      <c r="S63" s="1"/>
      <c r="T63" s="1">
        <f>SUM(OSRRefT22_6x_0)</f>
        <v>0</v>
      </c>
      <c r="U63" s="1"/>
      <c r="V63" s="5">
        <f t="shared" ref="V63:V84" si="41">IF(T$12=0,0,T63/T$12)</f>
        <v>0</v>
      </c>
      <c r="W63" s="1"/>
      <c r="X63" s="1">
        <f t="shared" ref="X63:X84" si="42">+P63-T63</f>
        <v>76.37</v>
      </c>
      <c r="Y63" s="1"/>
      <c r="Z63" s="5">
        <f t="shared" ref="Z63:Z84" si="43">IF(T63=0,0,X63/T63)</f>
        <v>0</v>
      </c>
    </row>
    <row r="64" spans="1:26" s="24" customFormat="1" hidden="1" outlineLevel="2" x14ac:dyDescent="0.25">
      <c r="A64" s="26"/>
      <c r="B64" s="11" t="str">
        <f>CONCATENATE("          ", "6382", " - ", "DISCOUNTS/MARK DOWNS")</f>
        <v xml:space="preserve">          6382 - DISCOUNTS/MARK DOWNS</v>
      </c>
      <c r="C64" s="11"/>
      <c r="D64" s="6">
        <v>16.62</v>
      </c>
      <c r="E64" s="2"/>
      <c r="F64" s="7">
        <f t="shared" si="36"/>
        <v>7.9916409935600465E-5</v>
      </c>
      <c r="G64" s="2"/>
      <c r="H64" s="6"/>
      <c r="I64" s="2"/>
      <c r="J64" s="7">
        <f t="shared" si="37"/>
        <v>0</v>
      </c>
      <c r="K64" s="2"/>
      <c r="L64" s="6">
        <f t="shared" si="38"/>
        <v>16.62</v>
      </c>
      <c r="M64" s="2"/>
      <c r="N64" s="7">
        <f t="shared" si="39"/>
        <v>0</v>
      </c>
      <c r="O64" s="11"/>
      <c r="P64" s="6">
        <v>76.37</v>
      </c>
      <c r="Q64" s="2"/>
      <c r="R64" s="7">
        <f t="shared" si="40"/>
        <v>4.6945129743073251E-5</v>
      </c>
      <c r="S64" s="2"/>
      <c r="T64" s="6"/>
      <c r="U64" s="2"/>
      <c r="V64" s="7">
        <f t="shared" si="41"/>
        <v>0</v>
      </c>
      <c r="W64" s="2"/>
      <c r="X64" s="6">
        <f t="shared" si="42"/>
        <v>76.37</v>
      </c>
      <c r="Y64" s="2"/>
      <c r="Z64" s="7">
        <f t="shared" si="43"/>
        <v>0</v>
      </c>
    </row>
    <row r="65" spans="1:26" s="25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34.979999999999997</v>
      </c>
      <c r="E65" s="1"/>
      <c r="F65" s="5">
        <f t="shared" si="36"/>
        <v>1.6819951982835761E-4</v>
      </c>
      <c r="G65" s="1"/>
      <c r="H65" s="1">
        <f>SUM(OSRRefH22_7x_0)</f>
        <v>25</v>
      </c>
      <c r="I65" s="1"/>
      <c r="J65" s="5">
        <f t="shared" si="37"/>
        <v>1.0160701657413655E-4</v>
      </c>
      <c r="K65" s="1"/>
      <c r="L65" s="1">
        <f t="shared" si="38"/>
        <v>9.9799999999999969</v>
      </c>
      <c r="M65" s="1"/>
      <c r="N65" s="5">
        <f t="shared" si="39"/>
        <v>0.39919999999999989</v>
      </c>
      <c r="O65" s="13"/>
      <c r="P65" s="1">
        <f>SUM(OSRRefP22_7x_0)</f>
        <v>96.92</v>
      </c>
      <c r="Q65" s="1"/>
      <c r="R65" s="5">
        <f t="shared" si="40"/>
        <v>5.9577346794535284E-5</v>
      </c>
      <c r="S65" s="1"/>
      <c r="T65" s="1">
        <f>SUM(OSRRefT22_7x_0)</f>
        <v>150</v>
      </c>
      <c r="U65" s="1"/>
      <c r="V65" s="5">
        <f t="shared" si="41"/>
        <v>9.1957732302703774E-5</v>
      </c>
      <c r="W65" s="1"/>
      <c r="X65" s="1">
        <f t="shared" si="42"/>
        <v>-53.08</v>
      </c>
      <c r="Y65" s="1"/>
      <c r="Z65" s="5">
        <f t="shared" si="43"/>
        <v>-0.35386666666666666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6">
        <v>34.979999999999997</v>
      </c>
      <c r="E66" s="2"/>
      <c r="F66" s="7">
        <f t="shared" si="36"/>
        <v>1.6819951982835761E-4</v>
      </c>
      <c r="G66" s="2"/>
      <c r="H66" s="6">
        <v>25</v>
      </c>
      <c r="I66" s="2"/>
      <c r="J66" s="7">
        <f t="shared" si="37"/>
        <v>1.0160701657413655E-4</v>
      </c>
      <c r="K66" s="2"/>
      <c r="L66" s="6">
        <f t="shared" si="38"/>
        <v>9.9799999999999969</v>
      </c>
      <c r="M66" s="2"/>
      <c r="N66" s="7">
        <f t="shared" si="39"/>
        <v>0.39919999999999989</v>
      </c>
      <c r="O66" s="11"/>
      <c r="P66" s="6">
        <v>96.92</v>
      </c>
      <c r="Q66" s="2"/>
      <c r="R66" s="7">
        <f t="shared" si="40"/>
        <v>5.9577346794535284E-5</v>
      </c>
      <c r="S66" s="2"/>
      <c r="T66" s="6">
        <v>150</v>
      </c>
      <c r="U66" s="2"/>
      <c r="V66" s="7">
        <f t="shared" si="41"/>
        <v>9.1957732302703774E-5</v>
      </c>
      <c r="W66" s="2"/>
      <c r="X66" s="6">
        <f t="shared" si="42"/>
        <v>-53.08</v>
      </c>
      <c r="Y66" s="2"/>
      <c r="Z66" s="7">
        <f t="shared" si="43"/>
        <v>-0.35386666666666666</v>
      </c>
    </row>
    <row r="67" spans="1:26" s="25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107.04</v>
      </c>
      <c r="E67" s="1"/>
      <c r="F67" s="5">
        <f t="shared" si="36"/>
        <v>5.1469630081267591E-4</v>
      </c>
      <c r="G67" s="1"/>
      <c r="H67" s="1">
        <f>SUM(OSRRefH22_8x_0)</f>
        <v>80</v>
      </c>
      <c r="I67" s="1"/>
      <c r="J67" s="5">
        <f t="shared" si="37"/>
        <v>3.2514245303723695E-4</v>
      </c>
      <c r="K67" s="1"/>
      <c r="L67" s="1">
        <f t="shared" si="38"/>
        <v>27.040000000000006</v>
      </c>
      <c r="M67" s="1"/>
      <c r="N67" s="5">
        <f t="shared" si="39"/>
        <v>0.33800000000000008</v>
      </c>
      <c r="O67" s="13"/>
      <c r="P67" s="1">
        <f>SUM(OSRRefP22_8x_0)</f>
        <v>680.97</v>
      </c>
      <c r="Q67" s="1"/>
      <c r="R67" s="5">
        <f t="shared" si="40"/>
        <v>4.1859663481917761E-4</v>
      </c>
      <c r="S67" s="1"/>
      <c r="T67" s="1">
        <f>SUM(OSRRefT22_8x_0)</f>
        <v>480</v>
      </c>
      <c r="U67" s="1"/>
      <c r="V67" s="5">
        <f t="shared" si="41"/>
        <v>2.9426474336865203E-4</v>
      </c>
      <c r="W67" s="1"/>
      <c r="X67" s="1">
        <f t="shared" si="42"/>
        <v>200.97000000000003</v>
      </c>
      <c r="Y67" s="1"/>
      <c r="Z67" s="5">
        <f t="shared" si="43"/>
        <v>0.41868750000000005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6">
        <v>107.04</v>
      </c>
      <c r="E68" s="2"/>
      <c r="F68" s="7">
        <f t="shared" si="36"/>
        <v>5.1469630081267591E-4</v>
      </c>
      <c r="G68" s="2"/>
      <c r="H68" s="6">
        <v>80</v>
      </c>
      <c r="I68" s="2"/>
      <c r="J68" s="7">
        <f t="shared" si="37"/>
        <v>3.2514245303723695E-4</v>
      </c>
      <c r="K68" s="2"/>
      <c r="L68" s="6">
        <f t="shared" si="38"/>
        <v>27.040000000000006</v>
      </c>
      <c r="M68" s="2"/>
      <c r="N68" s="7">
        <f t="shared" si="39"/>
        <v>0.33800000000000008</v>
      </c>
      <c r="O68" s="11"/>
      <c r="P68" s="6">
        <v>680.97</v>
      </c>
      <c r="Q68" s="2"/>
      <c r="R68" s="7">
        <f t="shared" si="40"/>
        <v>4.1859663481917761E-4</v>
      </c>
      <c r="S68" s="2"/>
      <c r="T68" s="6">
        <v>480</v>
      </c>
      <c r="U68" s="2"/>
      <c r="V68" s="7">
        <f t="shared" si="41"/>
        <v>2.9426474336865203E-4</v>
      </c>
      <c r="W68" s="2"/>
      <c r="X68" s="6">
        <f t="shared" si="42"/>
        <v>200.97000000000003</v>
      </c>
      <c r="Y68" s="2"/>
      <c r="Z68" s="7">
        <f t="shared" si="43"/>
        <v>0.41868750000000005</v>
      </c>
    </row>
    <row r="69" spans="1:26" s="25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37.380000000000003</v>
      </c>
      <c r="E69" s="1"/>
      <c r="F69" s="5">
        <f t="shared" si="36"/>
        <v>1.7973979563133246E-4</v>
      </c>
      <c r="G69" s="1"/>
      <c r="H69" s="1">
        <f>SUM(OSRRefH22_9x_0)</f>
        <v>0</v>
      </c>
      <c r="I69" s="1"/>
      <c r="J69" s="5">
        <f t="shared" si="37"/>
        <v>0</v>
      </c>
      <c r="K69" s="1"/>
      <c r="L69" s="1">
        <f t="shared" si="38"/>
        <v>37.380000000000003</v>
      </c>
      <c r="M69" s="1"/>
      <c r="N69" s="5">
        <f t="shared" si="39"/>
        <v>0</v>
      </c>
      <c r="O69" s="13"/>
      <c r="P69" s="1">
        <f>SUM(OSRRefP22_9x_0)</f>
        <v>225.99</v>
      </c>
      <c r="Q69" s="1"/>
      <c r="R69" s="5">
        <f t="shared" si="40"/>
        <v>1.3891750518053064E-4</v>
      </c>
      <c r="S69" s="1"/>
      <c r="T69" s="1">
        <f>SUM(OSRRefT22_9x_0)</f>
        <v>0</v>
      </c>
      <c r="U69" s="1"/>
      <c r="V69" s="5">
        <f t="shared" si="41"/>
        <v>0</v>
      </c>
      <c r="W69" s="1"/>
      <c r="X69" s="1">
        <f t="shared" si="42"/>
        <v>225.99</v>
      </c>
      <c r="Y69" s="1"/>
      <c r="Z69" s="5">
        <f t="shared" si="43"/>
        <v>0</v>
      </c>
    </row>
    <row r="70" spans="1:26" s="24" customFormat="1" hidden="1" outlineLevel="2" x14ac:dyDescent="0.25">
      <c r="A70" s="26"/>
      <c r="B70" s="11" t="str">
        <f>CONCATENATE("          ", "6305", " - ", "FREIGHT OUT")</f>
        <v xml:space="preserve">          6305 - FREIGHT OUT</v>
      </c>
      <c r="C70" s="11"/>
      <c r="D70" s="6">
        <v>37.380000000000003</v>
      </c>
      <c r="E70" s="2"/>
      <c r="F70" s="7">
        <f t="shared" si="36"/>
        <v>1.7973979563133246E-4</v>
      </c>
      <c r="G70" s="2"/>
      <c r="H70" s="6"/>
      <c r="I70" s="2"/>
      <c r="J70" s="7">
        <f t="shared" si="37"/>
        <v>0</v>
      </c>
      <c r="K70" s="2"/>
      <c r="L70" s="6">
        <f t="shared" si="38"/>
        <v>37.380000000000003</v>
      </c>
      <c r="M70" s="2"/>
      <c r="N70" s="7">
        <f t="shared" si="39"/>
        <v>0</v>
      </c>
      <c r="O70" s="11"/>
      <c r="P70" s="6">
        <v>225.99</v>
      </c>
      <c r="Q70" s="2"/>
      <c r="R70" s="7">
        <f t="shared" si="40"/>
        <v>1.3891750518053064E-4</v>
      </c>
      <c r="S70" s="2"/>
      <c r="T70" s="6"/>
      <c r="U70" s="2"/>
      <c r="V70" s="7">
        <f t="shared" si="41"/>
        <v>0</v>
      </c>
      <c r="W70" s="2"/>
      <c r="X70" s="6">
        <f t="shared" si="42"/>
        <v>225.99</v>
      </c>
      <c r="Y70" s="2"/>
      <c r="Z70" s="7">
        <f t="shared" si="43"/>
        <v>0</v>
      </c>
    </row>
    <row r="71" spans="1:26" s="25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865.95</v>
      </c>
      <c r="E71" s="1"/>
      <c r="F71" s="5">
        <f t="shared" si="36"/>
        <v>4.1638757631608436E-3</v>
      </c>
      <c r="G71" s="1"/>
      <c r="H71" s="1">
        <f>SUM(OSRRefH22_10x_0)</f>
        <v>869</v>
      </c>
      <c r="I71" s="1"/>
      <c r="J71" s="5">
        <f t="shared" si="37"/>
        <v>3.5318598961169862E-3</v>
      </c>
      <c r="K71" s="1"/>
      <c r="L71" s="1">
        <f t="shared" si="38"/>
        <v>-3.0499999999999545</v>
      </c>
      <c r="M71" s="1"/>
      <c r="N71" s="5">
        <f t="shared" si="39"/>
        <v>-3.5097813578825712E-3</v>
      </c>
      <c r="O71" s="13"/>
      <c r="P71" s="1">
        <f>SUM(OSRRefP22_10x_0)</f>
        <v>6829.14</v>
      </c>
      <c r="Q71" s="1"/>
      <c r="R71" s="5">
        <f t="shared" si="40"/>
        <v>4.1979162411105312E-3</v>
      </c>
      <c r="S71" s="1"/>
      <c r="T71" s="1">
        <f>SUM(OSRRefT22_10x_0)</f>
        <v>6337</v>
      </c>
      <c r="U71" s="1"/>
      <c r="V71" s="5">
        <f t="shared" si="41"/>
        <v>3.8849076640148921E-3</v>
      </c>
      <c r="W71" s="1"/>
      <c r="X71" s="1">
        <f t="shared" si="42"/>
        <v>492.14000000000033</v>
      </c>
      <c r="Y71" s="1"/>
      <c r="Z71" s="5">
        <f t="shared" si="43"/>
        <v>7.7661353952974646E-2</v>
      </c>
    </row>
    <row r="72" spans="1:26" s="24" customFormat="1" hidden="1" outlineLevel="2" x14ac:dyDescent="0.25">
      <c r="A72" s="26"/>
      <c r="B72" s="11" t="str">
        <f>CONCATENATE("          ", "6279", " - ", "GENERAL EXPENSE")</f>
        <v xml:space="preserve">          6279 - GENERAL EXPENSE</v>
      </c>
      <c r="C72" s="11"/>
      <c r="D72" s="6">
        <v>865.95</v>
      </c>
      <c r="E72" s="2"/>
      <c r="F72" s="7">
        <f t="shared" si="36"/>
        <v>4.1638757631608436E-3</v>
      </c>
      <c r="G72" s="2"/>
      <c r="H72" s="6">
        <v>869</v>
      </c>
      <c r="I72" s="2"/>
      <c r="J72" s="7">
        <f t="shared" si="37"/>
        <v>3.5318598961169862E-3</v>
      </c>
      <c r="K72" s="2"/>
      <c r="L72" s="6">
        <f t="shared" si="38"/>
        <v>-3.0499999999999545</v>
      </c>
      <c r="M72" s="2"/>
      <c r="N72" s="7">
        <f t="shared" si="39"/>
        <v>-3.5097813578825712E-3</v>
      </c>
      <c r="O72" s="11"/>
      <c r="P72" s="6">
        <v>6829.14</v>
      </c>
      <c r="Q72" s="2"/>
      <c r="R72" s="7">
        <f t="shared" si="40"/>
        <v>4.1979162411105312E-3</v>
      </c>
      <c r="S72" s="2"/>
      <c r="T72" s="6">
        <v>6337</v>
      </c>
      <c r="U72" s="2"/>
      <c r="V72" s="7">
        <f t="shared" si="41"/>
        <v>3.8849076640148921E-3</v>
      </c>
      <c r="W72" s="2"/>
      <c r="X72" s="6">
        <f t="shared" si="42"/>
        <v>492.14000000000033</v>
      </c>
      <c r="Y72" s="2"/>
      <c r="Z72" s="7">
        <f t="shared" si="43"/>
        <v>7.7661353952974646E-2</v>
      </c>
    </row>
    <row r="73" spans="1:26" s="25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243.54</v>
      </c>
      <c r="E73" s="1"/>
      <c r="F73" s="5">
        <f t="shared" si="36"/>
        <v>1.1710494871068674E-3</v>
      </c>
      <c r="G73" s="1"/>
      <c r="H73" s="1">
        <f>SUM(OSRRefH22_11x_0)</f>
        <v>230</v>
      </c>
      <c r="I73" s="1"/>
      <c r="J73" s="5">
        <f t="shared" si="37"/>
        <v>9.3478455248205623E-4</v>
      </c>
      <c r="K73" s="1"/>
      <c r="L73" s="1">
        <f t="shared" si="38"/>
        <v>13.539999999999992</v>
      </c>
      <c r="M73" s="1"/>
      <c r="N73" s="5">
        <f t="shared" si="39"/>
        <v>5.886956521739127E-2</v>
      </c>
      <c r="O73" s="13"/>
      <c r="P73" s="1">
        <f>SUM(OSRRefP22_11x_0)</f>
        <v>1461.24</v>
      </c>
      <c r="Q73" s="1"/>
      <c r="R73" s="5">
        <f t="shared" si="40"/>
        <v>8.9823361772644174E-4</v>
      </c>
      <c r="S73" s="1"/>
      <c r="T73" s="1">
        <f>SUM(OSRRefT22_11x_0)</f>
        <v>1380</v>
      </c>
      <c r="U73" s="1"/>
      <c r="V73" s="5">
        <f t="shared" si="41"/>
        <v>8.4601113718487471E-4</v>
      </c>
      <c r="W73" s="1"/>
      <c r="X73" s="1">
        <f t="shared" si="42"/>
        <v>81.240000000000009</v>
      </c>
      <c r="Y73" s="1"/>
      <c r="Z73" s="5">
        <f t="shared" si="43"/>
        <v>5.8869565217391312E-2</v>
      </c>
    </row>
    <row r="74" spans="1:26" s="24" customFormat="1" hidden="1" outlineLevel="2" x14ac:dyDescent="0.25">
      <c r="A74" s="26"/>
      <c r="B74" s="11" t="str">
        <f>CONCATENATE("          ", "6314", " - ", "LIABILITY INSURANCE")</f>
        <v xml:space="preserve">          6314 - LIABILITY INSURANCE</v>
      </c>
      <c r="C74" s="11"/>
      <c r="D74" s="6">
        <v>243.54</v>
      </c>
      <c r="E74" s="2"/>
      <c r="F74" s="7">
        <f t="shared" si="36"/>
        <v>1.1710494871068674E-3</v>
      </c>
      <c r="G74" s="2"/>
      <c r="H74" s="6">
        <v>230</v>
      </c>
      <c r="I74" s="2"/>
      <c r="J74" s="7">
        <f t="shared" si="37"/>
        <v>9.3478455248205623E-4</v>
      </c>
      <c r="K74" s="2"/>
      <c r="L74" s="6">
        <f t="shared" si="38"/>
        <v>13.539999999999992</v>
      </c>
      <c r="M74" s="2"/>
      <c r="N74" s="7">
        <f t="shared" si="39"/>
        <v>5.886956521739127E-2</v>
      </c>
      <c r="O74" s="11"/>
      <c r="P74" s="6">
        <v>1461.24</v>
      </c>
      <c r="Q74" s="2"/>
      <c r="R74" s="7">
        <f t="shared" si="40"/>
        <v>8.9823361772644174E-4</v>
      </c>
      <c r="S74" s="2"/>
      <c r="T74" s="6">
        <v>1380</v>
      </c>
      <c r="U74" s="2"/>
      <c r="V74" s="7">
        <f t="shared" si="41"/>
        <v>8.4601113718487471E-4</v>
      </c>
      <c r="W74" s="2"/>
      <c r="X74" s="6">
        <f t="shared" si="42"/>
        <v>81.240000000000009</v>
      </c>
      <c r="Y74" s="2"/>
      <c r="Z74" s="7">
        <f t="shared" si="43"/>
        <v>5.8869565217391312E-2</v>
      </c>
    </row>
    <row r="75" spans="1:26" s="25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4175</v>
      </c>
      <c r="E75" s="1"/>
      <c r="F75" s="5">
        <f t="shared" si="36"/>
        <v>2.0075271448924903E-2</v>
      </c>
      <c r="G75" s="1"/>
      <c r="H75" s="1">
        <f>SUM(OSRRefH22_12x_0)</f>
        <v>4175</v>
      </c>
      <c r="I75" s="1"/>
      <c r="J75" s="5">
        <f t="shared" si="37"/>
        <v>1.6968371767880804E-2</v>
      </c>
      <c r="K75" s="1"/>
      <c r="L75" s="1">
        <f t="shared" si="38"/>
        <v>0</v>
      </c>
      <c r="M75" s="1"/>
      <c r="N75" s="5">
        <f t="shared" si="39"/>
        <v>0</v>
      </c>
      <c r="O75" s="13"/>
      <c r="P75" s="1">
        <f>SUM(OSRRefP22_12x_0)</f>
        <v>24843.95</v>
      </c>
      <c r="Q75" s="1"/>
      <c r="R75" s="5">
        <f t="shared" si="40"/>
        <v>1.5271735708791733E-2</v>
      </c>
      <c r="S75" s="1"/>
      <c r="T75" s="1">
        <f>SUM(OSRRefT22_12x_0)</f>
        <v>25050</v>
      </c>
      <c r="U75" s="1"/>
      <c r="V75" s="5">
        <f t="shared" si="41"/>
        <v>1.535694129455153E-2</v>
      </c>
      <c r="W75" s="1"/>
      <c r="X75" s="1">
        <f t="shared" si="42"/>
        <v>-206.04999999999927</v>
      </c>
      <c r="Y75" s="1"/>
      <c r="Z75" s="5">
        <f t="shared" si="43"/>
        <v>-8.2255489021955796E-3</v>
      </c>
    </row>
    <row r="76" spans="1:26" s="24" customFormat="1" hidden="1" outlineLevel="2" x14ac:dyDescent="0.25">
      <c r="A76" s="26"/>
      <c r="B76" s="11" t="str">
        <f>CONCATENATE("          ", "6401", " - ", "INTEREST EXPENSE")</f>
        <v xml:space="preserve">          6401 - INTEREST EXPENSE</v>
      </c>
      <c r="C76" s="11"/>
      <c r="D76" s="6">
        <v>4175</v>
      </c>
      <c r="E76" s="2"/>
      <c r="F76" s="7">
        <f t="shared" si="36"/>
        <v>2.0075271448924903E-2</v>
      </c>
      <c r="G76" s="2"/>
      <c r="H76" s="6">
        <v>4175</v>
      </c>
      <c r="I76" s="2"/>
      <c r="J76" s="7">
        <f t="shared" si="37"/>
        <v>1.6968371767880804E-2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>
        <v>24843.95</v>
      </c>
      <c r="Q76" s="2"/>
      <c r="R76" s="7">
        <f t="shared" si="40"/>
        <v>1.5271735708791733E-2</v>
      </c>
      <c r="S76" s="2"/>
      <c r="T76" s="6">
        <v>25050</v>
      </c>
      <c r="U76" s="2"/>
      <c r="V76" s="7">
        <f t="shared" si="41"/>
        <v>1.535694129455153E-2</v>
      </c>
      <c r="W76" s="2"/>
      <c r="X76" s="6">
        <f t="shared" si="42"/>
        <v>-206.04999999999927</v>
      </c>
      <c r="Y76" s="2"/>
      <c r="Z76" s="7">
        <f t="shared" si="43"/>
        <v>-8.2255489021955796E-3</v>
      </c>
    </row>
    <row r="77" spans="1:26" s="25" customFormat="1" outlineLevel="1" collapsed="1" x14ac:dyDescent="0.25">
      <c r="A77" s="27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0</v>
      </c>
      <c r="E77" s="1"/>
      <c r="F77" s="5">
        <f t="shared" si="36"/>
        <v>0</v>
      </c>
      <c r="G77" s="1"/>
      <c r="H77" s="1">
        <f>SUM(OSRRefH22_13x_0)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3"/>
      <c r="P77" s="1">
        <f>SUM(OSRRefP22_13x_0)</f>
        <v>0</v>
      </c>
      <c r="Q77" s="1"/>
      <c r="R77" s="5">
        <f t="shared" si="40"/>
        <v>0</v>
      </c>
      <c r="S77" s="1"/>
      <c r="T77" s="1">
        <f>SUM(OSRRefT22_13x_0)</f>
        <v>0</v>
      </c>
      <c r="U77" s="1"/>
      <c r="V77" s="5">
        <f t="shared" si="41"/>
        <v>0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25">
      <c r="A78" s="26"/>
      <c r="B78" s="11" t="str">
        <f>CONCATENATE("          ", "6387", " - ", "COMMISSION DUE HOUSING")</f>
        <v xml:space="preserve">          6387 - COMMISSION DUE HOUSING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0</v>
      </c>
      <c r="U78" s="2"/>
      <c r="V78" s="7">
        <f t="shared" si="41"/>
        <v>0</v>
      </c>
      <c r="W78" s="2"/>
      <c r="X78" s="6">
        <f t="shared" si="42"/>
        <v>0</v>
      </c>
      <c r="Y78" s="2"/>
      <c r="Z78" s="7">
        <f t="shared" si="43"/>
        <v>0</v>
      </c>
    </row>
    <row r="79" spans="1:26" s="25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1150</v>
      </c>
      <c r="E79" s="1"/>
      <c r="F79" s="5">
        <f t="shared" si="36"/>
        <v>5.5297154889254229E-3</v>
      </c>
      <c r="G79" s="1"/>
      <c r="H79" s="1">
        <f>SUM(OSRRefH22_14x_0)</f>
        <v>1150</v>
      </c>
      <c r="I79" s="1"/>
      <c r="J79" s="5">
        <f t="shared" si="37"/>
        <v>4.6739227624102812E-3</v>
      </c>
      <c r="K79" s="1"/>
      <c r="L79" s="1">
        <f t="shared" si="38"/>
        <v>0</v>
      </c>
      <c r="M79" s="1"/>
      <c r="N79" s="5">
        <f t="shared" si="39"/>
        <v>0</v>
      </c>
      <c r="O79" s="13"/>
      <c r="P79" s="1">
        <f>SUM(OSRRefP22_14x_0)</f>
        <v>6900</v>
      </c>
      <c r="Q79" s="1"/>
      <c r="R79" s="5">
        <f t="shared" si="40"/>
        <v>4.2414743384471048E-3</v>
      </c>
      <c r="S79" s="1"/>
      <c r="T79" s="1">
        <f>SUM(OSRRefT22_14x_0)</f>
        <v>6900</v>
      </c>
      <c r="U79" s="1"/>
      <c r="V79" s="5">
        <f t="shared" si="41"/>
        <v>4.2300556859243736E-3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6"/>
      <c r="B80" s="11" t="str">
        <f>CONCATENATE("          ", "6273", " - ", "RENT")</f>
        <v xml:space="preserve">          6273 - RENT</v>
      </c>
      <c r="C80" s="11"/>
      <c r="D80" s="6">
        <v>1150</v>
      </c>
      <c r="E80" s="2"/>
      <c r="F80" s="7">
        <f t="shared" si="36"/>
        <v>5.5297154889254229E-3</v>
      </c>
      <c r="G80" s="2"/>
      <c r="H80" s="6">
        <v>1150</v>
      </c>
      <c r="I80" s="2"/>
      <c r="J80" s="7">
        <f t="shared" si="37"/>
        <v>4.6739227624102812E-3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6900</v>
      </c>
      <c r="Q80" s="2"/>
      <c r="R80" s="7">
        <f t="shared" si="40"/>
        <v>4.2414743384471048E-3</v>
      </c>
      <c r="S80" s="2"/>
      <c r="T80" s="6">
        <v>6900</v>
      </c>
      <c r="U80" s="2"/>
      <c r="V80" s="7">
        <f t="shared" si="41"/>
        <v>4.2300556859243736E-3</v>
      </c>
      <c r="W80" s="2"/>
      <c r="X80" s="6">
        <f t="shared" si="42"/>
        <v>0</v>
      </c>
      <c r="Y80" s="2"/>
      <c r="Z80" s="7">
        <f t="shared" si="43"/>
        <v>0</v>
      </c>
    </row>
    <row r="81" spans="1:26" s="25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3217.07</v>
      </c>
      <c r="E81" s="1"/>
      <c r="F81" s="5">
        <f t="shared" si="36"/>
        <v>1.5469114615615053E-2</v>
      </c>
      <c r="G81" s="1"/>
      <c r="H81" s="1">
        <f>SUM(OSRRefH22_15x_0)</f>
        <v>998</v>
      </c>
      <c r="I81" s="1"/>
      <c r="J81" s="5">
        <f t="shared" si="37"/>
        <v>4.0561521016395305E-3</v>
      </c>
      <c r="K81" s="1"/>
      <c r="L81" s="1">
        <f t="shared" si="38"/>
        <v>2219.0700000000002</v>
      </c>
      <c r="M81" s="1"/>
      <c r="N81" s="5">
        <f t="shared" si="39"/>
        <v>2.2235170340681365</v>
      </c>
      <c r="O81" s="13"/>
      <c r="P81" s="1">
        <f>SUM(OSRRefP22_15x_0)</f>
        <v>14386.27</v>
      </c>
      <c r="Q81" s="1"/>
      <c r="R81" s="5">
        <f t="shared" si="40"/>
        <v>8.8433326131842661E-3</v>
      </c>
      <c r="S81" s="1"/>
      <c r="T81" s="1">
        <f>SUM(OSRRefT22_15x_0)</f>
        <v>9051</v>
      </c>
      <c r="U81" s="1"/>
      <c r="V81" s="5">
        <f t="shared" si="41"/>
        <v>5.5487295671451456E-3</v>
      </c>
      <c r="W81" s="1"/>
      <c r="X81" s="1">
        <f t="shared" si="42"/>
        <v>5335.27</v>
      </c>
      <c r="Y81" s="1"/>
      <c r="Z81" s="5">
        <f t="shared" si="43"/>
        <v>0.58946746215887758</v>
      </c>
    </row>
    <row r="82" spans="1:26" s="24" customFormat="1" hidden="1" outlineLevel="2" x14ac:dyDescent="0.25">
      <c r="A82" s="26"/>
      <c r="B82" s="11" t="str">
        <f>CONCATENATE("          ", "6371", " - ", "COMPUTER SOFTWARE MAINTENANCE")</f>
        <v xml:space="preserve">          6371 - COMPUTER SOFTWARE MAINTENANCE</v>
      </c>
      <c r="C82" s="11"/>
      <c r="D82" s="6"/>
      <c r="E82" s="2"/>
      <c r="F82" s="7">
        <f t="shared" si="36"/>
        <v>0</v>
      </c>
      <c r="G82" s="2"/>
      <c r="H82" s="6"/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1311.93</v>
      </c>
      <c r="Q82" s="2"/>
      <c r="R82" s="7">
        <f t="shared" si="40"/>
        <v>8.0645180128100164E-4</v>
      </c>
      <c r="S82" s="2"/>
      <c r="T82" s="6">
        <v>0</v>
      </c>
      <c r="U82" s="2"/>
      <c r="V82" s="7">
        <f t="shared" si="41"/>
        <v>0</v>
      </c>
      <c r="W82" s="2"/>
      <c r="X82" s="6">
        <f t="shared" si="42"/>
        <v>1311.93</v>
      </c>
      <c r="Y82" s="2"/>
      <c r="Z82" s="7">
        <f t="shared" si="43"/>
        <v>0</v>
      </c>
    </row>
    <row r="83" spans="1:26" s="24" customFormat="1" hidden="1" outlineLevel="2" x14ac:dyDescent="0.25">
      <c r="A83" s="26"/>
      <c r="B83" s="11" t="str">
        <f>CONCATENATE("          ", "6373", " - ", "MAINTENANCE CONTRACTS")</f>
        <v xml:space="preserve">          6373 - MAINTENANCE CONTRACTS</v>
      </c>
      <c r="C83" s="11"/>
      <c r="D83" s="6">
        <v>297.3</v>
      </c>
      <c r="E83" s="2"/>
      <c r="F83" s="7">
        <f t="shared" si="36"/>
        <v>1.4295516650935029E-3</v>
      </c>
      <c r="G83" s="2"/>
      <c r="H83" s="6"/>
      <c r="I83" s="2"/>
      <c r="J83" s="7">
        <f t="shared" si="37"/>
        <v>0</v>
      </c>
      <c r="K83" s="2"/>
      <c r="L83" s="6">
        <f t="shared" si="38"/>
        <v>297.3</v>
      </c>
      <c r="M83" s="2"/>
      <c r="N83" s="7">
        <f t="shared" si="39"/>
        <v>0</v>
      </c>
      <c r="O83" s="11"/>
      <c r="P83" s="6">
        <v>582.62</v>
      </c>
      <c r="Q83" s="2"/>
      <c r="R83" s="7">
        <f t="shared" si="40"/>
        <v>3.5814025783565979E-4</v>
      </c>
      <c r="S83" s="2"/>
      <c r="T83" s="6"/>
      <c r="U83" s="2"/>
      <c r="V83" s="7">
        <f t="shared" si="41"/>
        <v>0</v>
      </c>
      <c r="W83" s="2"/>
      <c r="X83" s="6">
        <f t="shared" si="42"/>
        <v>582.62</v>
      </c>
      <c r="Y83" s="2"/>
      <c r="Z83" s="7">
        <f t="shared" si="43"/>
        <v>0</v>
      </c>
    </row>
    <row r="84" spans="1:26" s="24" customFormat="1" hidden="1" outlineLevel="2" x14ac:dyDescent="0.25">
      <c r="A84" s="26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2919.77</v>
      </c>
      <c r="E84" s="2"/>
      <c r="F84" s="7">
        <f t="shared" si="36"/>
        <v>1.4039562950521549E-2</v>
      </c>
      <c r="G84" s="2"/>
      <c r="H84" s="6">
        <v>998</v>
      </c>
      <c r="I84" s="2"/>
      <c r="J84" s="7">
        <f t="shared" si="37"/>
        <v>4.0561521016395305E-3</v>
      </c>
      <c r="K84" s="2"/>
      <c r="L84" s="6">
        <f t="shared" si="38"/>
        <v>1921.77</v>
      </c>
      <c r="M84" s="2"/>
      <c r="N84" s="7">
        <f t="shared" si="39"/>
        <v>1.9256212424849699</v>
      </c>
      <c r="O84" s="11"/>
      <c r="P84" s="6">
        <v>12491.72</v>
      </c>
      <c r="Q84" s="2"/>
      <c r="R84" s="7">
        <f t="shared" si="40"/>
        <v>7.6787405540676042E-3</v>
      </c>
      <c r="S84" s="2"/>
      <c r="T84" s="6">
        <v>9051</v>
      </c>
      <c r="U84" s="2"/>
      <c r="V84" s="7">
        <f t="shared" si="41"/>
        <v>5.5487295671451456E-3</v>
      </c>
      <c r="W84" s="2"/>
      <c r="X84" s="6">
        <f t="shared" si="42"/>
        <v>3440.7199999999993</v>
      </c>
      <c r="Y84" s="2"/>
      <c r="Z84" s="7">
        <f t="shared" si="43"/>
        <v>0.38014804993923318</v>
      </c>
    </row>
    <row r="85" spans="1:26" s="25" customFormat="1" outlineLevel="1" collapsed="1" x14ac:dyDescent="0.25">
      <c r="A85" s="27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SUM(OSRRefD22_16x_0)</f>
        <v>9661.34</v>
      </c>
      <c r="E85" s="1"/>
      <c r="F85" s="5">
        <f t="shared" ref="F85:F87" si="44">IF(D$12=0,0,D85/D$12)</f>
        <v>4.6456053427630213E-2</v>
      </c>
      <c r="G85" s="1"/>
      <c r="H85" s="1">
        <f>SUM(OSRRefH22_16x_0)</f>
        <v>2064</v>
      </c>
      <c r="I85" s="1"/>
      <c r="J85" s="5">
        <f t="shared" ref="J85:J87" si="45">IF(H$12=0,0,H85/H$12)</f>
        <v>8.3886752883607137E-3</v>
      </c>
      <c r="K85" s="1"/>
      <c r="L85" s="1">
        <f t="shared" ref="L85:L87" si="46">+D85-H85</f>
        <v>7597.34</v>
      </c>
      <c r="M85" s="1"/>
      <c r="N85" s="5">
        <f t="shared" ref="N85:N87" si="47">IF(H85=0,0,L85/H85)</f>
        <v>3.6808817829457365</v>
      </c>
      <c r="O85" s="13"/>
      <c r="P85" s="1">
        <f>SUM(OSRRefP22_16x_0)</f>
        <v>15334.79</v>
      </c>
      <c r="Q85" s="1"/>
      <c r="R85" s="5">
        <f t="shared" ref="R85:R87" si="48">IF(P$12=0,0,P85/P$12)</f>
        <v>9.426393952242795E-3</v>
      </c>
      <c r="S85" s="1"/>
      <c r="T85" s="1">
        <f>SUM(OSRRefT22_16x_0)</f>
        <v>15202</v>
      </c>
      <c r="U85" s="1"/>
      <c r="V85" s="5">
        <f t="shared" ref="V85:V87" si="49">IF(T$12=0,0,T85/T$12)</f>
        <v>9.3196096431046854E-3</v>
      </c>
      <c r="W85" s="1"/>
      <c r="X85" s="1">
        <f t="shared" ref="X85:X87" si="50">+P85-T85</f>
        <v>132.79000000000087</v>
      </c>
      <c r="Y85" s="1"/>
      <c r="Z85" s="5">
        <f t="shared" ref="Z85:Z87" si="51">IF(T85=0,0,X85/T85)</f>
        <v>8.7350348638337641E-3</v>
      </c>
    </row>
    <row r="86" spans="1:26" s="24" customFormat="1" hidden="1" outlineLevel="2" x14ac:dyDescent="0.25">
      <c r="A86" s="26"/>
      <c r="B86" s="11" t="str">
        <f>CONCATENATE("          ", "6254", " - ", "ROYALTY &amp; COMMISSIONS")</f>
        <v xml:space="preserve">          6254 - ROYALTY &amp; COMMISSIONS</v>
      </c>
      <c r="C86" s="11"/>
      <c r="D86" s="6">
        <v>9661.34</v>
      </c>
      <c r="E86" s="2"/>
      <c r="F86" s="7">
        <f t="shared" si="44"/>
        <v>4.6456053427630213E-2</v>
      </c>
      <c r="G86" s="2"/>
      <c r="H86" s="6"/>
      <c r="I86" s="2"/>
      <c r="J86" s="7">
        <f t="shared" si="45"/>
        <v>0</v>
      </c>
      <c r="K86" s="2"/>
      <c r="L86" s="6">
        <f t="shared" si="46"/>
        <v>9661.34</v>
      </c>
      <c r="M86" s="2"/>
      <c r="N86" s="7">
        <f t="shared" si="47"/>
        <v>0</v>
      </c>
      <c r="O86" s="11"/>
      <c r="P86" s="6">
        <v>15334.79</v>
      </c>
      <c r="Q86" s="2"/>
      <c r="R86" s="7">
        <f t="shared" si="48"/>
        <v>9.426393952242795E-3</v>
      </c>
      <c r="S86" s="2"/>
      <c r="T86" s="6"/>
      <c r="U86" s="2"/>
      <c r="V86" s="7">
        <f t="shared" si="49"/>
        <v>0</v>
      </c>
      <c r="W86" s="2"/>
      <c r="X86" s="6">
        <f t="shared" si="50"/>
        <v>15334.79</v>
      </c>
      <c r="Y86" s="2"/>
      <c r="Z86" s="7">
        <f t="shared" si="51"/>
        <v>0</v>
      </c>
    </row>
    <row r="87" spans="1:26" s="24" customFormat="1" hidden="1" outlineLevel="2" x14ac:dyDescent="0.25">
      <c r="A87" s="26"/>
      <c r="B87" s="11" t="str">
        <f>CONCATENATE("          ", "6259", " - ", "ROYALTY &amp; COMMISSIONS")</f>
        <v xml:space="preserve">          6259 - ROYALTY &amp; COMMISSIONS</v>
      </c>
      <c r="C87" s="11"/>
      <c r="D87" s="6"/>
      <c r="E87" s="2"/>
      <c r="F87" s="7">
        <f t="shared" si="44"/>
        <v>0</v>
      </c>
      <c r="G87" s="2"/>
      <c r="H87" s="6">
        <v>2064</v>
      </c>
      <c r="I87" s="2"/>
      <c r="J87" s="7">
        <f t="shared" si="45"/>
        <v>8.3886752883607137E-3</v>
      </c>
      <c r="K87" s="2"/>
      <c r="L87" s="6">
        <f t="shared" si="46"/>
        <v>-2064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15202</v>
      </c>
      <c r="U87" s="2"/>
      <c r="V87" s="7">
        <f t="shared" si="49"/>
        <v>9.3196096431046854E-3</v>
      </c>
      <c r="W87" s="2"/>
      <c r="X87" s="6">
        <f t="shared" si="50"/>
        <v>-15202</v>
      </c>
      <c r="Y87" s="2"/>
      <c r="Z87" s="7">
        <f t="shared" si="51"/>
        <v>-1</v>
      </c>
    </row>
    <row r="88" spans="1:26" s="25" customFormat="1" outlineLevel="1" collapsed="1" x14ac:dyDescent="0.25">
      <c r="A88" s="27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SUM(OSRRefD22_17x_0)</f>
        <v>2711.3599999999997</v>
      </c>
      <c r="E88" s="1"/>
      <c r="F88" s="5">
        <f t="shared" ref="F88:F93" si="52">IF(D$12=0,0,D88/D$12)</f>
        <v>1.3037434250480723E-2</v>
      </c>
      <c r="G88" s="1"/>
      <c r="H88" s="1">
        <f>SUM(OSRRefH22_17x_0)</f>
        <v>799</v>
      </c>
      <c r="I88" s="1"/>
      <c r="J88" s="5">
        <f t="shared" ref="J88:J93" si="53">IF(H$12=0,0,H88/H$12)</f>
        <v>3.2473602497094041E-3</v>
      </c>
      <c r="K88" s="1"/>
      <c r="L88" s="1">
        <f t="shared" ref="L88:L93" si="54">+D88-H88</f>
        <v>1912.3599999999997</v>
      </c>
      <c r="M88" s="1"/>
      <c r="N88" s="5">
        <f t="shared" ref="N88:N93" si="55">IF(H88=0,0,L88/H88)</f>
        <v>2.3934418022528154</v>
      </c>
      <c r="O88" s="13"/>
      <c r="P88" s="1">
        <f>SUM(OSRRefP22_17x_0)</f>
        <v>10796.35</v>
      </c>
      <c r="Q88" s="1"/>
      <c r="R88" s="5">
        <f t="shared" ref="R88:R93" si="56">IF(P$12=0,0,P88/P$12)</f>
        <v>6.6365857208541164E-3</v>
      </c>
      <c r="S88" s="1"/>
      <c r="T88" s="1">
        <f>SUM(OSRRefT22_17x_0)</f>
        <v>5211</v>
      </c>
      <c r="U88" s="1"/>
      <c r="V88" s="5">
        <f t="shared" ref="V88:V93" si="57">IF(T$12=0,0,T88/T$12)</f>
        <v>3.1946116201959289E-3</v>
      </c>
      <c r="W88" s="1"/>
      <c r="X88" s="1">
        <f t="shared" ref="X88:X93" si="58">+P88-T88</f>
        <v>5585.35</v>
      </c>
      <c r="Y88" s="1"/>
      <c r="Z88" s="5">
        <f t="shared" ref="Z88:Z93" si="59">IF(T88=0,0,X88/T88)</f>
        <v>1.0718384187296106</v>
      </c>
    </row>
    <row r="89" spans="1:26" s="24" customFormat="1" hidden="1" outlineLevel="2" x14ac:dyDescent="0.25">
      <c r="A89" s="26"/>
      <c r="B89" s="11" t="str">
        <f>CONCATENATE("          ", "6281", " - ", "STORAGE FEE")</f>
        <v xml:space="preserve">          6281 - STORAGE FEE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/>
      <c r="Q89" s="2"/>
      <c r="R89" s="7">
        <f t="shared" si="56"/>
        <v>0</v>
      </c>
      <c r="S89" s="2"/>
      <c r="T89" s="6">
        <v>0</v>
      </c>
      <c r="U89" s="2"/>
      <c r="V89" s="7">
        <f t="shared" si="57"/>
        <v>0</v>
      </c>
      <c r="W89" s="2"/>
      <c r="X89" s="6">
        <f t="shared" si="58"/>
        <v>0</v>
      </c>
      <c r="Y89" s="2"/>
      <c r="Z89" s="7">
        <f t="shared" si="59"/>
        <v>0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1272.49</v>
      </c>
      <c r="E90" s="2"/>
      <c r="F90" s="7">
        <f t="shared" si="52"/>
        <v>6.1187023152197489E-3</v>
      </c>
      <c r="G90" s="2"/>
      <c r="H90" s="6">
        <v>421</v>
      </c>
      <c r="I90" s="2"/>
      <c r="J90" s="7">
        <f t="shared" si="53"/>
        <v>1.7110621591084594E-3</v>
      </c>
      <c r="K90" s="2"/>
      <c r="L90" s="6">
        <f t="shared" si="54"/>
        <v>851.49</v>
      </c>
      <c r="M90" s="2"/>
      <c r="N90" s="7">
        <f t="shared" si="55"/>
        <v>2.0225415676959622</v>
      </c>
      <c r="O90" s="11"/>
      <c r="P90" s="6">
        <v>4151.63</v>
      </c>
      <c r="Q90" s="2"/>
      <c r="R90" s="7">
        <f t="shared" si="56"/>
        <v>2.5520336388010372E-3</v>
      </c>
      <c r="S90" s="2"/>
      <c r="T90" s="6">
        <v>2847</v>
      </c>
      <c r="U90" s="2"/>
      <c r="V90" s="7">
        <f t="shared" si="57"/>
        <v>1.7453577591053176E-3</v>
      </c>
      <c r="W90" s="2"/>
      <c r="X90" s="6">
        <f t="shared" si="58"/>
        <v>1304.6300000000001</v>
      </c>
      <c r="Y90" s="2"/>
      <c r="Z90" s="7">
        <f t="shared" si="59"/>
        <v>0.45824727783631897</v>
      </c>
    </row>
    <row r="91" spans="1:26" s="24" customFormat="1" hidden="1" outlineLevel="2" x14ac:dyDescent="0.25">
      <c r="A91" s="26"/>
      <c r="B91" s="11" t="str">
        <f>CONCATENATE("          ", "6284", " - ", "TRASH REMOVAL EXPENSE")</f>
        <v xml:space="preserve">          6284 - TRASH REMOVAL EXPENSE</v>
      </c>
      <c r="C91" s="11"/>
      <c r="D91" s="6">
        <v>785</v>
      </c>
      <c r="E91" s="2"/>
      <c r="F91" s="7">
        <f t="shared" si="52"/>
        <v>3.7746318772230061E-3</v>
      </c>
      <c r="G91" s="2"/>
      <c r="H91" s="6">
        <v>150</v>
      </c>
      <c r="I91" s="2"/>
      <c r="J91" s="7">
        <f t="shared" si="53"/>
        <v>6.0964209944481922E-4</v>
      </c>
      <c r="K91" s="2"/>
      <c r="L91" s="6">
        <f t="shared" si="54"/>
        <v>635</v>
      </c>
      <c r="M91" s="2"/>
      <c r="N91" s="7">
        <f t="shared" si="55"/>
        <v>4.2333333333333334</v>
      </c>
      <c r="O91" s="11"/>
      <c r="P91" s="6">
        <v>1733</v>
      </c>
      <c r="Q91" s="2"/>
      <c r="R91" s="7">
        <f t="shared" si="56"/>
        <v>1.0652862360186715E-3</v>
      </c>
      <c r="S91" s="2"/>
      <c r="T91" s="6">
        <v>900</v>
      </c>
      <c r="U91" s="2"/>
      <c r="V91" s="7">
        <f t="shared" si="57"/>
        <v>5.5174639381622257E-4</v>
      </c>
      <c r="W91" s="2"/>
      <c r="X91" s="6">
        <f t="shared" si="58"/>
        <v>833</v>
      </c>
      <c r="Y91" s="2"/>
      <c r="Z91" s="7">
        <f t="shared" si="59"/>
        <v>0.92555555555555558</v>
      </c>
    </row>
    <row r="92" spans="1:26" s="24" customFormat="1" hidden="1" outlineLevel="2" x14ac:dyDescent="0.25">
      <c r="A92" s="26"/>
      <c r="B92" s="11" t="str">
        <f>CONCATENATE("          ", "6285", " - ", "JANITORIAL SERVICES")</f>
        <v xml:space="preserve">          6285 - JANITORIAL SERVICES</v>
      </c>
      <c r="C92" s="11"/>
      <c r="D92" s="6">
        <v>125.23</v>
      </c>
      <c r="E92" s="2"/>
      <c r="F92" s="7">
        <f t="shared" si="52"/>
        <v>6.0216197450272237E-4</v>
      </c>
      <c r="G92" s="2"/>
      <c r="H92" s="6">
        <v>138</v>
      </c>
      <c r="I92" s="2"/>
      <c r="J92" s="7">
        <f t="shared" si="53"/>
        <v>5.6087073148923376E-4</v>
      </c>
      <c r="K92" s="2"/>
      <c r="L92" s="6">
        <f t="shared" si="54"/>
        <v>-12.769999999999996</v>
      </c>
      <c r="M92" s="2"/>
      <c r="N92" s="7">
        <f t="shared" si="55"/>
        <v>-9.2536231884057948E-2</v>
      </c>
      <c r="O92" s="11"/>
      <c r="P92" s="6">
        <v>651.38</v>
      </c>
      <c r="Q92" s="2"/>
      <c r="R92" s="7">
        <f t="shared" si="56"/>
        <v>4.0040747167792396E-4</v>
      </c>
      <c r="S92" s="2"/>
      <c r="T92" s="6">
        <v>1014</v>
      </c>
      <c r="U92" s="2"/>
      <c r="V92" s="7">
        <f t="shared" si="57"/>
        <v>6.2163427036627747E-4</v>
      </c>
      <c r="W92" s="2"/>
      <c r="X92" s="6">
        <f t="shared" si="58"/>
        <v>-362.62</v>
      </c>
      <c r="Y92" s="2"/>
      <c r="Z92" s="7">
        <f t="shared" si="59"/>
        <v>-0.35761341222879683</v>
      </c>
    </row>
    <row r="93" spans="1:26" s="24" customFormat="1" hidden="1" outlineLevel="2" x14ac:dyDescent="0.25">
      <c r="A93" s="26"/>
      <c r="B93" s="11" t="str">
        <f>CONCATENATE("          ", "6286", " - ", "LAUNDRY EXPENSE")</f>
        <v xml:space="preserve">          6286 - LAUNDRY EXPENSE</v>
      </c>
      <c r="C93" s="11"/>
      <c r="D93" s="6">
        <v>528.64</v>
      </c>
      <c r="E93" s="2"/>
      <c r="F93" s="7">
        <f t="shared" si="52"/>
        <v>2.5419380835352483E-3</v>
      </c>
      <c r="G93" s="2"/>
      <c r="H93" s="6">
        <v>90</v>
      </c>
      <c r="I93" s="2"/>
      <c r="J93" s="7">
        <f t="shared" si="53"/>
        <v>3.6578525966689154E-4</v>
      </c>
      <c r="K93" s="2"/>
      <c r="L93" s="6">
        <f t="shared" si="54"/>
        <v>438.64</v>
      </c>
      <c r="M93" s="2"/>
      <c r="N93" s="7">
        <f t="shared" si="55"/>
        <v>4.8737777777777778</v>
      </c>
      <c r="O93" s="11"/>
      <c r="P93" s="6">
        <v>4260.34</v>
      </c>
      <c r="Q93" s="2"/>
      <c r="R93" s="7">
        <f t="shared" si="56"/>
        <v>2.6188583743564841E-3</v>
      </c>
      <c r="S93" s="2"/>
      <c r="T93" s="6">
        <v>450</v>
      </c>
      <c r="U93" s="2"/>
      <c r="V93" s="7">
        <f t="shared" si="57"/>
        <v>2.7587319690811128E-4</v>
      </c>
      <c r="W93" s="2"/>
      <c r="X93" s="6">
        <f t="shared" si="58"/>
        <v>3810.34</v>
      </c>
      <c r="Y93" s="2"/>
      <c r="Z93" s="7">
        <f t="shared" si="59"/>
        <v>8.467422222222222</v>
      </c>
    </row>
    <row r="94" spans="1:26" s="25" customFormat="1" outlineLevel="1" collapsed="1" x14ac:dyDescent="0.25">
      <c r="A94" s="27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SUM(OSRRefD22_18x_0)</f>
        <v>352.8</v>
      </c>
      <c r="E94" s="1"/>
      <c r="F94" s="5">
        <f t="shared" ref="F94:F104" si="60">IF(D$12=0,0,D94/D$12)</f>
        <v>1.696420543037295E-3</v>
      </c>
      <c r="G94" s="1"/>
      <c r="H94" s="1">
        <f>SUM(OSRRefH22_18x_0)</f>
        <v>180</v>
      </c>
      <c r="I94" s="1"/>
      <c r="J94" s="5">
        <f t="shared" ref="J94:J104" si="61">IF(H$12=0,0,H94/H$12)</f>
        <v>7.3157051933378308E-4</v>
      </c>
      <c r="K94" s="1"/>
      <c r="L94" s="1">
        <f t="shared" ref="L94:L104" si="62">+D94-H94</f>
        <v>172.8</v>
      </c>
      <c r="M94" s="1"/>
      <c r="N94" s="5">
        <f t="shared" ref="N94:N104" si="63">IF(H94=0,0,L94/H94)</f>
        <v>0.96000000000000008</v>
      </c>
      <c r="O94" s="13"/>
      <c r="P94" s="1">
        <f>SUM(OSRRefP22_18x_0)</f>
        <v>1058.4000000000001</v>
      </c>
      <c r="Q94" s="1"/>
      <c r="R94" s="5">
        <f t="shared" ref="R94:R104" si="64">IF(P$12=0,0,P94/P$12)</f>
        <v>6.5060528113223431E-4</v>
      </c>
      <c r="S94" s="1"/>
      <c r="T94" s="1">
        <f>SUM(OSRRefT22_18x_0)</f>
        <v>1080</v>
      </c>
      <c r="U94" s="1"/>
      <c r="V94" s="5">
        <f t="shared" ref="V94:V104" si="65">IF(T$12=0,0,T94/T$12)</f>
        <v>6.6209567257946719E-4</v>
      </c>
      <c r="W94" s="1"/>
      <c r="X94" s="1">
        <f t="shared" ref="X94:X104" si="66">+P94-T94</f>
        <v>-21.599999999999909</v>
      </c>
      <c r="Y94" s="1"/>
      <c r="Z94" s="5">
        <f t="shared" ref="Z94:Z104" si="67">IF(T94=0,0,X94/T94)</f>
        <v>-1.9999999999999917E-2</v>
      </c>
    </row>
    <row r="95" spans="1:26" s="24" customFormat="1" hidden="1" outlineLevel="2" x14ac:dyDescent="0.25">
      <c r="A95" s="26"/>
      <c r="B95" s="11" t="str">
        <f>CONCATENATE("          ", "6275", " - ", "SUBSCRIPTIONS")</f>
        <v xml:space="preserve">          6275 - SUBSCRIPTIONS</v>
      </c>
      <c r="C95" s="11"/>
      <c r="D95" s="6">
        <v>352.8</v>
      </c>
      <c r="E95" s="2"/>
      <c r="F95" s="7">
        <f t="shared" si="60"/>
        <v>1.696420543037295E-3</v>
      </c>
      <c r="G95" s="2"/>
      <c r="H95" s="6">
        <v>180</v>
      </c>
      <c r="I95" s="2"/>
      <c r="J95" s="7">
        <f t="shared" si="61"/>
        <v>7.3157051933378308E-4</v>
      </c>
      <c r="K95" s="2"/>
      <c r="L95" s="6">
        <f t="shared" si="62"/>
        <v>172.8</v>
      </c>
      <c r="M95" s="2"/>
      <c r="N95" s="7">
        <f t="shared" si="63"/>
        <v>0.96000000000000008</v>
      </c>
      <c r="O95" s="11"/>
      <c r="P95" s="6">
        <v>1058.4000000000001</v>
      </c>
      <c r="Q95" s="2"/>
      <c r="R95" s="7">
        <f t="shared" si="64"/>
        <v>6.5060528113223431E-4</v>
      </c>
      <c r="S95" s="2"/>
      <c r="T95" s="6">
        <v>1080</v>
      </c>
      <c r="U95" s="2"/>
      <c r="V95" s="7">
        <f t="shared" si="65"/>
        <v>6.6209567257946719E-4</v>
      </c>
      <c r="W95" s="2"/>
      <c r="X95" s="6">
        <f t="shared" si="66"/>
        <v>-21.599999999999909</v>
      </c>
      <c r="Y95" s="2"/>
      <c r="Z95" s="7">
        <f t="shared" si="67"/>
        <v>-1.9999999999999917E-2</v>
      </c>
    </row>
    <row r="96" spans="1:26" s="25" customFormat="1" outlineLevel="1" collapsed="1" x14ac:dyDescent="0.25">
      <c r="A96" s="27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SUM(OSRRefD22_19x_0)</f>
        <v>2789.7799999999997</v>
      </c>
      <c r="E96" s="1"/>
      <c r="F96" s="5">
        <f t="shared" si="60"/>
        <v>1.3414512762342925E-2</v>
      </c>
      <c r="G96" s="1"/>
      <c r="H96" s="1">
        <f>SUM(OSRRefH22_19x_0)</f>
        <v>2952</v>
      </c>
      <c r="I96" s="1"/>
      <c r="J96" s="5">
        <f t="shared" si="61"/>
        <v>1.1997756517074043E-2</v>
      </c>
      <c r="K96" s="1"/>
      <c r="L96" s="1">
        <f t="shared" si="62"/>
        <v>-162.22000000000025</v>
      </c>
      <c r="M96" s="1"/>
      <c r="N96" s="5">
        <f t="shared" si="63"/>
        <v>-5.4952574525745347E-2</v>
      </c>
      <c r="O96" s="13"/>
      <c r="P96" s="1">
        <f>SUM(OSRRefP22_19x_0)</f>
        <v>37879.279999999999</v>
      </c>
      <c r="Q96" s="1"/>
      <c r="R96" s="5">
        <f t="shared" si="64"/>
        <v>2.3284636823022124E-2</v>
      </c>
      <c r="S96" s="1"/>
      <c r="T96" s="1">
        <f>SUM(OSRRefT22_19x_0)</f>
        <v>22040</v>
      </c>
      <c r="U96" s="1"/>
      <c r="V96" s="5">
        <f t="shared" si="65"/>
        <v>1.3511656133010606E-2</v>
      </c>
      <c r="W96" s="1"/>
      <c r="X96" s="1">
        <f t="shared" si="66"/>
        <v>15839.279999999999</v>
      </c>
      <c r="Y96" s="1"/>
      <c r="Z96" s="5">
        <f t="shared" si="67"/>
        <v>0.71866061705989104</v>
      </c>
    </row>
    <row r="97" spans="1:26" s="24" customFormat="1" hidden="1" outlineLevel="2" x14ac:dyDescent="0.25">
      <c r="A97" s="26"/>
      <c r="B97" s="11" t="str">
        <f>CONCATENATE("          ", "6234", " - ", "EXPENDABLE SUPPLIES &amp; EQUIPMEN")</f>
        <v xml:space="preserve">          6234 - EXPENDABLE SUPPLIES &amp; EQUIPMEN</v>
      </c>
      <c r="C97" s="11"/>
      <c r="D97" s="6"/>
      <c r="E97" s="2"/>
      <c r="F97" s="7">
        <f t="shared" si="60"/>
        <v>0</v>
      </c>
      <c r="G97" s="2"/>
      <c r="H97" s="6"/>
      <c r="I97" s="2"/>
      <c r="J97" s="7">
        <f t="shared" si="61"/>
        <v>0</v>
      </c>
      <c r="K97" s="2"/>
      <c r="L97" s="6">
        <f t="shared" si="62"/>
        <v>0</v>
      </c>
      <c r="M97" s="2"/>
      <c r="N97" s="7">
        <f t="shared" si="63"/>
        <v>0</v>
      </c>
      <c r="O97" s="11"/>
      <c r="P97" s="6">
        <v>1092.46</v>
      </c>
      <c r="Q97" s="2"/>
      <c r="R97" s="7">
        <f t="shared" si="64"/>
        <v>6.7154218199709059E-4</v>
      </c>
      <c r="S97" s="2"/>
      <c r="T97" s="6">
        <v>3000</v>
      </c>
      <c r="U97" s="2"/>
      <c r="V97" s="7">
        <f t="shared" si="65"/>
        <v>1.8391546460540754E-3</v>
      </c>
      <c r="W97" s="2"/>
      <c r="X97" s="6">
        <f t="shared" si="66"/>
        <v>-1907.54</v>
      </c>
      <c r="Y97" s="2"/>
      <c r="Z97" s="7">
        <f t="shared" si="67"/>
        <v>-0.63584666666666667</v>
      </c>
    </row>
    <row r="98" spans="1:26" s="24" customFormat="1" hidden="1" outlineLevel="2" x14ac:dyDescent="0.25">
      <c r="A98" s="26"/>
      <c r="B98" s="11" t="str">
        <f>CONCATENATE("          ", "6237", " - ", "JANITORIAL SUPPLIES")</f>
        <v xml:space="preserve">          6237 - JANITORIAL SUPPLIES</v>
      </c>
      <c r="C98" s="11"/>
      <c r="D98" s="6">
        <v>180.57</v>
      </c>
      <c r="E98" s="2"/>
      <c r="F98" s="7">
        <f t="shared" si="60"/>
        <v>8.6826150072631615E-4</v>
      </c>
      <c r="G98" s="2"/>
      <c r="H98" s="6">
        <v>100</v>
      </c>
      <c r="I98" s="2"/>
      <c r="J98" s="7">
        <f t="shared" si="61"/>
        <v>4.0642806629654618E-4</v>
      </c>
      <c r="K98" s="2"/>
      <c r="L98" s="6">
        <f t="shared" si="62"/>
        <v>80.569999999999993</v>
      </c>
      <c r="M98" s="2"/>
      <c r="N98" s="7">
        <f t="shared" si="63"/>
        <v>0.80569999999999997</v>
      </c>
      <c r="O98" s="11"/>
      <c r="P98" s="6">
        <v>3004.43</v>
      </c>
      <c r="Q98" s="2"/>
      <c r="R98" s="7">
        <f t="shared" si="64"/>
        <v>1.846842427052266E-3</v>
      </c>
      <c r="S98" s="2"/>
      <c r="T98" s="6">
        <v>800</v>
      </c>
      <c r="U98" s="2"/>
      <c r="V98" s="7">
        <f t="shared" si="65"/>
        <v>4.9044123894775339E-4</v>
      </c>
      <c r="W98" s="2"/>
      <c r="X98" s="6">
        <f t="shared" si="66"/>
        <v>2204.4299999999998</v>
      </c>
      <c r="Y98" s="2"/>
      <c r="Z98" s="7">
        <f t="shared" si="67"/>
        <v>2.7555375</v>
      </c>
    </row>
    <row r="99" spans="1:26" s="24" customFormat="1" hidden="1" outlineLevel="2" x14ac:dyDescent="0.25">
      <c r="A99" s="26"/>
      <c r="B99" s="11" t="str">
        <f>CONCATENATE("          ", "6241", " - ", "OFFICE EXPENSE")</f>
        <v xml:space="preserve">          6241 - OFFICE EXPENSE</v>
      </c>
      <c r="C99" s="11"/>
      <c r="D99" s="6">
        <v>212.94</v>
      </c>
      <c r="E99" s="2"/>
      <c r="F99" s="7">
        <f t="shared" si="60"/>
        <v>1.0239109706189388E-3</v>
      </c>
      <c r="G99" s="2"/>
      <c r="H99" s="6"/>
      <c r="I99" s="2"/>
      <c r="J99" s="7">
        <f t="shared" si="61"/>
        <v>0</v>
      </c>
      <c r="K99" s="2"/>
      <c r="L99" s="6">
        <f t="shared" si="62"/>
        <v>212.94</v>
      </c>
      <c r="M99" s="2"/>
      <c r="N99" s="7">
        <f t="shared" si="63"/>
        <v>0</v>
      </c>
      <c r="O99" s="11"/>
      <c r="P99" s="6">
        <v>1876.88</v>
      </c>
      <c r="Q99" s="2"/>
      <c r="R99" s="7">
        <f t="shared" si="64"/>
        <v>1.1537301965716816E-3</v>
      </c>
      <c r="S99" s="2"/>
      <c r="T99" s="6">
        <v>240</v>
      </c>
      <c r="U99" s="2"/>
      <c r="V99" s="7">
        <f t="shared" si="65"/>
        <v>1.4713237168432602E-4</v>
      </c>
      <c r="W99" s="2"/>
      <c r="X99" s="6">
        <f t="shared" si="66"/>
        <v>1636.88</v>
      </c>
      <c r="Y99" s="2"/>
      <c r="Z99" s="7">
        <f t="shared" si="67"/>
        <v>6.820333333333334</v>
      </c>
    </row>
    <row r="100" spans="1:26" s="24" customFormat="1" hidden="1" outlineLevel="2" x14ac:dyDescent="0.25">
      <c r="A100" s="26"/>
      <c r="B100" s="11" t="str">
        <f>CONCATENATE("          ", "6243", " - ", "PAPER SUPPLIES")</f>
        <v xml:space="preserve">          6243 - PAPER SUPPLIES</v>
      </c>
      <c r="C100" s="11"/>
      <c r="D100" s="6">
        <v>334.75</v>
      </c>
      <c r="E100" s="2"/>
      <c r="F100" s="7">
        <f t="shared" si="60"/>
        <v>1.6096280521024219E-3</v>
      </c>
      <c r="G100" s="2"/>
      <c r="H100" s="6"/>
      <c r="I100" s="2"/>
      <c r="J100" s="7">
        <f t="shared" si="61"/>
        <v>0</v>
      </c>
      <c r="K100" s="2"/>
      <c r="L100" s="6">
        <f t="shared" si="62"/>
        <v>334.75</v>
      </c>
      <c r="M100" s="2"/>
      <c r="N100" s="7">
        <f t="shared" si="63"/>
        <v>0</v>
      </c>
      <c r="O100" s="11"/>
      <c r="P100" s="6">
        <v>3352.6</v>
      </c>
      <c r="Q100" s="2"/>
      <c r="R100" s="7">
        <f t="shared" si="64"/>
        <v>2.0608647633446036E-3</v>
      </c>
      <c r="S100" s="2"/>
      <c r="T100" s="6"/>
      <c r="U100" s="2"/>
      <c r="V100" s="7">
        <f t="shared" si="65"/>
        <v>0</v>
      </c>
      <c r="W100" s="2"/>
      <c r="X100" s="6">
        <f t="shared" si="66"/>
        <v>3352.6</v>
      </c>
      <c r="Y100" s="2"/>
      <c r="Z100" s="7">
        <f t="shared" si="67"/>
        <v>0</v>
      </c>
    </row>
    <row r="101" spans="1:26" s="24" customFormat="1" hidden="1" outlineLevel="2" x14ac:dyDescent="0.25">
      <c r="A101" s="26"/>
      <c r="B101" s="11" t="str">
        <f>CONCATENATE("          ", "6244", " - ", "SAFETY SUPPLY EXPENSE")</f>
        <v xml:space="preserve">          6244 - SAFETY SUPPLY EXPENSE</v>
      </c>
      <c r="C101" s="11"/>
      <c r="D101" s="6"/>
      <c r="E101" s="2"/>
      <c r="F101" s="7">
        <f t="shared" si="60"/>
        <v>0</v>
      </c>
      <c r="G101" s="2"/>
      <c r="H101" s="6"/>
      <c r="I101" s="2"/>
      <c r="J101" s="7">
        <f t="shared" si="61"/>
        <v>0</v>
      </c>
      <c r="K101" s="2"/>
      <c r="L101" s="6">
        <f t="shared" si="62"/>
        <v>0</v>
      </c>
      <c r="M101" s="2"/>
      <c r="N101" s="7">
        <f t="shared" si="63"/>
        <v>0</v>
      </c>
      <c r="O101" s="11"/>
      <c r="P101" s="6"/>
      <c r="Q101" s="2"/>
      <c r="R101" s="7">
        <f t="shared" si="64"/>
        <v>0</v>
      </c>
      <c r="S101" s="2"/>
      <c r="T101" s="6">
        <v>30</v>
      </c>
      <c r="U101" s="2"/>
      <c r="V101" s="7">
        <f t="shared" si="65"/>
        <v>1.8391546460540752E-5</v>
      </c>
      <c r="W101" s="2"/>
      <c r="X101" s="6">
        <f t="shared" si="66"/>
        <v>-30</v>
      </c>
      <c r="Y101" s="2"/>
      <c r="Z101" s="7">
        <f t="shared" si="67"/>
        <v>-1</v>
      </c>
    </row>
    <row r="102" spans="1:26" s="24" customFormat="1" hidden="1" outlineLevel="2" x14ac:dyDescent="0.25">
      <c r="A102" s="26"/>
      <c r="B102" s="11" t="str">
        <f>CONCATENATE("          ", "6245", " - ", "PRINTING")</f>
        <v xml:space="preserve">          6245 - PRINTING</v>
      </c>
      <c r="C102" s="11"/>
      <c r="D102" s="6"/>
      <c r="E102" s="2"/>
      <c r="F102" s="7">
        <f t="shared" si="60"/>
        <v>0</v>
      </c>
      <c r="G102" s="2"/>
      <c r="H102" s="6"/>
      <c r="I102" s="2"/>
      <c r="J102" s="7">
        <f t="shared" si="61"/>
        <v>0</v>
      </c>
      <c r="K102" s="2"/>
      <c r="L102" s="6">
        <f t="shared" si="62"/>
        <v>0</v>
      </c>
      <c r="M102" s="2"/>
      <c r="N102" s="7">
        <f t="shared" si="63"/>
        <v>0</v>
      </c>
      <c r="O102" s="11"/>
      <c r="P102" s="6">
        <v>81.739999999999995</v>
      </c>
      <c r="Q102" s="2"/>
      <c r="R102" s="7">
        <f t="shared" si="64"/>
        <v>5.0246103249951645E-5</v>
      </c>
      <c r="S102" s="2"/>
      <c r="T102" s="6"/>
      <c r="U102" s="2"/>
      <c r="V102" s="7">
        <f t="shared" si="65"/>
        <v>0</v>
      </c>
      <c r="W102" s="2"/>
      <c r="X102" s="6">
        <f t="shared" si="66"/>
        <v>81.739999999999995</v>
      </c>
      <c r="Y102" s="2"/>
      <c r="Z102" s="7">
        <f t="shared" si="67"/>
        <v>0</v>
      </c>
    </row>
    <row r="103" spans="1:26" s="24" customFormat="1" hidden="1" outlineLevel="2" x14ac:dyDescent="0.25">
      <c r="A103" s="26"/>
      <c r="B103" s="11" t="str">
        <f>CONCATENATE("          ", "6247", " - ", "STORE SUPPLIES")</f>
        <v xml:space="preserve">          6247 - STORE SUPPLIES</v>
      </c>
      <c r="C103" s="11"/>
      <c r="D103" s="6">
        <v>2061.52</v>
      </c>
      <c r="E103" s="2"/>
      <c r="F103" s="7">
        <f t="shared" si="60"/>
        <v>9.9127122388952497E-3</v>
      </c>
      <c r="G103" s="2"/>
      <c r="H103" s="6">
        <v>2852</v>
      </c>
      <c r="I103" s="2"/>
      <c r="J103" s="7">
        <f t="shared" si="61"/>
        <v>1.1591328450777497E-2</v>
      </c>
      <c r="K103" s="2"/>
      <c r="L103" s="6">
        <f t="shared" si="62"/>
        <v>-790.48</v>
      </c>
      <c r="M103" s="2"/>
      <c r="N103" s="7">
        <f t="shared" si="63"/>
        <v>-0.27716690042075737</v>
      </c>
      <c r="O103" s="11"/>
      <c r="P103" s="6">
        <v>28471.17</v>
      </c>
      <c r="Q103" s="2"/>
      <c r="R103" s="7">
        <f t="shared" si="64"/>
        <v>1.7501411150806532E-2</v>
      </c>
      <c r="S103" s="2"/>
      <c r="T103" s="6">
        <v>17670</v>
      </c>
      <c r="U103" s="2"/>
      <c r="V103" s="7">
        <f t="shared" si="65"/>
        <v>1.0832620865258503E-2</v>
      </c>
      <c r="W103" s="2"/>
      <c r="X103" s="6">
        <f t="shared" si="66"/>
        <v>10801.169999999998</v>
      </c>
      <c r="Y103" s="2"/>
      <c r="Z103" s="7">
        <f t="shared" si="67"/>
        <v>0.61127164685908308</v>
      </c>
    </row>
    <row r="104" spans="1:26" s="24" customFormat="1" hidden="1" outlineLevel="2" x14ac:dyDescent="0.25">
      <c r="A104" s="26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60"/>
        <v>0</v>
      </c>
      <c r="G104" s="2"/>
      <c r="H104" s="6"/>
      <c r="I104" s="2"/>
      <c r="J104" s="7">
        <f t="shared" si="61"/>
        <v>0</v>
      </c>
      <c r="K104" s="2"/>
      <c r="L104" s="6">
        <f t="shared" si="62"/>
        <v>0</v>
      </c>
      <c r="M104" s="2"/>
      <c r="N104" s="7">
        <f t="shared" si="63"/>
        <v>0</v>
      </c>
      <c r="O104" s="11"/>
      <c r="P104" s="6"/>
      <c r="Q104" s="2"/>
      <c r="R104" s="7">
        <f t="shared" si="64"/>
        <v>0</v>
      </c>
      <c r="S104" s="2"/>
      <c r="T104" s="6">
        <v>300</v>
      </c>
      <c r="U104" s="2"/>
      <c r="V104" s="7">
        <f t="shared" si="65"/>
        <v>1.8391546460540755E-4</v>
      </c>
      <c r="W104" s="2"/>
      <c r="X104" s="6">
        <f t="shared" si="66"/>
        <v>-300</v>
      </c>
      <c r="Y104" s="2"/>
      <c r="Z104" s="7">
        <f t="shared" si="67"/>
        <v>-1</v>
      </c>
    </row>
    <row r="105" spans="1:26" s="25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SUM(OSRRefD22_20x_0)</f>
        <v>348.86</v>
      </c>
      <c r="E105" s="1"/>
      <c r="F105" s="5">
        <f t="shared" ref="F105:F112" si="68">IF(D$12=0,0,D105/D$12)</f>
        <v>1.6774752569274113E-3</v>
      </c>
      <c r="G105" s="1"/>
      <c r="H105" s="1">
        <f>SUM(OSRRefH22_20x_0)</f>
        <v>340</v>
      </c>
      <c r="I105" s="1"/>
      <c r="J105" s="5">
        <f t="shared" ref="J105:J112" si="69">IF(H$12=0,0,H105/H$12)</f>
        <v>1.381855425408257E-3</v>
      </c>
      <c r="K105" s="1"/>
      <c r="L105" s="1">
        <f t="shared" ref="L105:L112" si="70">+D105-H105</f>
        <v>8.8600000000000136</v>
      </c>
      <c r="M105" s="1"/>
      <c r="N105" s="5">
        <f t="shared" ref="N105:N112" si="71">IF(H105=0,0,L105/H105)</f>
        <v>2.6058823529411804E-2</v>
      </c>
      <c r="O105" s="13"/>
      <c r="P105" s="1">
        <f>SUM(OSRRefP22_20x_0)</f>
        <v>2046.26</v>
      </c>
      <c r="Q105" s="1"/>
      <c r="R105" s="5">
        <f t="shared" ref="R105:R112" si="72">IF(P$12=0,0,P105/P$12)</f>
        <v>1.2578491709841701E-3</v>
      </c>
      <c r="S105" s="1"/>
      <c r="T105" s="1">
        <f>SUM(OSRRefT22_20x_0)</f>
        <v>2040</v>
      </c>
      <c r="U105" s="1"/>
      <c r="V105" s="5">
        <f t="shared" ref="V105:V112" si="73">IF(T$12=0,0,T105/T$12)</f>
        <v>1.2506251593167711E-3</v>
      </c>
      <c r="W105" s="1"/>
      <c r="X105" s="1">
        <f t="shared" ref="X105:X112" si="74">+P105-T105</f>
        <v>6.2599999999999909</v>
      </c>
      <c r="Y105" s="1"/>
      <c r="Z105" s="5">
        <f t="shared" ref="Z105:Z112" si="75">IF(T105=0,0,X105/T105)</f>
        <v>3.0686274509803876E-3</v>
      </c>
    </row>
    <row r="106" spans="1:26" s="24" customFormat="1" hidden="1" outlineLevel="2" x14ac:dyDescent="0.25">
      <c r="A106" s="26"/>
      <c r="B106" s="11" t="str">
        <f>CONCATENATE("          ", "6309", " - ", "TELEPHONE")</f>
        <v xml:space="preserve">          6309 - TELEPHONE</v>
      </c>
      <c r="C106" s="11"/>
      <c r="D106" s="6">
        <v>348.86</v>
      </c>
      <c r="E106" s="2"/>
      <c r="F106" s="7">
        <f t="shared" si="68"/>
        <v>1.6774752569274113E-3</v>
      </c>
      <c r="G106" s="2"/>
      <c r="H106" s="6">
        <v>340</v>
      </c>
      <c r="I106" s="2"/>
      <c r="J106" s="7">
        <f t="shared" si="69"/>
        <v>1.381855425408257E-3</v>
      </c>
      <c r="K106" s="2"/>
      <c r="L106" s="6">
        <f t="shared" si="70"/>
        <v>8.8600000000000136</v>
      </c>
      <c r="M106" s="2"/>
      <c r="N106" s="7">
        <f t="shared" si="71"/>
        <v>2.6058823529411804E-2</v>
      </c>
      <c r="O106" s="11"/>
      <c r="P106" s="6">
        <v>2046.26</v>
      </c>
      <c r="Q106" s="2"/>
      <c r="R106" s="7">
        <f t="shared" si="72"/>
        <v>1.2578491709841701E-3</v>
      </c>
      <c r="S106" s="2"/>
      <c r="T106" s="6">
        <v>2040</v>
      </c>
      <c r="U106" s="2"/>
      <c r="V106" s="7">
        <f t="shared" si="73"/>
        <v>1.2506251593167711E-3</v>
      </c>
      <c r="W106" s="2"/>
      <c r="X106" s="6">
        <f t="shared" si="74"/>
        <v>6.2599999999999909</v>
      </c>
      <c r="Y106" s="2"/>
      <c r="Z106" s="7">
        <f t="shared" si="75"/>
        <v>3.0686274509803876E-3</v>
      </c>
    </row>
    <row r="107" spans="1:26" s="25" customFormat="1" outlineLevel="1" collapsed="1" x14ac:dyDescent="0.25">
      <c r="A107" s="27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SUM(OSRRefD22_21x_0)</f>
        <v>0</v>
      </c>
      <c r="E107" s="1"/>
      <c r="F107" s="5">
        <f t="shared" si="68"/>
        <v>0</v>
      </c>
      <c r="G107" s="1"/>
      <c r="H107" s="1">
        <f>SUM(OSRRefH22_21x_0)</f>
        <v>0</v>
      </c>
      <c r="I107" s="1"/>
      <c r="J107" s="5">
        <f t="shared" si="69"/>
        <v>0</v>
      </c>
      <c r="K107" s="1"/>
      <c r="L107" s="1">
        <f t="shared" si="70"/>
        <v>0</v>
      </c>
      <c r="M107" s="1"/>
      <c r="N107" s="5">
        <f t="shared" si="71"/>
        <v>0</v>
      </c>
      <c r="O107" s="13"/>
      <c r="P107" s="1">
        <f>SUM(OSRRefP22_21x_0)</f>
        <v>96</v>
      </c>
      <c r="Q107" s="1"/>
      <c r="R107" s="5">
        <f t="shared" si="72"/>
        <v>5.9011816882742332E-5</v>
      </c>
      <c r="S107" s="1"/>
      <c r="T107" s="1">
        <f>SUM(OSRRefT22_21x_0)</f>
        <v>1100</v>
      </c>
      <c r="U107" s="1"/>
      <c r="V107" s="5">
        <f t="shared" si="73"/>
        <v>6.7435670355316102E-4</v>
      </c>
      <c r="W107" s="1"/>
      <c r="X107" s="1">
        <f t="shared" si="74"/>
        <v>-1004</v>
      </c>
      <c r="Y107" s="1"/>
      <c r="Z107" s="5">
        <f t="shared" si="75"/>
        <v>-0.91272727272727272</v>
      </c>
    </row>
    <row r="108" spans="1:26" s="24" customFormat="1" hidden="1" outlineLevel="2" x14ac:dyDescent="0.25">
      <c r="A108" s="26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>
        <v>96</v>
      </c>
      <c r="Q108" s="2"/>
      <c r="R108" s="7">
        <f t="shared" si="72"/>
        <v>5.9011816882742332E-5</v>
      </c>
      <c r="S108" s="2"/>
      <c r="T108" s="6">
        <v>1100</v>
      </c>
      <c r="U108" s="2"/>
      <c r="V108" s="7">
        <f t="shared" si="73"/>
        <v>6.7435670355316102E-4</v>
      </c>
      <c r="W108" s="2"/>
      <c r="X108" s="6">
        <f t="shared" si="74"/>
        <v>-1004</v>
      </c>
      <c r="Y108" s="2"/>
      <c r="Z108" s="7">
        <f t="shared" si="75"/>
        <v>-0.91272727272727272</v>
      </c>
    </row>
    <row r="109" spans="1:26" s="25" customFormat="1" outlineLevel="1" collapsed="1" x14ac:dyDescent="0.25">
      <c r="A109" s="27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SUM(OSRRefD22_22x_0)</f>
        <v>0</v>
      </c>
      <c r="E109" s="1"/>
      <c r="F109" s="5">
        <f t="shared" si="68"/>
        <v>0</v>
      </c>
      <c r="G109" s="1"/>
      <c r="H109" s="1">
        <f>SUM(OSRRefH22_22x_0)</f>
        <v>0</v>
      </c>
      <c r="I109" s="1"/>
      <c r="J109" s="5">
        <f t="shared" si="69"/>
        <v>0</v>
      </c>
      <c r="K109" s="1"/>
      <c r="L109" s="1">
        <f t="shared" si="70"/>
        <v>0</v>
      </c>
      <c r="M109" s="1"/>
      <c r="N109" s="5">
        <f t="shared" si="71"/>
        <v>0</v>
      </c>
      <c r="O109" s="13"/>
      <c r="P109" s="1">
        <f>SUM(OSRRefP22_22x_0)</f>
        <v>0</v>
      </c>
      <c r="Q109" s="1"/>
      <c r="R109" s="5">
        <f t="shared" si="72"/>
        <v>0</v>
      </c>
      <c r="S109" s="1"/>
      <c r="T109" s="1">
        <f>SUM(OSRRefT22_22x_0)</f>
        <v>1000</v>
      </c>
      <c r="U109" s="1"/>
      <c r="V109" s="5">
        <f t="shared" si="73"/>
        <v>6.1305154868469174E-4</v>
      </c>
      <c r="W109" s="1"/>
      <c r="X109" s="1">
        <f t="shared" si="74"/>
        <v>-1000</v>
      </c>
      <c r="Y109" s="1"/>
      <c r="Z109" s="5">
        <f t="shared" si="75"/>
        <v>-1</v>
      </c>
    </row>
    <row r="110" spans="1:26" s="24" customFormat="1" hidden="1" outlineLevel="2" x14ac:dyDescent="0.25">
      <c r="A110" s="26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68"/>
        <v>0</v>
      </c>
      <c r="G110" s="2"/>
      <c r="H110" s="6"/>
      <c r="I110" s="2"/>
      <c r="J110" s="7">
        <f t="shared" si="69"/>
        <v>0</v>
      </c>
      <c r="K110" s="2"/>
      <c r="L110" s="6">
        <f t="shared" si="70"/>
        <v>0</v>
      </c>
      <c r="M110" s="2"/>
      <c r="N110" s="7">
        <f t="shared" si="71"/>
        <v>0</v>
      </c>
      <c r="O110" s="11"/>
      <c r="P110" s="6"/>
      <c r="Q110" s="2"/>
      <c r="R110" s="7">
        <f t="shared" si="72"/>
        <v>0</v>
      </c>
      <c r="S110" s="2"/>
      <c r="T110" s="6">
        <v>1000</v>
      </c>
      <c r="U110" s="2"/>
      <c r="V110" s="7">
        <f t="shared" si="73"/>
        <v>6.1305154868469174E-4</v>
      </c>
      <c r="W110" s="2"/>
      <c r="X110" s="6">
        <f t="shared" si="74"/>
        <v>-1000</v>
      </c>
      <c r="Y110" s="2"/>
      <c r="Z110" s="7">
        <f t="shared" si="75"/>
        <v>-1</v>
      </c>
    </row>
    <row r="111" spans="1:26" s="25" customFormat="1" outlineLevel="1" collapsed="1" x14ac:dyDescent="0.25">
      <c r="A111" s="27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SUM(OSRRefD22_23x_0)</f>
        <v>2412</v>
      </c>
      <c r="E111" s="1"/>
      <c r="F111" s="5">
        <f t="shared" si="68"/>
        <v>1.1597977181989669E-2</v>
      </c>
      <c r="G111" s="1"/>
      <c r="H111" s="1">
        <f>SUM(OSRRefH22_23x_0)</f>
        <v>1123</v>
      </c>
      <c r="I111" s="1"/>
      <c r="J111" s="5">
        <f t="shared" si="69"/>
        <v>4.5641871845102135E-3</v>
      </c>
      <c r="K111" s="1"/>
      <c r="L111" s="1">
        <f t="shared" si="70"/>
        <v>1289</v>
      </c>
      <c r="M111" s="1"/>
      <c r="N111" s="5">
        <f t="shared" si="71"/>
        <v>1.1478183437221727</v>
      </c>
      <c r="O111" s="13"/>
      <c r="P111" s="1">
        <f>SUM(OSRRefP22_23x_0)</f>
        <v>5450.12</v>
      </c>
      <c r="Q111" s="1"/>
      <c r="R111" s="5">
        <f t="shared" si="72"/>
        <v>3.3502237857184545E-3</v>
      </c>
      <c r="S111" s="1"/>
      <c r="T111" s="1">
        <f>SUM(OSRRefT22_23x_0)</f>
        <v>6769</v>
      </c>
      <c r="U111" s="1"/>
      <c r="V111" s="5">
        <f t="shared" si="73"/>
        <v>4.1497459330466788E-3</v>
      </c>
      <c r="W111" s="1"/>
      <c r="X111" s="1">
        <f t="shared" si="74"/>
        <v>-1318.88</v>
      </c>
      <c r="Y111" s="1"/>
      <c r="Z111" s="5">
        <f t="shared" si="75"/>
        <v>-0.19484118776776482</v>
      </c>
    </row>
    <row r="112" spans="1:26" s="24" customFormat="1" hidden="1" outlineLevel="2" x14ac:dyDescent="0.25">
      <c r="A112" s="26"/>
      <c r="B112" s="11" t="str">
        <f>CONCATENATE("          ", "6274", " - ", "UTILITIES")</f>
        <v xml:space="preserve">          6274 - UTILITIES</v>
      </c>
      <c r="C112" s="11"/>
      <c r="D112" s="6">
        <v>2412</v>
      </c>
      <c r="E112" s="2"/>
      <c r="F112" s="7">
        <f t="shared" si="68"/>
        <v>1.1597977181989669E-2</v>
      </c>
      <c r="G112" s="2"/>
      <c r="H112" s="6">
        <v>1123</v>
      </c>
      <c r="I112" s="2"/>
      <c r="J112" s="7">
        <f t="shared" si="69"/>
        <v>4.5641871845102135E-3</v>
      </c>
      <c r="K112" s="2"/>
      <c r="L112" s="6">
        <f t="shared" si="70"/>
        <v>1289</v>
      </c>
      <c r="M112" s="2"/>
      <c r="N112" s="7">
        <f t="shared" si="71"/>
        <v>1.1478183437221727</v>
      </c>
      <c r="O112" s="11"/>
      <c r="P112" s="6">
        <v>5450.12</v>
      </c>
      <c r="Q112" s="2"/>
      <c r="R112" s="7">
        <f t="shared" si="72"/>
        <v>3.3502237857184545E-3</v>
      </c>
      <c r="S112" s="2"/>
      <c r="T112" s="6">
        <v>6769</v>
      </c>
      <c r="U112" s="2"/>
      <c r="V112" s="7">
        <f t="shared" si="73"/>
        <v>4.1497459330466788E-3</v>
      </c>
      <c r="W112" s="2"/>
      <c r="X112" s="6">
        <f t="shared" si="74"/>
        <v>-1318.88</v>
      </c>
      <c r="Y112" s="2"/>
      <c r="Z112" s="7">
        <f t="shared" si="75"/>
        <v>-0.19484118776776482</v>
      </c>
    </row>
    <row r="113" spans="1:26" s="53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8" t="s">
        <v>0</v>
      </c>
      <c r="C114" s="10"/>
      <c r="D114" s="4">
        <f>SUM(0)</f>
        <v>0</v>
      </c>
      <c r="E114" s="4"/>
      <c r="F114" s="12">
        <f>IF(D$12=0,0,D114/D$12)</f>
        <v>0</v>
      </c>
      <c r="G114" s="4"/>
      <c r="H114" s="4">
        <f>SUM(0)</f>
        <v>0</v>
      </c>
      <c r="I114" s="4"/>
      <c r="J114" s="12">
        <f>IF(H$12=0,0,H114/H$12)</f>
        <v>0</v>
      </c>
      <c r="K114" s="4"/>
      <c r="L114" s="4">
        <f>+D114-H114</f>
        <v>0</v>
      </c>
      <c r="M114" s="4"/>
      <c r="N114" s="12">
        <f>IF(H114=0,0,L114/H114)</f>
        <v>0</v>
      </c>
      <c r="O114" s="10"/>
      <c r="P114" s="4">
        <f>SUM(0)</f>
        <v>0</v>
      </c>
      <c r="Q114" s="4"/>
      <c r="R114" s="12">
        <f>IF(P$12=0,0,P114/P$12)</f>
        <v>0</v>
      </c>
      <c r="S114" s="4"/>
      <c r="T114" s="4">
        <f>SUM(0)</f>
        <v>0</v>
      </c>
      <c r="U114" s="4"/>
      <c r="V114" s="12">
        <f>IF(T$12=0,0,T114/T$12)</f>
        <v>0</v>
      </c>
      <c r="W114" s="4"/>
      <c r="X114" s="4">
        <f>+P114-T114</f>
        <v>0</v>
      </c>
      <c r="Y114" s="4"/>
      <c r="Z114" s="12">
        <f>IF(T114=0,0,X114/T114)</f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9" t="s">
        <v>3</v>
      </c>
      <c r="C116" s="29"/>
      <c r="D116" s="22">
        <f>+D29-D31+D114</f>
        <v>12821.210000000006</v>
      </c>
      <c r="E116" s="14"/>
      <c r="F116" s="20">
        <f>IF(D$12=0,0,D116/D$12)</f>
        <v>6.1650124803274392E-2</v>
      </c>
      <c r="G116" s="14"/>
      <c r="H116" s="22">
        <f>+H29-H31+H114</f>
        <v>31283.855587361526</v>
      </c>
      <c r="I116" s="14"/>
      <c r="J116" s="20">
        <f>IF(H$12=0,0,H116/H$12)</f>
        <v>0.12714636932671747</v>
      </c>
      <c r="K116" s="16"/>
      <c r="L116" s="22">
        <f>+D116-H116</f>
        <v>-18462.64558736152</v>
      </c>
      <c r="M116" s="16"/>
      <c r="N116" s="20">
        <f>IF(H116=0,0,L116/H116)</f>
        <v>-0.59016528623857689</v>
      </c>
      <c r="O116" s="28"/>
      <c r="P116" s="22">
        <f>+P29-P31+P114</f>
        <v>213859.7699999999</v>
      </c>
      <c r="Q116" s="14"/>
      <c r="R116" s="20">
        <f>IF(P$12=0,0,P116/P$12)</f>
        <v>0.13146097485234778</v>
      </c>
      <c r="S116" s="14"/>
      <c r="T116" s="22">
        <f>+T29-T31+T114</f>
        <v>229617.30484934989</v>
      </c>
      <c r="U116" s="14"/>
      <c r="V116" s="20">
        <f>IF(T$12=0,0,T116/T$12)</f>
        <v>0.14076724434269894</v>
      </c>
      <c r="W116" s="16"/>
      <c r="X116" s="22">
        <f>+P116-T116</f>
        <v>-15757.534849349991</v>
      </c>
      <c r="Y116" s="16"/>
      <c r="Z116" s="20">
        <f>IF(T116=0,0,X116/T116)</f>
        <v>-6.8625206012623424E-2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2"/>
      <c r="B118" s="10" t="s">
        <v>14</v>
      </c>
      <c r="C118" s="10"/>
      <c r="D118" s="4">
        <v>25462.12</v>
      </c>
      <c r="E118" s="4"/>
      <c r="F118" s="12">
        <f>IF(D$12=0,0,D118/D$12)</f>
        <v>0.12243328638685025</v>
      </c>
      <c r="G118" s="4"/>
      <c r="H118" s="4">
        <v>34580</v>
      </c>
      <c r="I118" s="4"/>
      <c r="J118" s="12">
        <f>IF(H$12=0,0,H118/H$12)</f>
        <v>0.14054282532534568</v>
      </c>
      <c r="K118" s="4"/>
      <c r="L118" s="4">
        <f>+D118-H118</f>
        <v>-9117.880000000001</v>
      </c>
      <c r="M118" s="4"/>
      <c r="N118" s="12">
        <f>IF(H118=0,0,L118/H118)</f>
        <v>-0.2636749566223251</v>
      </c>
      <c r="O118" s="10"/>
      <c r="P118" s="4">
        <v>175706.16</v>
      </c>
      <c r="Q118" s="4"/>
      <c r="R118" s="12">
        <f>IF(P$12=0,0,P118/P$12)</f>
        <v>0.10800770561551902</v>
      </c>
      <c r="S118" s="4"/>
      <c r="T118" s="4">
        <v>210120</v>
      </c>
      <c r="U118" s="4"/>
      <c r="V118" s="12">
        <f>IF(T$12=0,0,T118/T$12)</f>
        <v>0.12881439140962744</v>
      </c>
      <c r="W118" s="4"/>
      <c r="X118" s="4">
        <f>+P118-T118</f>
        <v>-34413.839999999997</v>
      </c>
      <c r="Y118" s="4"/>
      <c r="Z118" s="12">
        <f>IF(T118=0,0,X118/T118)</f>
        <v>-0.16378183894917189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9" t="s">
        <v>4</v>
      </c>
      <c r="C120" s="29"/>
      <c r="D120" s="31">
        <f>+D116-D118</f>
        <v>-12640.909999999993</v>
      </c>
      <c r="E120" s="14"/>
      <c r="F120" s="32">
        <f>IF(D$12=0,0,D120/D$12)</f>
        <v>-6.078316158357585E-2</v>
      </c>
      <c r="G120" s="14"/>
      <c r="H120" s="31">
        <f>+H116-H118</f>
        <v>-3296.144412638474</v>
      </c>
      <c r="I120" s="14"/>
      <c r="J120" s="32">
        <f>IF(H$12=0,0,H120/H$12)</f>
        <v>-1.3396455998628199E-2</v>
      </c>
      <c r="K120" s="16"/>
      <c r="L120" s="31">
        <f>D120-H120</f>
        <v>-9344.7655873615186</v>
      </c>
      <c r="M120" s="16"/>
      <c r="N120" s="32">
        <f>IF(H120=0,0,L120/H120)</f>
        <v>2.8350595172743924</v>
      </c>
      <c r="O120" s="28"/>
      <c r="P120" s="31">
        <f>+P116-P118</f>
        <v>38153.609999999899</v>
      </c>
      <c r="Q120" s="14"/>
      <c r="R120" s="32">
        <f>IF(P$12=0,0,P120/P$12)</f>
        <v>2.3453269236828757E-2</v>
      </c>
      <c r="S120" s="14"/>
      <c r="T120" s="31">
        <f>+T116-T118</f>
        <v>19497.304849349894</v>
      </c>
      <c r="U120" s="14"/>
      <c r="V120" s="32">
        <f>IF(T$12=0,0,T120/T$12)</f>
        <v>1.1952852933071504E-2</v>
      </c>
      <c r="W120" s="16"/>
      <c r="X120" s="31">
        <f>P120-T120</f>
        <v>18656.305150650005</v>
      </c>
      <c r="Y120" s="16"/>
      <c r="Z120" s="32">
        <f>IF(T120=0,0,X120/T120)</f>
        <v>0.95686584862892321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5</v>
      </c>
      <c r="C123" s="29"/>
      <c r="D123" s="35">
        <f>SUM(D120:D122)</f>
        <v>-12640.909999999993</v>
      </c>
      <c r="E123" s="14"/>
      <c r="F123" s="34">
        <f>IF(D$12=0,0,D123/D$12)</f>
        <v>-6.078316158357585E-2</v>
      </c>
      <c r="G123" s="14"/>
      <c r="H123" s="35">
        <f>SUM(H120:H122)</f>
        <v>-3296.144412638474</v>
      </c>
      <c r="I123" s="14"/>
      <c r="J123" s="34">
        <f>IF(H$12=0,0,H123/H$12)</f>
        <v>-1.3396455998628199E-2</v>
      </c>
      <c r="K123" s="16"/>
      <c r="L123" s="35">
        <f>+D123-H123</f>
        <v>-9344.7655873615186</v>
      </c>
      <c r="M123" s="16"/>
      <c r="N123" s="34">
        <f>IF(H123=0,0,L123/H123)</f>
        <v>2.8350595172743924</v>
      </c>
      <c r="O123" s="28"/>
      <c r="P123" s="35">
        <f>SUM(P120:P122)</f>
        <v>38153.609999999899</v>
      </c>
      <c r="Q123" s="14"/>
      <c r="R123" s="34">
        <f>IF(P$12=0,0,P123/P$12)</f>
        <v>2.3453269236828757E-2</v>
      </c>
      <c r="S123" s="14"/>
      <c r="T123" s="35">
        <f>SUM(T120:T122)</f>
        <v>19497.304849349894</v>
      </c>
      <c r="U123" s="14"/>
      <c r="V123" s="34">
        <f>IF(T$12=0,0,T123/T$12)</f>
        <v>1.1952852933071504E-2</v>
      </c>
      <c r="W123" s="16"/>
      <c r="X123" s="35">
        <f>+P123-T123</f>
        <v>18656.305150650005</v>
      </c>
      <c r="Y123" s="16"/>
      <c r="Z123" s="34">
        <f>IF(T123=0,0,X123/T123)</f>
        <v>0.95686584862892321</v>
      </c>
    </row>
    <row r="124" spans="1:26" ht="15.75" thickTop="1" x14ac:dyDescent="0.25">
      <c r="A124" s="9"/>
      <c r="C124" s="9"/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63">
        <v>43847.44542546296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55" t="s">
        <v>314</v>
      </c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A127" s="9"/>
      <c r="B127" s="56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21786.370000000003</v>
      </c>
      <c r="E12" s="4"/>
      <c r="F12" s="12"/>
      <c r="G12" s="4"/>
      <c r="H12" s="4">
        <f>SUM(OSRRefH13x_0)</f>
        <v>29255</v>
      </c>
      <c r="I12" s="4"/>
      <c r="J12" s="12"/>
      <c r="K12" s="4"/>
      <c r="L12" s="4">
        <f t="shared" ref="L12:L15" si="0">+D12-H12</f>
        <v>-7468.6299999999974</v>
      </c>
      <c r="M12" s="4"/>
      <c r="N12" s="12">
        <f t="shared" ref="N12:N15" si="1">IF(H12=0,0,L12/H12)</f>
        <v>-0.25529413775422993</v>
      </c>
      <c r="O12" s="10"/>
      <c r="P12" s="4">
        <f>SUM(OSRRefP13x_0)</f>
        <v>199194.84</v>
      </c>
      <c r="Q12" s="4"/>
      <c r="R12" s="12"/>
      <c r="S12" s="4"/>
      <c r="T12" s="4">
        <f>SUM(OSRRefT13x_0)</f>
        <v>211806</v>
      </c>
      <c r="U12" s="4"/>
      <c r="V12" s="12"/>
      <c r="W12" s="4"/>
      <c r="X12" s="4">
        <f t="shared" ref="X12:X15" si="2">+P12-T12</f>
        <v>-12611.160000000003</v>
      </c>
      <c r="Y12" s="4"/>
      <c r="Z12" s="12">
        <f t="shared" ref="Z12:Z15" si="3">IF(T12=0,0,X12/T12)</f>
        <v>-5.9541089487549943E-2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--6300.58</f>
        <v>6300.58</v>
      </c>
      <c r="E13" s="2"/>
      <c r="F13" s="19"/>
      <c r="G13" s="2"/>
      <c r="H13" s="2"/>
      <c r="I13" s="2"/>
      <c r="J13" s="19"/>
      <c r="K13" s="2"/>
      <c r="L13" s="2">
        <f t="shared" si="0"/>
        <v>6300.58</v>
      </c>
      <c r="M13" s="2"/>
      <c r="N13" s="19">
        <f t="shared" si="1"/>
        <v>0</v>
      </c>
      <c r="O13" s="11"/>
      <c r="P13" s="2">
        <f>--45239.69</f>
        <v>45239.69</v>
      </c>
      <c r="Q13" s="2"/>
      <c r="R13" s="19"/>
      <c r="S13" s="2"/>
      <c r="T13" s="2"/>
      <c r="U13" s="2"/>
      <c r="V13" s="19"/>
      <c r="W13" s="2"/>
      <c r="X13" s="2">
        <f t="shared" si="2"/>
        <v>45239.69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29255</v>
      </c>
      <c r="I14" s="2"/>
      <c r="J14" s="19"/>
      <c r="K14" s="2"/>
      <c r="L14" s="2">
        <f t="shared" si="0"/>
        <v>-29255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211806</v>
      </c>
      <c r="U14" s="2"/>
      <c r="V14" s="19"/>
      <c r="W14" s="2"/>
      <c r="X14" s="2">
        <f t="shared" si="2"/>
        <v>-211806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--15485.79</f>
        <v>15485.79</v>
      </c>
      <c r="E15" s="2"/>
      <c r="F15" s="19"/>
      <c r="G15" s="2"/>
      <c r="H15" s="2"/>
      <c r="I15" s="2"/>
      <c r="J15" s="19"/>
      <c r="K15" s="2"/>
      <c r="L15" s="2">
        <f t="shared" si="0"/>
        <v>15485.79</v>
      </c>
      <c r="M15" s="2"/>
      <c r="N15" s="19">
        <f t="shared" si="1"/>
        <v>0</v>
      </c>
      <c r="O15" s="11"/>
      <c r="P15" s="2">
        <f>--153955.15</f>
        <v>153955.15</v>
      </c>
      <c r="Q15" s="2"/>
      <c r="R15" s="19"/>
      <c r="S15" s="2"/>
      <c r="T15" s="2"/>
      <c r="U15" s="2"/>
      <c r="V15" s="19"/>
      <c r="W15" s="2"/>
      <c r="X15" s="2">
        <f t="shared" si="2"/>
        <v>153955.15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9653.27</v>
      </c>
      <c r="E17" s="4"/>
      <c r="F17" s="12">
        <f t="shared" ref="F17:F20" si="4">IF(D$12=0,0,D17/D$12)</f>
        <v>0.44308758182294705</v>
      </c>
      <c r="G17" s="4"/>
      <c r="H17" s="4">
        <f>SUM(OSRRefH16x_0)</f>
        <v>14481</v>
      </c>
      <c r="I17" s="4"/>
      <c r="J17" s="12">
        <f t="shared" ref="J17:J20" si="5">IF(H$12=0,0,H17/H$12)</f>
        <v>0.49499230900700736</v>
      </c>
      <c r="K17" s="4"/>
      <c r="L17" s="4">
        <f t="shared" ref="L17:L20" si="6">+D17-H17</f>
        <v>-4827.7299999999996</v>
      </c>
      <c r="M17" s="4"/>
      <c r="N17" s="12">
        <f t="shared" ref="N17:N20" si="7">IF(H17=0,0,L17/H17)</f>
        <v>-0.33338374421655959</v>
      </c>
      <c r="O17" s="10"/>
      <c r="P17" s="4">
        <f>SUM(OSRRefP16x_0)</f>
        <v>91487.049999999988</v>
      </c>
      <c r="Q17" s="4"/>
      <c r="R17" s="12">
        <f t="shared" ref="R17:R20" si="8">IF(P$12=0,0,P17/P$12)</f>
        <v>0.45928423647921801</v>
      </c>
      <c r="S17" s="4"/>
      <c r="T17" s="4">
        <f>SUM(OSRRefT16x_0)</f>
        <v>104843</v>
      </c>
      <c r="U17" s="4"/>
      <c r="V17" s="12">
        <f t="shared" ref="V17:V20" si="9">IF(T$12=0,0,T17/T$12)</f>
        <v>0.49499542033747862</v>
      </c>
      <c r="W17" s="4"/>
      <c r="X17" s="4">
        <f t="shared" ref="X17:X20" si="10">+P17-T17</f>
        <v>-13355.950000000012</v>
      </c>
      <c r="Y17" s="4"/>
      <c r="Z17" s="12">
        <f t="shared" ref="Z17:Z20" si="11">IF(T17=0,0,X17/T17)</f>
        <v>-0.12739000219375649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14481</v>
      </c>
      <c r="I18" s="2"/>
      <c r="J18" s="19">
        <f t="shared" si="5"/>
        <v>0.49499230900700736</v>
      </c>
      <c r="K18" s="2"/>
      <c r="L18" s="2">
        <f t="shared" si="6"/>
        <v>-14481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104843</v>
      </c>
      <c r="U18" s="2"/>
      <c r="V18" s="19">
        <f t="shared" si="9"/>
        <v>0.49499542033747862</v>
      </c>
      <c r="W18" s="2"/>
      <c r="X18" s="2">
        <f t="shared" si="10"/>
        <v>-104843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6780.27</v>
      </c>
      <c r="E19" s="2"/>
      <c r="F19" s="19">
        <f t="shared" si="4"/>
        <v>0.31121614110106455</v>
      </c>
      <c r="G19" s="2"/>
      <c r="H19" s="2"/>
      <c r="I19" s="2"/>
      <c r="J19" s="19">
        <f t="shared" si="5"/>
        <v>0</v>
      </c>
      <c r="K19" s="2"/>
      <c r="L19" s="2">
        <f t="shared" si="6"/>
        <v>6780.27</v>
      </c>
      <c r="M19" s="2"/>
      <c r="N19" s="19">
        <f t="shared" si="7"/>
        <v>0</v>
      </c>
      <c r="O19" s="11"/>
      <c r="P19" s="2">
        <v>94356.739999999991</v>
      </c>
      <c r="Q19" s="2"/>
      <c r="R19" s="19">
        <f t="shared" si="8"/>
        <v>0.47369068395546787</v>
      </c>
      <c r="S19" s="2"/>
      <c r="T19" s="2"/>
      <c r="U19" s="2"/>
      <c r="V19" s="19">
        <f t="shared" si="9"/>
        <v>0</v>
      </c>
      <c r="W19" s="2"/>
      <c r="X19" s="2">
        <f t="shared" si="10"/>
        <v>94356.739999999991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2873</v>
      </c>
      <c r="E20" s="2"/>
      <c r="F20" s="19">
        <f t="shared" si="4"/>
        <v>0.13187144072188253</v>
      </c>
      <c r="G20" s="2"/>
      <c r="H20" s="2"/>
      <c r="I20" s="2"/>
      <c r="J20" s="19">
        <f t="shared" si="5"/>
        <v>0</v>
      </c>
      <c r="K20" s="2"/>
      <c r="L20" s="2">
        <f t="shared" si="6"/>
        <v>2873</v>
      </c>
      <c r="M20" s="2"/>
      <c r="N20" s="19">
        <f t="shared" si="7"/>
        <v>0</v>
      </c>
      <c r="O20" s="11"/>
      <c r="P20" s="2">
        <v>-2869.69</v>
      </c>
      <c r="Q20" s="2"/>
      <c r="R20" s="19">
        <f t="shared" si="8"/>
        <v>-1.4406447476249888E-2</v>
      </c>
      <c r="S20" s="2"/>
      <c r="T20" s="2"/>
      <c r="U20" s="2"/>
      <c r="V20" s="19">
        <f t="shared" si="9"/>
        <v>0</v>
      </c>
      <c r="W20" s="2"/>
      <c r="X20" s="2">
        <f t="shared" si="10"/>
        <v>-2869.69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12133.100000000002</v>
      </c>
      <c r="E22" s="14"/>
      <c r="F22" s="20">
        <f>IF(D$12=0,0,D22/D$12)</f>
        <v>0.55691241817705295</v>
      </c>
      <c r="G22" s="14"/>
      <c r="H22" s="22">
        <f>H12-H17</f>
        <v>14774</v>
      </c>
      <c r="I22" s="14"/>
      <c r="J22" s="20">
        <f>IF(H$12=0,0,H22/H$12)</f>
        <v>0.5050076909929927</v>
      </c>
      <c r="K22" s="16"/>
      <c r="L22" s="22">
        <f>+D22-H22</f>
        <v>-2640.8999999999978</v>
      </c>
      <c r="M22" s="16"/>
      <c r="N22" s="20">
        <f>IF(H22=0,0,L22/H22)</f>
        <v>-0.17875321510762135</v>
      </c>
      <c r="O22" s="28"/>
      <c r="P22" s="22">
        <f>P12-P17</f>
        <v>107707.79000000001</v>
      </c>
      <c r="Q22" s="14"/>
      <c r="R22" s="20">
        <f>IF(P$12=0,0,P22/P$12)</f>
        <v>0.54071576352078199</v>
      </c>
      <c r="S22" s="14"/>
      <c r="T22" s="22">
        <f>T12-T17</f>
        <v>106963</v>
      </c>
      <c r="U22" s="14"/>
      <c r="V22" s="20">
        <f>IF(T$12=0,0,T22/T$12)</f>
        <v>0.50500457966252132</v>
      </c>
      <c r="W22" s="16"/>
      <c r="X22" s="22">
        <f>+P22-T22</f>
        <v>744.79000000000815</v>
      </c>
      <c r="Y22" s="16"/>
      <c r="Z22" s="20">
        <f>IF(T22=0,0,X22/T22)</f>
        <v>6.9630619933996633E-3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9850.85</v>
      </c>
      <c r="E24" s="21"/>
      <c r="F24" s="30">
        <f t="shared" ref="F24:F34" si="12">IF(D$12=0,0,D24/D$12)</f>
        <v>0.45215655476336808</v>
      </c>
      <c r="G24" s="21"/>
      <c r="H24" s="21">
        <f>SUM(OSRRefH22x_0)</f>
        <v>12156.195905384619</v>
      </c>
      <c r="I24" s="21"/>
      <c r="J24" s="30">
        <f t="shared" ref="J24:J34" si="13">IF(H$12=0,0,H24/H$12)</f>
        <v>0.41552541122490577</v>
      </c>
      <c r="K24" s="4"/>
      <c r="L24" s="21">
        <f t="shared" ref="L24:L34" si="14">+D24-H24</f>
        <v>-2305.3459053846182</v>
      </c>
      <c r="M24" s="4"/>
      <c r="N24" s="30">
        <f t="shared" ref="N24:N34" si="15">IF(H24=0,0,L24/H24)</f>
        <v>-0.18964369473212087</v>
      </c>
      <c r="O24" s="10"/>
      <c r="P24" s="21">
        <f>SUM(OSRRefP22x_0)</f>
        <v>89360.33</v>
      </c>
      <c r="Q24" s="21"/>
      <c r="R24" s="30">
        <f t="shared" ref="R24:R34" si="16">IF(P$12=0,0,P24/P$12)</f>
        <v>0.44860765469627628</v>
      </c>
      <c r="S24" s="21"/>
      <c r="T24" s="21">
        <f>SUM(OSRRefT22x_0)</f>
        <v>75475.320335000026</v>
      </c>
      <c r="U24" s="21"/>
      <c r="V24" s="30">
        <f t="shared" ref="V24:V34" si="17">IF(T$12=0,0,T24/T$12)</f>
        <v>0.35634174827436438</v>
      </c>
      <c r="W24" s="4"/>
      <c r="X24" s="21">
        <f t="shared" ref="X24:X34" si="18">+P24-T24</f>
        <v>13885.009664999976</v>
      </c>
      <c r="Y24" s="4"/>
      <c r="Z24" s="30">
        <f t="shared" ref="Z24:Z34" si="19">IF(T24=0,0,X24/T24)</f>
        <v>0.18396754864200432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654.78</v>
      </c>
      <c r="E25" s="1"/>
      <c r="F25" s="5">
        <f t="shared" si="12"/>
        <v>3.0054570816524271E-2</v>
      </c>
      <c r="G25" s="1"/>
      <c r="H25" s="1">
        <f>SUM(OSRRefH22_0x_0)</f>
        <v>1474.9612899999993</v>
      </c>
      <c r="I25" s="1"/>
      <c r="J25" s="5">
        <f t="shared" si="13"/>
        <v>5.0417408648094318E-2</v>
      </c>
      <c r="K25" s="1"/>
      <c r="L25" s="1">
        <f t="shared" si="14"/>
        <v>-820.18128999999931</v>
      </c>
      <c r="M25" s="1"/>
      <c r="N25" s="5">
        <f t="shared" si="15"/>
        <v>-0.55606970539545464</v>
      </c>
      <c r="O25" s="13"/>
      <c r="P25" s="1">
        <f>SUM(OSRRefP22_0x_0)</f>
        <v>11123.479999999998</v>
      </c>
      <c r="Q25" s="1"/>
      <c r="R25" s="5">
        <f t="shared" si="16"/>
        <v>5.5842209567275931E-2</v>
      </c>
      <c r="S25" s="1"/>
      <c r="T25" s="1">
        <f>SUM(OSRRefT22_0x_0)</f>
        <v>9150.5453349999989</v>
      </c>
      <c r="U25" s="1"/>
      <c r="V25" s="5">
        <f t="shared" si="17"/>
        <v>4.3202484042000694E-2</v>
      </c>
      <c r="W25" s="1"/>
      <c r="X25" s="1">
        <f t="shared" si="18"/>
        <v>1972.9346649999989</v>
      </c>
      <c r="Y25" s="1"/>
      <c r="Z25" s="5">
        <f t="shared" si="19"/>
        <v>0.21560842471909344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197.98</v>
      </c>
      <c r="E26" s="2"/>
      <c r="F26" s="7">
        <f t="shared" si="12"/>
        <v>9.0873330435497033E-3</v>
      </c>
      <c r="G26" s="2"/>
      <c r="H26" s="6">
        <v>151.34690538461498</v>
      </c>
      <c r="I26" s="2"/>
      <c r="J26" s="7">
        <f t="shared" si="13"/>
        <v>5.173368838988719E-3</v>
      </c>
      <c r="K26" s="2"/>
      <c r="L26" s="6">
        <f t="shared" si="14"/>
        <v>46.633094615385005</v>
      </c>
      <c r="M26" s="2"/>
      <c r="N26" s="7">
        <f t="shared" si="15"/>
        <v>0.30812056907854984</v>
      </c>
      <c r="O26" s="11"/>
      <c r="P26" s="6">
        <v>2378.39</v>
      </c>
      <c r="Q26" s="2"/>
      <c r="R26" s="7">
        <f t="shared" si="16"/>
        <v>1.1940018124967493E-2</v>
      </c>
      <c r="S26" s="2"/>
      <c r="T26" s="6">
        <v>1120.3609349999981</v>
      </c>
      <c r="U26" s="2"/>
      <c r="V26" s="7">
        <f t="shared" si="17"/>
        <v>5.2895618396079343E-3</v>
      </c>
      <c r="W26" s="2"/>
      <c r="X26" s="6">
        <f t="shared" si="18"/>
        <v>1258.0290650000018</v>
      </c>
      <c r="Y26" s="2"/>
      <c r="Z26" s="7">
        <f t="shared" si="19"/>
        <v>1.1228783740125712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198.17</v>
      </c>
      <c r="E27" s="2"/>
      <c r="F27" s="7">
        <f t="shared" si="12"/>
        <v>9.0960540925358359E-3</v>
      </c>
      <c r="G27" s="2"/>
      <c r="H27" s="6">
        <v>155.93519230769201</v>
      </c>
      <c r="I27" s="2"/>
      <c r="J27" s="7">
        <f t="shared" si="13"/>
        <v>5.3302065393160828E-3</v>
      </c>
      <c r="K27" s="2"/>
      <c r="L27" s="6">
        <f t="shared" si="14"/>
        <v>42.234807692307982</v>
      </c>
      <c r="M27" s="2"/>
      <c r="N27" s="7">
        <f t="shared" si="15"/>
        <v>0.27084846638704929</v>
      </c>
      <c r="O27" s="11"/>
      <c r="P27" s="6">
        <v>897.63</v>
      </c>
      <c r="Q27" s="2"/>
      <c r="R27" s="7">
        <f t="shared" si="16"/>
        <v>4.5062914280309674E-3</v>
      </c>
      <c r="S27" s="2"/>
      <c r="T27" s="6">
        <v>929.6034999999988</v>
      </c>
      <c r="U27" s="2"/>
      <c r="V27" s="7">
        <f t="shared" si="17"/>
        <v>4.3889384625553519E-3</v>
      </c>
      <c r="W27" s="2"/>
      <c r="X27" s="6">
        <f t="shared" si="18"/>
        <v>-31.973499999998808</v>
      </c>
      <c r="Y27" s="2"/>
      <c r="Z27" s="7">
        <f t="shared" si="19"/>
        <v>-3.4394771534314202E-2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2.3602802939668432E-2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4829.7</v>
      </c>
      <c r="Q28" s="2"/>
      <c r="R28" s="7">
        <f t="shared" si="16"/>
        <v>2.4246109989596115E-2</v>
      </c>
      <c r="S28" s="2"/>
      <c r="T28" s="6">
        <v>4143</v>
      </c>
      <c r="U28" s="2"/>
      <c r="V28" s="7">
        <f t="shared" si="17"/>
        <v>1.9560352397949066E-2</v>
      </c>
      <c r="W28" s="2"/>
      <c r="X28" s="6">
        <f t="shared" si="18"/>
        <v>686.69999999999982</v>
      </c>
      <c r="Y28" s="2"/>
      <c r="Z28" s="7">
        <f t="shared" si="19"/>
        <v>0.16574945691527873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24.52</v>
      </c>
      <c r="E29" s="2"/>
      <c r="F29" s="7">
        <f t="shared" si="12"/>
        <v>1.1254743217892654E-3</v>
      </c>
      <c r="G29" s="2"/>
      <c r="H29" s="6">
        <v>21.3385</v>
      </c>
      <c r="I29" s="2"/>
      <c r="J29" s="7">
        <f t="shared" si="13"/>
        <v>7.2939668432746535E-4</v>
      </c>
      <c r="K29" s="2"/>
      <c r="L29" s="6">
        <f t="shared" si="14"/>
        <v>3.1814999999999998</v>
      </c>
      <c r="M29" s="2"/>
      <c r="N29" s="7">
        <f t="shared" si="15"/>
        <v>0.14909670314220774</v>
      </c>
      <c r="O29" s="11"/>
      <c r="P29" s="6">
        <v>135.88999999999999</v>
      </c>
      <c r="Q29" s="2"/>
      <c r="R29" s="7">
        <f t="shared" si="16"/>
        <v>6.8219638621161069E-4</v>
      </c>
      <c r="S29" s="2"/>
      <c r="T29" s="6">
        <v>127.2089</v>
      </c>
      <c r="U29" s="2"/>
      <c r="V29" s="7">
        <f t="shared" si="17"/>
        <v>6.0059157908652259E-4</v>
      </c>
      <c r="W29" s="2"/>
      <c r="X29" s="6">
        <f t="shared" si="18"/>
        <v>8.6810999999999865</v>
      </c>
      <c r="Y29" s="2"/>
      <c r="Z29" s="7">
        <f t="shared" si="19"/>
        <v>6.8242866654770112E-2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6.1556835764746487E-3</v>
      </c>
      <c r="G30" s="2"/>
      <c r="H30" s="6">
        <v>170.074923076923</v>
      </c>
      <c r="I30" s="2"/>
      <c r="J30" s="7">
        <f t="shared" si="13"/>
        <v>5.8135335182677491E-3</v>
      </c>
      <c r="K30" s="2"/>
      <c r="L30" s="6">
        <f t="shared" si="14"/>
        <v>-35.964923076922986</v>
      </c>
      <c r="M30" s="2"/>
      <c r="N30" s="7">
        <f t="shared" si="15"/>
        <v>-0.21146517326752781</v>
      </c>
      <c r="O30" s="11"/>
      <c r="P30" s="6">
        <v>938.77</v>
      </c>
      <c r="Q30" s="2"/>
      <c r="R30" s="7">
        <f t="shared" si="16"/>
        <v>4.7128228823598043E-3</v>
      </c>
      <c r="S30" s="2"/>
      <c r="T30" s="6">
        <v>1105.4870000000001</v>
      </c>
      <c r="U30" s="2"/>
      <c r="V30" s="7">
        <f t="shared" si="17"/>
        <v>5.2193375069639206E-3</v>
      </c>
      <c r="W30" s="2"/>
      <c r="X30" s="6">
        <f t="shared" si="18"/>
        <v>-166.7170000000001</v>
      </c>
      <c r="Y30" s="2"/>
      <c r="Z30" s="7">
        <f t="shared" si="19"/>
        <v>-0.15080864813426126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59.328461538461504</v>
      </c>
      <c r="I32" s="2"/>
      <c r="J32" s="7">
        <f t="shared" si="13"/>
        <v>2.0279768086980516E-3</v>
      </c>
      <c r="K32" s="2"/>
      <c r="L32" s="6">
        <f t="shared" si="14"/>
        <v>-59.328461538461504</v>
      </c>
      <c r="M32" s="2"/>
      <c r="N32" s="7">
        <f t="shared" si="15"/>
        <v>-1</v>
      </c>
      <c r="O32" s="11"/>
      <c r="P32" s="6">
        <v>480.48</v>
      </c>
      <c r="Q32" s="2"/>
      <c r="R32" s="7">
        <f t="shared" si="16"/>
        <v>2.4121106751560433E-3</v>
      </c>
      <c r="S32" s="2"/>
      <c r="T32" s="6">
        <v>385.63499999999982</v>
      </c>
      <c r="U32" s="2"/>
      <c r="V32" s="7">
        <f t="shared" si="17"/>
        <v>1.8206991303362503E-3</v>
      </c>
      <c r="W32" s="2"/>
      <c r="X32" s="6">
        <f t="shared" si="18"/>
        <v>94.845000000000198</v>
      </c>
      <c r="Y32" s="2"/>
      <c r="Z32" s="7">
        <f t="shared" si="19"/>
        <v>0.24594499980551621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226.437307692308</v>
      </c>
      <c r="I33" s="2"/>
      <c r="J33" s="7">
        <f t="shared" si="13"/>
        <v>7.7401233188278242E-3</v>
      </c>
      <c r="K33" s="2"/>
      <c r="L33" s="6">
        <f t="shared" si="14"/>
        <v>-226.437307692308</v>
      </c>
      <c r="M33" s="2"/>
      <c r="N33" s="7">
        <f t="shared" si="15"/>
        <v>-1</v>
      </c>
      <c r="O33" s="11"/>
      <c r="P33" s="6">
        <v>575.64</v>
      </c>
      <c r="Q33" s="2"/>
      <c r="R33" s="7">
        <f t="shared" si="16"/>
        <v>2.8898338932875972E-3</v>
      </c>
      <c r="S33" s="2"/>
      <c r="T33" s="6">
        <v>1339.250000000002</v>
      </c>
      <c r="U33" s="2"/>
      <c r="V33" s="7">
        <f t="shared" si="17"/>
        <v>6.3230031255016479E-3</v>
      </c>
      <c r="W33" s="2"/>
      <c r="X33" s="6">
        <f t="shared" si="18"/>
        <v>-763.61000000000206</v>
      </c>
      <c r="Y33" s="2"/>
      <c r="Z33" s="7">
        <f t="shared" si="19"/>
        <v>-0.57017733806234905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100</v>
      </c>
      <c r="E34" s="2"/>
      <c r="F34" s="7">
        <f t="shared" si="12"/>
        <v>4.5900257821748182E-3</v>
      </c>
      <c r="G34" s="2"/>
      <c r="H34" s="6"/>
      <c r="I34" s="2"/>
      <c r="J34" s="7">
        <f t="shared" si="13"/>
        <v>0</v>
      </c>
      <c r="K34" s="2"/>
      <c r="L34" s="6">
        <f t="shared" si="14"/>
        <v>100</v>
      </c>
      <c r="M34" s="2"/>
      <c r="N34" s="7">
        <f t="shared" si="15"/>
        <v>0</v>
      </c>
      <c r="O34" s="11"/>
      <c r="P34" s="6">
        <v>886.98</v>
      </c>
      <c r="Q34" s="2"/>
      <c r="R34" s="7">
        <f t="shared" si="16"/>
        <v>4.452826187666307E-3</v>
      </c>
      <c r="S34" s="2"/>
      <c r="T34" s="6"/>
      <c r="U34" s="2"/>
      <c r="V34" s="7">
        <f t="shared" si="17"/>
        <v>0</v>
      </c>
      <c r="W34" s="2"/>
      <c r="X34" s="6">
        <f t="shared" si="18"/>
        <v>886.98</v>
      </c>
      <c r="Y34" s="2"/>
      <c r="Z34" s="7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6269.02</v>
      </c>
      <c r="E35" s="1"/>
      <c r="F35" s="5">
        <f t="shared" ref="F35:F45" si="20">IF(D$12=0,0,D35/D$12)</f>
        <v>0.2877496342896958</v>
      </c>
      <c r="G35" s="1"/>
      <c r="H35" s="1">
        <f>SUM(OSRRefH22_1x_0)</f>
        <v>8108.2346153846202</v>
      </c>
      <c r="I35" s="1"/>
      <c r="J35" s="5">
        <f t="shared" ref="J35:J45" si="21">IF(H$12=0,0,H35/H$12)</f>
        <v>0.27715722493196443</v>
      </c>
      <c r="K35" s="1"/>
      <c r="L35" s="1">
        <f t="shared" ref="L35:L45" si="22">+D35-H35</f>
        <v>-1839.2146153846197</v>
      </c>
      <c r="M35" s="1"/>
      <c r="N35" s="5">
        <f t="shared" ref="N35:N45" si="23">IF(H35=0,0,L35/H35)</f>
        <v>-0.22683293005543786</v>
      </c>
      <c r="O35" s="13"/>
      <c r="P35" s="1">
        <f>SUM(OSRRefP22_1x_0)</f>
        <v>51637.380000000005</v>
      </c>
      <c r="Q35" s="1"/>
      <c r="R35" s="5">
        <f t="shared" ref="R35:R45" si="24">IF(P$12=0,0,P35/P$12)</f>
        <v>0.25923051018791454</v>
      </c>
      <c r="S35" s="1"/>
      <c r="T35" s="1">
        <f>SUM(OSRRefT22_1x_0)</f>
        <v>48283.775000000023</v>
      </c>
      <c r="U35" s="1"/>
      <c r="V35" s="5">
        <f t="shared" ref="V35:V45" si="25">IF(T$12=0,0,T35/T$12)</f>
        <v>0.22796226263656374</v>
      </c>
      <c r="W35" s="1"/>
      <c r="X35" s="1">
        <f t="shared" ref="X35:X45" si="26">+P35-T35</f>
        <v>3353.6049999999814</v>
      </c>
      <c r="Y35" s="1"/>
      <c r="Z35" s="5">
        <f t="shared" ref="Z35:Z45" si="27">IF(T35=0,0,X35/T35)</f>
        <v>6.9456147536102547E-2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1878.7346153846199</v>
      </c>
      <c r="I36" s="2"/>
      <c r="J36" s="7">
        <f t="shared" si="21"/>
        <v>6.4219265608771836E-2</v>
      </c>
      <c r="K36" s="2"/>
      <c r="L36" s="6">
        <f t="shared" si="22"/>
        <v>-1878.7346153846199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12211.77500000002</v>
      </c>
      <c r="U36" s="2"/>
      <c r="V36" s="7">
        <f t="shared" si="25"/>
        <v>5.7655472460648047E-2</v>
      </c>
      <c r="W36" s="2"/>
      <c r="X36" s="6">
        <f t="shared" si="26"/>
        <v>-12211.77500000002</v>
      </c>
      <c r="Y36" s="2"/>
      <c r="Z36" s="7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9840</v>
      </c>
      <c r="Q37" s="2"/>
      <c r="R37" s="7">
        <f t="shared" si="24"/>
        <v>4.9398869970728156E-2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9840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2476.2800000000002</v>
      </c>
      <c r="E40" s="2"/>
      <c r="F40" s="7">
        <f t="shared" si="20"/>
        <v>0.11366189043883859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2476.2800000000002</v>
      </c>
      <c r="M40" s="2"/>
      <c r="N40" s="7">
        <f t="shared" si="23"/>
        <v>0</v>
      </c>
      <c r="O40" s="11"/>
      <c r="P40" s="6">
        <v>14988.76</v>
      </c>
      <c r="Q40" s="2"/>
      <c r="R40" s="7">
        <f t="shared" si="24"/>
        <v>7.5246728278704406E-2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14988.76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>
        <v>111.56</v>
      </c>
      <c r="E41" s="2"/>
      <c r="F41" s="7">
        <f t="shared" si="20"/>
        <v>5.1206327625942273E-3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111.56</v>
      </c>
      <c r="M41" s="2"/>
      <c r="N41" s="7">
        <f t="shared" si="23"/>
        <v>0</v>
      </c>
      <c r="O41" s="11"/>
      <c r="P41" s="6">
        <v>285.19</v>
      </c>
      <c r="Q41" s="2"/>
      <c r="R41" s="7">
        <f t="shared" si="24"/>
        <v>1.4317137933894271E-3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285.19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3681.18</v>
      </c>
      <c r="E42" s="2"/>
      <c r="F42" s="7">
        <f t="shared" si="20"/>
        <v>0.16896711108826296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3681.18</v>
      </c>
      <c r="M42" s="2"/>
      <c r="N42" s="7">
        <f t="shared" si="23"/>
        <v>0</v>
      </c>
      <c r="O42" s="11"/>
      <c r="P42" s="6">
        <v>26466.43</v>
      </c>
      <c r="Q42" s="2"/>
      <c r="R42" s="7">
        <f t="shared" si="24"/>
        <v>0.13286704615440842</v>
      </c>
      <c r="S42" s="2"/>
      <c r="T42" s="6">
        <v>1785</v>
      </c>
      <c r="U42" s="2"/>
      <c r="V42" s="7">
        <f t="shared" si="25"/>
        <v>8.4275232996232404E-3</v>
      </c>
      <c r="W42" s="2"/>
      <c r="X42" s="6">
        <f t="shared" si="26"/>
        <v>24681.43</v>
      </c>
      <c r="Y42" s="2"/>
      <c r="Z42" s="7">
        <f t="shared" si="27"/>
        <v>13.827131652661064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6229.5</v>
      </c>
      <c r="I43" s="2"/>
      <c r="J43" s="7">
        <f t="shared" si="21"/>
        <v>0.21293795932319262</v>
      </c>
      <c r="K43" s="2"/>
      <c r="L43" s="6">
        <f t="shared" si="22"/>
        <v>-6229.5</v>
      </c>
      <c r="M43" s="2"/>
      <c r="N43" s="7">
        <f t="shared" si="23"/>
        <v>-1</v>
      </c>
      <c r="O43" s="11"/>
      <c r="P43" s="6">
        <v>57</v>
      </c>
      <c r="Q43" s="2"/>
      <c r="R43" s="7">
        <f t="shared" si="24"/>
        <v>2.8615199068409602E-4</v>
      </c>
      <c r="S43" s="2"/>
      <c r="T43" s="6">
        <v>34287</v>
      </c>
      <c r="U43" s="2"/>
      <c r="V43" s="7">
        <f t="shared" si="25"/>
        <v>0.16187926687629245</v>
      </c>
      <c r="W43" s="2"/>
      <c r="X43" s="6">
        <f t="shared" si="26"/>
        <v>-34230</v>
      </c>
      <c r="Y43" s="2"/>
      <c r="Z43" s="7">
        <f t="shared" si="27"/>
        <v>-0.99833756234141224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452.25</v>
      </c>
      <c r="E46" s="1"/>
      <c r="F46" s="5">
        <f t="shared" ref="F46:F54" si="28">IF(D$12=0,0,D46/D$12)</f>
        <v>2.0758391599885614E-2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452.25</v>
      </c>
      <c r="M46" s="1"/>
      <c r="N46" s="5">
        <f t="shared" ref="N46:N54" si="31">IF(H46=0,0,L46/H46)</f>
        <v>0</v>
      </c>
      <c r="O46" s="13"/>
      <c r="P46" s="1">
        <f>SUM(OSRRefP22_2x_0)</f>
        <v>856.19</v>
      </c>
      <c r="Q46" s="1"/>
      <c r="R46" s="5">
        <f t="shared" ref="R46:R54" si="32">IF(P$12=0,0,P46/P$12)</f>
        <v>4.2982539105932667E-3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856.19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>
        <v>452.25</v>
      </c>
      <c r="E47" s="2"/>
      <c r="F47" s="7">
        <f t="shared" si="28"/>
        <v>2.0758391599885614E-2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452.25</v>
      </c>
      <c r="M47" s="2"/>
      <c r="N47" s="7">
        <f t="shared" si="31"/>
        <v>0</v>
      </c>
      <c r="O47" s="11"/>
      <c r="P47" s="6">
        <v>856.19</v>
      </c>
      <c r="Q47" s="2"/>
      <c r="R47" s="7">
        <f t="shared" si="32"/>
        <v>4.2982539105932667E-3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856.19</v>
      </c>
      <c r="Y47" s="2"/>
      <c r="Z47" s="7">
        <f t="shared" si="35"/>
        <v>0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-11.89</v>
      </c>
      <c r="E48" s="1"/>
      <c r="F48" s="5">
        <f t="shared" si="28"/>
        <v>-5.4575406550058582E-4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-11.89</v>
      </c>
      <c r="M48" s="1"/>
      <c r="N48" s="5">
        <f t="shared" si="31"/>
        <v>0</v>
      </c>
      <c r="O48" s="13"/>
      <c r="P48" s="1">
        <f>SUM(OSRRefP22_3x_0)</f>
        <v>-11.14</v>
      </c>
      <c r="Q48" s="1"/>
      <c r="R48" s="5">
        <f t="shared" si="32"/>
        <v>-5.5925143442470701E-5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-11.14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-11.89</v>
      </c>
      <c r="E49" s="2"/>
      <c r="F49" s="7">
        <f t="shared" si="28"/>
        <v>-5.4575406550058582E-4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-11.89</v>
      </c>
      <c r="M49" s="2"/>
      <c r="N49" s="7">
        <f t="shared" si="31"/>
        <v>0</v>
      </c>
      <c r="O49" s="11"/>
      <c r="P49" s="6">
        <v>-11.14</v>
      </c>
      <c r="Q49" s="2"/>
      <c r="R49" s="7">
        <f t="shared" si="32"/>
        <v>-5.5925143442470701E-5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-11.14</v>
      </c>
      <c r="Y49" s="2"/>
      <c r="Z49" s="7">
        <f t="shared" si="35"/>
        <v>0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727.26</v>
      </c>
      <c r="E50" s="1"/>
      <c r="F50" s="5">
        <f t="shared" si="28"/>
        <v>3.3381421503444579E-2</v>
      </c>
      <c r="G50" s="1"/>
      <c r="H50" s="1">
        <f>SUM(OSRRefH22_4x_0)</f>
        <v>927</v>
      </c>
      <c r="I50" s="1"/>
      <c r="J50" s="5">
        <f t="shared" si="29"/>
        <v>3.1686891129721416E-2</v>
      </c>
      <c r="K50" s="1"/>
      <c r="L50" s="1">
        <f t="shared" si="30"/>
        <v>-199.74</v>
      </c>
      <c r="M50" s="1"/>
      <c r="N50" s="5">
        <f t="shared" si="31"/>
        <v>-0.21546925566343042</v>
      </c>
      <c r="O50" s="13"/>
      <c r="P50" s="1">
        <f>SUM(OSRRefP22_4x_0)</f>
        <v>6715.12</v>
      </c>
      <c r="Q50" s="1"/>
      <c r="R50" s="5">
        <f t="shared" si="32"/>
        <v>3.3711315011975211E-2</v>
      </c>
      <c r="S50" s="1"/>
      <c r="T50" s="1">
        <f>SUM(OSRRefT22_4x_0)</f>
        <v>6712</v>
      </c>
      <c r="U50" s="1"/>
      <c r="V50" s="5">
        <f t="shared" si="33"/>
        <v>3.1689376127210747E-2</v>
      </c>
      <c r="W50" s="1"/>
      <c r="X50" s="1">
        <f t="shared" si="34"/>
        <v>3.1199999999998909</v>
      </c>
      <c r="Y50" s="1"/>
      <c r="Z50" s="5">
        <f t="shared" si="35"/>
        <v>4.6483909415969771E-4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727.26</v>
      </c>
      <c r="E51" s="2"/>
      <c r="F51" s="7">
        <f t="shared" si="28"/>
        <v>3.3381421503444579E-2</v>
      </c>
      <c r="G51" s="2"/>
      <c r="H51" s="6">
        <v>927</v>
      </c>
      <c r="I51" s="2"/>
      <c r="J51" s="7">
        <f t="shared" si="29"/>
        <v>3.1686891129721416E-2</v>
      </c>
      <c r="K51" s="2"/>
      <c r="L51" s="6">
        <f t="shared" si="30"/>
        <v>-199.74</v>
      </c>
      <c r="M51" s="2"/>
      <c r="N51" s="7">
        <f t="shared" si="31"/>
        <v>-0.21546925566343042</v>
      </c>
      <c r="O51" s="11"/>
      <c r="P51" s="6">
        <v>6715.12</v>
      </c>
      <c r="Q51" s="2"/>
      <c r="R51" s="7">
        <f t="shared" si="32"/>
        <v>3.3711315011975211E-2</v>
      </c>
      <c r="S51" s="2"/>
      <c r="T51" s="6">
        <v>6712</v>
      </c>
      <c r="U51" s="2"/>
      <c r="V51" s="7">
        <f t="shared" si="33"/>
        <v>3.1689376127210747E-2</v>
      </c>
      <c r="W51" s="2"/>
      <c r="X51" s="6">
        <f t="shared" si="34"/>
        <v>3.1199999999998909</v>
      </c>
      <c r="Y51" s="2"/>
      <c r="Z51" s="7">
        <f t="shared" si="35"/>
        <v>4.6483909415969771E-4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7.1452931351115388E-3</v>
      </c>
      <c r="G52" s="1"/>
      <c r="H52" s="1">
        <f>SUM(OSRRefH22_5x_0)</f>
        <v>233</v>
      </c>
      <c r="I52" s="1"/>
      <c r="J52" s="5">
        <f t="shared" si="29"/>
        <v>7.9644505212784142E-3</v>
      </c>
      <c r="K52" s="1"/>
      <c r="L52" s="1">
        <f t="shared" si="30"/>
        <v>-77.330000000000013</v>
      </c>
      <c r="M52" s="1"/>
      <c r="N52" s="5">
        <f t="shared" si="31"/>
        <v>-0.33188841201716746</v>
      </c>
      <c r="O52" s="13"/>
      <c r="P52" s="1">
        <f>SUM(OSRRefP22_5x_0)</f>
        <v>934.02</v>
      </c>
      <c r="Q52" s="1"/>
      <c r="R52" s="5">
        <f t="shared" si="32"/>
        <v>4.6889768831361294E-3</v>
      </c>
      <c r="S52" s="1"/>
      <c r="T52" s="1">
        <f>SUM(OSRRefT22_5x_0)</f>
        <v>699</v>
      </c>
      <c r="U52" s="1"/>
      <c r="V52" s="5">
        <f t="shared" si="33"/>
        <v>3.3001897963230503E-3</v>
      </c>
      <c r="W52" s="1"/>
      <c r="X52" s="1">
        <f t="shared" si="34"/>
        <v>235.01999999999998</v>
      </c>
      <c r="Y52" s="1"/>
      <c r="Z52" s="5">
        <f t="shared" si="35"/>
        <v>0.3362231759656652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155.66999999999999</v>
      </c>
      <c r="E53" s="2"/>
      <c r="F53" s="7">
        <f t="shared" si="28"/>
        <v>7.1452931351115388E-3</v>
      </c>
      <c r="G53" s="2"/>
      <c r="H53" s="6"/>
      <c r="I53" s="2"/>
      <c r="J53" s="7">
        <f t="shared" si="29"/>
        <v>0</v>
      </c>
      <c r="K53" s="2"/>
      <c r="L53" s="6">
        <f t="shared" si="30"/>
        <v>155.66999999999999</v>
      </c>
      <c r="M53" s="2"/>
      <c r="N53" s="7">
        <f t="shared" si="31"/>
        <v>0</v>
      </c>
      <c r="O53" s="11"/>
      <c r="P53" s="6">
        <v>934.02</v>
      </c>
      <c r="Q53" s="2"/>
      <c r="R53" s="7">
        <f t="shared" si="32"/>
        <v>4.6889768831361294E-3</v>
      </c>
      <c r="S53" s="2"/>
      <c r="T53" s="6"/>
      <c r="U53" s="2"/>
      <c r="V53" s="7">
        <f t="shared" si="33"/>
        <v>0</v>
      </c>
      <c r="W53" s="2"/>
      <c r="X53" s="6">
        <f t="shared" si="34"/>
        <v>934.02</v>
      </c>
      <c r="Y53" s="2"/>
      <c r="Z53" s="7">
        <f t="shared" si="35"/>
        <v>0</v>
      </c>
    </row>
    <row r="54" spans="1:26" s="24" customFormat="1" hidden="1" outlineLevel="2" x14ac:dyDescent="0.25">
      <c r="A54" s="26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233</v>
      </c>
      <c r="I54" s="2"/>
      <c r="J54" s="7">
        <f t="shared" si="29"/>
        <v>7.9644505212784142E-3</v>
      </c>
      <c r="K54" s="2"/>
      <c r="L54" s="6">
        <f t="shared" si="30"/>
        <v>-233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699</v>
      </c>
      <c r="U54" s="2"/>
      <c r="V54" s="7">
        <f t="shared" si="33"/>
        <v>3.3001897963230503E-3</v>
      </c>
      <c r="W54" s="2"/>
      <c r="X54" s="6">
        <f t="shared" si="34"/>
        <v>-699</v>
      </c>
      <c r="Y54" s="2"/>
      <c r="Z54" s="7">
        <f t="shared" si="35"/>
        <v>-1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22.35</v>
      </c>
      <c r="E55" s="1"/>
      <c r="F55" s="5">
        <f t="shared" ref="F55:F63" si="36">IF(D$12=0,0,D55/D$12)</f>
        <v>1.0258707623160719E-3</v>
      </c>
      <c r="G55" s="1"/>
      <c r="H55" s="1">
        <f>SUM(OSRRefH22_6x_0)</f>
        <v>0</v>
      </c>
      <c r="I55" s="1"/>
      <c r="J55" s="5">
        <f t="shared" ref="J55:J63" si="37">IF(H$12=0,0,H55/H$12)</f>
        <v>0</v>
      </c>
      <c r="K55" s="1"/>
      <c r="L55" s="1">
        <f t="shared" ref="L55:L63" si="38">+D55-H55</f>
        <v>22.35</v>
      </c>
      <c r="M55" s="1"/>
      <c r="N55" s="5">
        <f t="shared" ref="N55:N63" si="39">IF(H55=0,0,L55/H55)</f>
        <v>0</v>
      </c>
      <c r="O55" s="13"/>
      <c r="P55" s="1">
        <f>SUM(OSRRefP22_6x_0)</f>
        <v>22.35</v>
      </c>
      <c r="Q55" s="1"/>
      <c r="R55" s="5">
        <f t="shared" ref="R55:R63" si="40">IF(P$12=0,0,P55/P$12)</f>
        <v>1.1220170161034292E-4</v>
      </c>
      <c r="S55" s="1"/>
      <c r="T55" s="1">
        <f>SUM(OSRRefT22_6x_0)</f>
        <v>0</v>
      </c>
      <c r="U55" s="1"/>
      <c r="V55" s="5">
        <f t="shared" ref="V55:V63" si="41">IF(T$12=0,0,T55/T$12)</f>
        <v>0</v>
      </c>
      <c r="W55" s="1"/>
      <c r="X55" s="1">
        <f t="shared" ref="X55:X63" si="42">+P55-T55</f>
        <v>22.35</v>
      </c>
      <c r="Y55" s="1"/>
      <c r="Z55" s="5">
        <f t="shared" ref="Z55:Z63" si="43">IF(T55=0,0,X55/T55)</f>
        <v>0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>
        <v>22.35</v>
      </c>
      <c r="E56" s="2"/>
      <c r="F56" s="7">
        <f t="shared" si="36"/>
        <v>1.0258707623160719E-3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22.35</v>
      </c>
      <c r="M56" s="2"/>
      <c r="N56" s="7">
        <f t="shared" si="39"/>
        <v>0</v>
      </c>
      <c r="O56" s="11"/>
      <c r="P56" s="6">
        <v>22.35</v>
      </c>
      <c r="Q56" s="2"/>
      <c r="R56" s="7">
        <f t="shared" si="40"/>
        <v>1.1220170161034292E-4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22.35</v>
      </c>
      <c r="Y56" s="2"/>
      <c r="Z56" s="7">
        <f t="shared" si="43"/>
        <v>0</v>
      </c>
    </row>
    <row r="57" spans="1:26" s="25" customFormat="1" outlineLevel="1" collapsed="1" x14ac:dyDescent="0.25">
      <c r="A57" s="27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12</v>
      </c>
      <c r="E57" s="1"/>
      <c r="F57" s="5">
        <f t="shared" si="36"/>
        <v>5.5080309386097812E-4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12</v>
      </c>
      <c r="M57" s="1"/>
      <c r="N57" s="5">
        <f t="shared" si="39"/>
        <v>0</v>
      </c>
      <c r="O57" s="13"/>
      <c r="P57" s="1">
        <f>SUM(OSRRefP22_7x_0)</f>
        <v>12</v>
      </c>
      <c r="Q57" s="1"/>
      <c r="R57" s="5">
        <f t="shared" si="40"/>
        <v>6.0242524354546535E-5</v>
      </c>
      <c r="S57" s="1"/>
      <c r="T57" s="1">
        <f>SUM(OSRRefT22_7x_0)</f>
        <v>0</v>
      </c>
      <c r="U57" s="1"/>
      <c r="V57" s="5">
        <f t="shared" si="41"/>
        <v>0</v>
      </c>
      <c r="W57" s="1"/>
      <c r="X57" s="1">
        <f t="shared" si="42"/>
        <v>12</v>
      </c>
      <c r="Y57" s="1"/>
      <c r="Z57" s="5">
        <f t="shared" si="43"/>
        <v>0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6">
        <v>12</v>
      </c>
      <c r="E58" s="2"/>
      <c r="F58" s="7">
        <f t="shared" si="36"/>
        <v>5.5080309386097812E-4</v>
      </c>
      <c r="G58" s="2"/>
      <c r="H58" s="6"/>
      <c r="I58" s="2"/>
      <c r="J58" s="7">
        <f t="shared" si="37"/>
        <v>0</v>
      </c>
      <c r="K58" s="2"/>
      <c r="L58" s="6">
        <f t="shared" si="38"/>
        <v>12</v>
      </c>
      <c r="M58" s="2"/>
      <c r="N58" s="7">
        <f t="shared" si="39"/>
        <v>0</v>
      </c>
      <c r="O58" s="11"/>
      <c r="P58" s="6">
        <v>12</v>
      </c>
      <c r="Q58" s="2"/>
      <c r="R58" s="7">
        <f t="shared" si="40"/>
        <v>6.0242524354546535E-5</v>
      </c>
      <c r="S58" s="2"/>
      <c r="T58" s="6"/>
      <c r="U58" s="2"/>
      <c r="V58" s="7">
        <f t="shared" si="41"/>
        <v>0</v>
      </c>
      <c r="W58" s="2"/>
      <c r="X58" s="6">
        <f t="shared" si="42"/>
        <v>12</v>
      </c>
      <c r="Y58" s="2"/>
      <c r="Z58" s="7">
        <f t="shared" si="43"/>
        <v>0</v>
      </c>
    </row>
    <row r="59" spans="1:26" s="25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161.5</v>
      </c>
      <c r="E59" s="1"/>
      <c r="F59" s="5">
        <f t="shared" si="36"/>
        <v>7.4128916382123307E-3</v>
      </c>
      <c r="G59" s="1"/>
      <c r="H59" s="1">
        <f>SUM(OSRRefH22_8x_0)</f>
        <v>319</v>
      </c>
      <c r="I59" s="1"/>
      <c r="J59" s="5">
        <f t="shared" si="37"/>
        <v>1.0904118954024954E-2</v>
      </c>
      <c r="K59" s="1"/>
      <c r="L59" s="1">
        <f t="shared" si="38"/>
        <v>-157.5</v>
      </c>
      <c r="M59" s="1"/>
      <c r="N59" s="5">
        <f t="shared" si="39"/>
        <v>-0.49373040752351099</v>
      </c>
      <c r="O59" s="13"/>
      <c r="P59" s="1">
        <f>SUM(OSRRefP22_8x_0)</f>
        <v>2057.59</v>
      </c>
      <c r="Q59" s="1"/>
      <c r="R59" s="5">
        <f t="shared" si="40"/>
        <v>1.0329534640555952E-2</v>
      </c>
      <c r="S59" s="1"/>
      <c r="T59" s="1">
        <f>SUM(OSRRefT22_8x_0)</f>
        <v>2308</v>
      </c>
      <c r="U59" s="1"/>
      <c r="V59" s="5">
        <f t="shared" si="41"/>
        <v>1.0896764019905008E-2</v>
      </c>
      <c r="W59" s="1"/>
      <c r="X59" s="1">
        <f t="shared" si="42"/>
        <v>-250.40999999999985</v>
      </c>
      <c r="Y59" s="1"/>
      <c r="Z59" s="5">
        <f t="shared" si="43"/>
        <v>-0.10849653379549387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>
        <v>161.5</v>
      </c>
      <c r="E60" s="2"/>
      <c r="F60" s="7">
        <f t="shared" si="36"/>
        <v>7.4128916382123307E-3</v>
      </c>
      <c r="G60" s="2"/>
      <c r="H60" s="6">
        <v>319</v>
      </c>
      <c r="I60" s="2"/>
      <c r="J60" s="7">
        <f t="shared" si="37"/>
        <v>1.0904118954024954E-2</v>
      </c>
      <c r="K60" s="2"/>
      <c r="L60" s="6">
        <f t="shared" si="38"/>
        <v>-157.5</v>
      </c>
      <c r="M60" s="2"/>
      <c r="N60" s="7">
        <f t="shared" si="39"/>
        <v>-0.49373040752351099</v>
      </c>
      <c r="O60" s="11"/>
      <c r="P60" s="6">
        <v>2057.59</v>
      </c>
      <c r="Q60" s="2"/>
      <c r="R60" s="7">
        <f t="shared" si="40"/>
        <v>1.0329534640555952E-2</v>
      </c>
      <c r="S60" s="2"/>
      <c r="T60" s="6">
        <v>2308</v>
      </c>
      <c r="U60" s="2"/>
      <c r="V60" s="7">
        <f t="shared" si="41"/>
        <v>1.0896764019905008E-2</v>
      </c>
      <c r="W60" s="2"/>
      <c r="X60" s="6">
        <f t="shared" si="42"/>
        <v>-250.40999999999985</v>
      </c>
      <c r="Y60" s="2"/>
      <c r="Z60" s="7">
        <f t="shared" si="43"/>
        <v>-0.10849653379549387</v>
      </c>
    </row>
    <row r="61" spans="1:26" s="25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200.85999999999999</v>
      </c>
      <c r="E61" s="1"/>
      <c r="F61" s="5">
        <f t="shared" si="36"/>
        <v>9.2195257860763387E-3</v>
      </c>
      <c r="G61" s="1"/>
      <c r="H61" s="1">
        <f>SUM(OSRRefH22_9x_0)</f>
        <v>319</v>
      </c>
      <c r="I61" s="1"/>
      <c r="J61" s="5">
        <f t="shared" si="37"/>
        <v>1.0904118954024954E-2</v>
      </c>
      <c r="K61" s="1"/>
      <c r="L61" s="1">
        <f t="shared" si="38"/>
        <v>-118.14000000000001</v>
      </c>
      <c r="M61" s="1"/>
      <c r="N61" s="5">
        <f t="shared" si="39"/>
        <v>-0.37034482758620696</v>
      </c>
      <c r="O61" s="13"/>
      <c r="P61" s="1">
        <f>SUM(OSRRefP22_9x_0)</f>
        <v>5955.66</v>
      </c>
      <c r="Q61" s="1"/>
      <c r="R61" s="5">
        <f t="shared" si="40"/>
        <v>2.9898666049783217E-2</v>
      </c>
      <c r="S61" s="1"/>
      <c r="T61" s="1">
        <f>SUM(OSRRefT22_9x_0)</f>
        <v>2308</v>
      </c>
      <c r="U61" s="1"/>
      <c r="V61" s="5">
        <f t="shared" si="41"/>
        <v>1.0896764019905008E-2</v>
      </c>
      <c r="W61" s="1"/>
      <c r="X61" s="1">
        <f t="shared" si="42"/>
        <v>3647.66</v>
      </c>
      <c r="Y61" s="1"/>
      <c r="Z61" s="5">
        <f t="shared" si="43"/>
        <v>1.5804419410745234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6">
        <v>47.57</v>
      </c>
      <c r="E62" s="2"/>
      <c r="F62" s="7">
        <f t="shared" si="36"/>
        <v>2.1834752645805608E-3</v>
      </c>
      <c r="G62" s="2"/>
      <c r="H62" s="6"/>
      <c r="I62" s="2"/>
      <c r="J62" s="7">
        <f t="shared" si="37"/>
        <v>0</v>
      </c>
      <c r="K62" s="2"/>
      <c r="L62" s="6">
        <f t="shared" si="38"/>
        <v>47.57</v>
      </c>
      <c r="M62" s="2"/>
      <c r="N62" s="7">
        <f t="shared" si="39"/>
        <v>0</v>
      </c>
      <c r="O62" s="11"/>
      <c r="P62" s="6">
        <v>93.22</v>
      </c>
      <c r="Q62" s="2"/>
      <c r="R62" s="7">
        <f t="shared" si="40"/>
        <v>4.6798401002756901E-4</v>
      </c>
      <c r="S62" s="2"/>
      <c r="T62" s="6"/>
      <c r="U62" s="2"/>
      <c r="V62" s="7">
        <f t="shared" si="41"/>
        <v>0</v>
      </c>
      <c r="W62" s="2"/>
      <c r="X62" s="6">
        <f t="shared" si="42"/>
        <v>93.22</v>
      </c>
      <c r="Y62" s="2"/>
      <c r="Z62" s="7">
        <f t="shared" si="43"/>
        <v>0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153.29</v>
      </c>
      <c r="E63" s="2"/>
      <c r="F63" s="7">
        <f t="shared" si="36"/>
        <v>7.0360505214957783E-3</v>
      </c>
      <c r="G63" s="2"/>
      <c r="H63" s="6">
        <v>319</v>
      </c>
      <c r="I63" s="2"/>
      <c r="J63" s="7">
        <f t="shared" si="37"/>
        <v>1.0904118954024954E-2</v>
      </c>
      <c r="K63" s="2"/>
      <c r="L63" s="6">
        <f t="shared" si="38"/>
        <v>-165.71</v>
      </c>
      <c r="M63" s="2"/>
      <c r="N63" s="7">
        <f t="shared" si="39"/>
        <v>-0.51946708463949842</v>
      </c>
      <c r="O63" s="11"/>
      <c r="P63" s="6">
        <v>5862.44</v>
      </c>
      <c r="Q63" s="2"/>
      <c r="R63" s="7">
        <f t="shared" si="40"/>
        <v>2.9430682039755646E-2</v>
      </c>
      <c r="S63" s="2"/>
      <c r="T63" s="6">
        <v>2308</v>
      </c>
      <c r="U63" s="2"/>
      <c r="V63" s="7">
        <f t="shared" si="41"/>
        <v>1.0896764019905008E-2</v>
      </c>
      <c r="W63" s="2"/>
      <c r="X63" s="6">
        <f t="shared" si="42"/>
        <v>3554.4399999999996</v>
      </c>
      <c r="Y63" s="2"/>
      <c r="Z63" s="7">
        <f t="shared" si="43"/>
        <v>1.5400519930675909</v>
      </c>
    </row>
    <row r="64" spans="1:26" s="25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354.86</v>
      </c>
      <c r="E64" s="1"/>
      <c r="F64" s="5">
        <f t="shared" ref="F64:F67" si="44">IF(D$12=0,0,D64/D$12)</f>
        <v>1.6288165490625558E-2</v>
      </c>
      <c r="G64" s="1"/>
      <c r="H64" s="1">
        <f>SUM(OSRRefH22_10x_0)</f>
        <v>261</v>
      </c>
      <c r="I64" s="1"/>
      <c r="J64" s="5">
        <f t="shared" ref="J64:J67" si="45">IF(H$12=0,0,H64/H$12)</f>
        <v>8.9215518714749614E-3</v>
      </c>
      <c r="K64" s="1"/>
      <c r="L64" s="1">
        <f t="shared" ref="L64:L67" si="46">+D64-H64</f>
        <v>93.860000000000014</v>
      </c>
      <c r="M64" s="1"/>
      <c r="N64" s="5">
        <f t="shared" ref="N64:N67" si="47">IF(H64=0,0,L64/H64)</f>
        <v>0.35961685823754796</v>
      </c>
      <c r="O64" s="13"/>
      <c r="P64" s="1">
        <f>SUM(OSRRefP22_10x_0)</f>
        <v>2457.09</v>
      </c>
      <c r="Q64" s="1"/>
      <c r="R64" s="5">
        <f t="shared" ref="R64:R67" si="48">IF(P$12=0,0,P64/P$12)</f>
        <v>1.2335108680526063E-2</v>
      </c>
      <c r="S64" s="1"/>
      <c r="T64" s="1">
        <f>SUM(OSRRefT22_10x_0)</f>
        <v>1887</v>
      </c>
      <c r="U64" s="1"/>
      <c r="V64" s="5">
        <f t="shared" ref="V64:V67" si="49">IF(T$12=0,0,T64/T$12)</f>
        <v>8.9090960596017107E-3</v>
      </c>
      <c r="W64" s="1"/>
      <c r="X64" s="1">
        <f t="shared" ref="X64:X67" si="50">+P64-T64</f>
        <v>570.09000000000015</v>
      </c>
      <c r="Y64" s="1"/>
      <c r="Z64" s="5">
        <f t="shared" ref="Z64:Z67" si="51">IF(T64=0,0,X64/T64)</f>
        <v>0.30211446740858511</v>
      </c>
    </row>
    <row r="65" spans="1:26" s="24" customFormat="1" hidden="1" outlineLevel="2" x14ac:dyDescent="0.25">
      <c r="A65" s="26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327.93</v>
      </c>
      <c r="E65" s="2"/>
      <c r="F65" s="7">
        <f t="shared" si="44"/>
        <v>1.5052071547485881E-2</v>
      </c>
      <c r="G65" s="2"/>
      <c r="H65" s="6">
        <v>261</v>
      </c>
      <c r="I65" s="2"/>
      <c r="J65" s="7">
        <f t="shared" si="45"/>
        <v>8.9215518714749614E-3</v>
      </c>
      <c r="K65" s="2"/>
      <c r="L65" s="6">
        <f t="shared" si="46"/>
        <v>66.930000000000007</v>
      </c>
      <c r="M65" s="2"/>
      <c r="N65" s="7">
        <f t="shared" si="47"/>
        <v>0.25643678160919542</v>
      </c>
      <c r="O65" s="11"/>
      <c r="P65" s="6">
        <v>2109.5100000000002</v>
      </c>
      <c r="Q65" s="2"/>
      <c r="R65" s="7">
        <f t="shared" si="48"/>
        <v>1.0590183962596623E-2</v>
      </c>
      <c r="S65" s="2"/>
      <c r="T65" s="6">
        <v>1887</v>
      </c>
      <c r="U65" s="2"/>
      <c r="V65" s="7">
        <f t="shared" si="49"/>
        <v>8.9090960596017107E-3</v>
      </c>
      <c r="W65" s="2"/>
      <c r="X65" s="6">
        <f t="shared" si="50"/>
        <v>222.51000000000022</v>
      </c>
      <c r="Y65" s="2"/>
      <c r="Z65" s="7">
        <f t="shared" si="51"/>
        <v>0.1179173290937998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>
        <v>26.93</v>
      </c>
      <c r="E66" s="2"/>
      <c r="F66" s="7">
        <f t="shared" si="44"/>
        <v>1.2360939431396785E-3</v>
      </c>
      <c r="G66" s="2"/>
      <c r="H66" s="6"/>
      <c r="I66" s="2"/>
      <c r="J66" s="7">
        <f t="shared" si="45"/>
        <v>0</v>
      </c>
      <c r="K66" s="2"/>
      <c r="L66" s="6">
        <f t="shared" si="46"/>
        <v>26.93</v>
      </c>
      <c r="M66" s="2"/>
      <c r="N66" s="7">
        <f t="shared" si="47"/>
        <v>0</v>
      </c>
      <c r="O66" s="11"/>
      <c r="P66" s="6">
        <v>161.58000000000001</v>
      </c>
      <c r="Q66" s="2"/>
      <c r="R66" s="7">
        <f t="shared" si="48"/>
        <v>8.1116559043396916E-4</v>
      </c>
      <c r="S66" s="2"/>
      <c r="T66" s="6"/>
      <c r="U66" s="2"/>
      <c r="V66" s="7">
        <f t="shared" si="49"/>
        <v>0</v>
      </c>
      <c r="W66" s="2"/>
      <c r="X66" s="6">
        <f t="shared" si="50"/>
        <v>161.58000000000001</v>
      </c>
      <c r="Y66" s="2"/>
      <c r="Z66" s="7">
        <f t="shared" si="51"/>
        <v>0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186</v>
      </c>
      <c r="Q67" s="2"/>
      <c r="R67" s="7">
        <f t="shared" si="48"/>
        <v>9.3375912749547125E-4</v>
      </c>
      <c r="S67" s="2"/>
      <c r="T67" s="6"/>
      <c r="U67" s="2"/>
      <c r="V67" s="7">
        <f t="shared" si="49"/>
        <v>0</v>
      </c>
      <c r="W67" s="2"/>
      <c r="X67" s="6">
        <f t="shared" si="50"/>
        <v>186</v>
      </c>
      <c r="Y67" s="2"/>
      <c r="Z67" s="7">
        <f t="shared" si="51"/>
        <v>0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761.18000000000006</v>
      </c>
      <c r="E68" s="1"/>
      <c r="F68" s="5">
        <f t="shared" ref="F68:F71" si="52">IF(D$12=0,0,D68/D$12)</f>
        <v>3.4938358248758281E-2</v>
      </c>
      <c r="G68" s="1"/>
      <c r="H68" s="1">
        <f>SUM(OSRRefH22_11x_0)</f>
        <v>439</v>
      </c>
      <c r="I68" s="1"/>
      <c r="J68" s="5">
        <f t="shared" ref="J68:J71" si="53">IF(H$12=0,0,H68/H$12)</f>
        <v>1.5005981883438728E-2</v>
      </c>
      <c r="K68" s="1"/>
      <c r="L68" s="1">
        <f t="shared" ref="L68:L71" si="54">+D68-H68</f>
        <v>322.18000000000006</v>
      </c>
      <c r="M68" s="1"/>
      <c r="N68" s="5">
        <f t="shared" ref="N68:N71" si="55">IF(H68=0,0,L68/H68)</f>
        <v>0.73389521640091127</v>
      </c>
      <c r="O68" s="13"/>
      <c r="P68" s="1">
        <f>SUM(OSRRefP22_11x_0)</f>
        <v>7054.5300000000007</v>
      </c>
      <c r="Q68" s="1"/>
      <c r="R68" s="5">
        <f t="shared" ref="R68:R71" si="56">IF(P$12=0,0,P68/P$12)</f>
        <v>3.5415224611239936E-2</v>
      </c>
      <c r="S68" s="1"/>
      <c r="T68" s="1">
        <f>SUM(OSRRefT22_11x_0)</f>
        <v>3177</v>
      </c>
      <c r="U68" s="1"/>
      <c r="V68" s="5">
        <f t="shared" ref="V68:V71" si="57">IF(T$12=0,0,T68/T$12)</f>
        <v>1.4999575082858842E-2</v>
      </c>
      <c r="W68" s="1"/>
      <c r="X68" s="1">
        <f t="shared" ref="X68:X71" si="58">+P68-T68</f>
        <v>3877.5300000000007</v>
      </c>
      <c r="Y68" s="1"/>
      <c r="Z68" s="5">
        <f t="shared" ref="Z68:Z71" si="59">IF(T68=0,0,X68/T68)</f>
        <v>1.2205004721435317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>
        <v>123.47</v>
      </c>
      <c r="E69" s="2"/>
      <c r="F69" s="7">
        <f t="shared" si="52"/>
        <v>5.6673048332512473E-3</v>
      </c>
      <c r="G69" s="2"/>
      <c r="H69" s="6"/>
      <c r="I69" s="2"/>
      <c r="J69" s="7">
        <f t="shared" si="53"/>
        <v>0</v>
      </c>
      <c r="K69" s="2"/>
      <c r="L69" s="6">
        <f t="shared" si="54"/>
        <v>123.47</v>
      </c>
      <c r="M69" s="2"/>
      <c r="N69" s="7">
        <f t="shared" si="55"/>
        <v>0</v>
      </c>
      <c r="O69" s="11"/>
      <c r="P69" s="6">
        <v>900.42</v>
      </c>
      <c r="Q69" s="2"/>
      <c r="R69" s="7">
        <f t="shared" si="56"/>
        <v>4.5202978149433987E-3</v>
      </c>
      <c r="S69" s="2"/>
      <c r="T69" s="6"/>
      <c r="U69" s="2"/>
      <c r="V69" s="7">
        <f t="shared" si="57"/>
        <v>0</v>
      </c>
      <c r="W69" s="2"/>
      <c r="X69" s="6">
        <f t="shared" si="58"/>
        <v>900.42</v>
      </c>
      <c r="Y69" s="2"/>
      <c r="Z69" s="7">
        <f t="shared" si="59"/>
        <v>0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704.76</v>
      </c>
      <c r="Q70" s="2"/>
      <c r="R70" s="7">
        <f t="shared" si="56"/>
        <v>3.5380434553425179E-3</v>
      </c>
      <c r="S70" s="2"/>
      <c r="T70" s="6"/>
      <c r="U70" s="2"/>
      <c r="V70" s="7">
        <f t="shared" si="57"/>
        <v>0</v>
      </c>
      <c r="W70" s="2"/>
      <c r="X70" s="6">
        <f t="shared" si="58"/>
        <v>704.76</v>
      </c>
      <c r="Y70" s="2"/>
      <c r="Z70" s="7">
        <f t="shared" si="59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>
        <v>637.71</v>
      </c>
      <c r="E71" s="2"/>
      <c r="F71" s="7">
        <f t="shared" si="52"/>
        <v>2.9271053415507033E-2</v>
      </c>
      <c r="G71" s="2"/>
      <c r="H71" s="6">
        <v>439</v>
      </c>
      <c r="I71" s="2"/>
      <c r="J71" s="7">
        <f t="shared" si="53"/>
        <v>1.5005981883438728E-2</v>
      </c>
      <c r="K71" s="2"/>
      <c r="L71" s="6">
        <f t="shared" si="54"/>
        <v>198.71000000000004</v>
      </c>
      <c r="M71" s="2"/>
      <c r="N71" s="7">
        <f t="shared" si="55"/>
        <v>0.4526423690205012</v>
      </c>
      <c r="O71" s="11"/>
      <c r="P71" s="6">
        <v>5449.35</v>
      </c>
      <c r="Q71" s="2"/>
      <c r="R71" s="7">
        <f t="shared" si="56"/>
        <v>2.7356883340954014E-2</v>
      </c>
      <c r="S71" s="2"/>
      <c r="T71" s="6">
        <v>3177</v>
      </c>
      <c r="U71" s="2"/>
      <c r="V71" s="7">
        <f t="shared" si="57"/>
        <v>1.4999575082858842E-2</v>
      </c>
      <c r="W71" s="2"/>
      <c r="X71" s="6">
        <f t="shared" si="58"/>
        <v>2272.3500000000004</v>
      </c>
      <c r="Y71" s="2"/>
      <c r="Z71" s="7">
        <f t="shared" si="59"/>
        <v>0.71525023607176597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SUM(OSRRefD22_12x_0)</f>
        <v>91.01</v>
      </c>
      <c r="E72" s="1"/>
      <c r="F72" s="5">
        <f t="shared" ref="F72:F75" si="60">IF(D$12=0,0,D72/D$12)</f>
        <v>4.1773824643573021E-3</v>
      </c>
      <c r="G72" s="1"/>
      <c r="H72" s="1">
        <f>SUM(OSRRefH22_12x_0)</f>
        <v>75</v>
      </c>
      <c r="I72" s="1"/>
      <c r="J72" s="5">
        <f t="shared" ref="J72:J75" si="61">IF(H$12=0,0,H72/H$12)</f>
        <v>2.5636643308836098E-3</v>
      </c>
      <c r="K72" s="1"/>
      <c r="L72" s="1">
        <f t="shared" ref="L72:L75" si="62">+D72-H72</f>
        <v>16.010000000000005</v>
      </c>
      <c r="M72" s="1"/>
      <c r="N72" s="5">
        <f t="shared" ref="N72:N75" si="63">IF(H72=0,0,L72/H72)</f>
        <v>0.21346666666666672</v>
      </c>
      <c r="O72" s="13"/>
      <c r="P72" s="1">
        <f>SUM(OSRRefP22_12x_0)</f>
        <v>546.05999999999995</v>
      </c>
      <c r="Q72" s="1"/>
      <c r="R72" s="5">
        <f t="shared" ref="R72:R75" si="64">IF(P$12=0,0,P72/P$12)</f>
        <v>2.74133607075364E-3</v>
      </c>
      <c r="S72" s="1"/>
      <c r="T72" s="1">
        <f>SUM(OSRRefT22_12x_0)</f>
        <v>450</v>
      </c>
      <c r="U72" s="1"/>
      <c r="V72" s="5">
        <f t="shared" ref="V72:V75" si="65">IF(T$12=0,0,T72/T$12)</f>
        <v>2.1245857057873713E-3</v>
      </c>
      <c r="W72" s="1"/>
      <c r="X72" s="1">
        <f t="shared" ref="X72:X75" si="66">+P72-T72</f>
        <v>96.059999999999945</v>
      </c>
      <c r="Y72" s="1"/>
      <c r="Z72" s="5">
        <f t="shared" ref="Z72:Z75" si="67">IF(T72=0,0,X72/T72)</f>
        <v>0.21346666666666655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91.01</v>
      </c>
      <c r="E73" s="2"/>
      <c r="F73" s="7">
        <f t="shared" si="60"/>
        <v>4.1773824643573021E-3</v>
      </c>
      <c r="G73" s="2"/>
      <c r="H73" s="6">
        <v>75</v>
      </c>
      <c r="I73" s="2"/>
      <c r="J73" s="7">
        <f t="shared" si="61"/>
        <v>2.5636643308836098E-3</v>
      </c>
      <c r="K73" s="2"/>
      <c r="L73" s="6">
        <f t="shared" si="62"/>
        <v>16.010000000000005</v>
      </c>
      <c r="M73" s="2"/>
      <c r="N73" s="7">
        <f t="shared" si="63"/>
        <v>0.21346666666666672</v>
      </c>
      <c r="O73" s="11"/>
      <c r="P73" s="6">
        <v>546.05999999999995</v>
      </c>
      <c r="Q73" s="2"/>
      <c r="R73" s="7">
        <f t="shared" si="64"/>
        <v>2.74133607075364E-3</v>
      </c>
      <c r="S73" s="2"/>
      <c r="T73" s="6">
        <v>450</v>
      </c>
      <c r="U73" s="2"/>
      <c r="V73" s="7">
        <f t="shared" si="65"/>
        <v>2.1245857057873713E-3</v>
      </c>
      <c r="W73" s="2"/>
      <c r="X73" s="6">
        <f t="shared" si="66"/>
        <v>96.059999999999945</v>
      </c>
      <c r="Y73" s="2"/>
      <c r="Z73" s="7">
        <f t="shared" si="67"/>
        <v>0.21346666666666655</v>
      </c>
    </row>
    <row r="74" spans="1:26" s="25" customFormat="1" outlineLevel="1" collapsed="1" x14ac:dyDescent="0.25">
      <c r="A74" s="27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SUM(OSRRefD22_13x_0)</f>
        <v>0</v>
      </c>
      <c r="E74" s="1"/>
      <c r="F74" s="5">
        <f t="shared" si="60"/>
        <v>0</v>
      </c>
      <c r="G74" s="1"/>
      <c r="H74" s="1">
        <f>SUM(OSRRefH22_13x_0)</f>
        <v>0</v>
      </c>
      <c r="I74" s="1"/>
      <c r="J74" s="5">
        <f t="shared" si="61"/>
        <v>0</v>
      </c>
      <c r="K74" s="1"/>
      <c r="L74" s="1">
        <f t="shared" si="62"/>
        <v>0</v>
      </c>
      <c r="M74" s="1"/>
      <c r="N74" s="5">
        <f t="shared" si="63"/>
        <v>0</v>
      </c>
      <c r="O74" s="13"/>
      <c r="P74" s="1">
        <f>SUM(OSRRefP22_13x_0)</f>
        <v>0</v>
      </c>
      <c r="Q74" s="1"/>
      <c r="R74" s="5">
        <f t="shared" si="64"/>
        <v>0</v>
      </c>
      <c r="S74" s="1"/>
      <c r="T74" s="1">
        <f>SUM(OSRRefT22_13x_0)</f>
        <v>500</v>
      </c>
      <c r="U74" s="1"/>
      <c r="V74" s="5">
        <f t="shared" si="65"/>
        <v>2.3606507842081903E-3</v>
      </c>
      <c r="W74" s="1"/>
      <c r="X74" s="1">
        <f t="shared" si="66"/>
        <v>-500</v>
      </c>
      <c r="Y74" s="1"/>
      <c r="Z74" s="5">
        <f t="shared" si="67"/>
        <v>-1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60"/>
        <v>0</v>
      </c>
      <c r="G75" s="2"/>
      <c r="H75" s="6"/>
      <c r="I75" s="2"/>
      <c r="J75" s="7">
        <f t="shared" si="61"/>
        <v>0</v>
      </c>
      <c r="K75" s="2"/>
      <c r="L75" s="6">
        <f t="shared" si="62"/>
        <v>0</v>
      </c>
      <c r="M75" s="2"/>
      <c r="N75" s="7">
        <f t="shared" si="63"/>
        <v>0</v>
      </c>
      <c r="O75" s="11"/>
      <c r="P75" s="6"/>
      <c r="Q75" s="2"/>
      <c r="R75" s="7">
        <f t="shared" si="64"/>
        <v>0</v>
      </c>
      <c r="S75" s="2"/>
      <c r="T75" s="6">
        <v>500</v>
      </c>
      <c r="U75" s="2"/>
      <c r="V75" s="7">
        <f t="shared" si="65"/>
        <v>2.3606507842081903E-3</v>
      </c>
      <c r="W75" s="2"/>
      <c r="X75" s="6">
        <f t="shared" si="66"/>
        <v>-500</v>
      </c>
      <c r="Y75" s="2"/>
      <c r="Z75" s="7">
        <f t="shared" si="67"/>
        <v>-1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2">
        <f>+D22-D24+D77</f>
        <v>2282.2500000000018</v>
      </c>
      <c r="E79" s="14"/>
      <c r="F79" s="20">
        <f>IF(D$12=0,0,D79/D$12)</f>
        <v>0.10475586341368487</v>
      </c>
      <c r="G79" s="14"/>
      <c r="H79" s="22">
        <f>+H22-H24+H77</f>
        <v>2617.8040946153815</v>
      </c>
      <c r="I79" s="14"/>
      <c r="J79" s="20">
        <f>IF(H$12=0,0,H79/H$12)</f>
        <v>8.948227976808687E-2</v>
      </c>
      <c r="K79" s="16"/>
      <c r="L79" s="22">
        <f>+D79-H79</f>
        <v>-335.55409461537965</v>
      </c>
      <c r="M79" s="16"/>
      <c r="N79" s="20">
        <f>IF(H79=0,0,L79/H79)</f>
        <v>-0.12818151492145199</v>
      </c>
      <c r="O79" s="28"/>
      <c r="P79" s="22">
        <f>+P22-P24+P77</f>
        <v>18347.460000000006</v>
      </c>
      <c r="Q79" s="14"/>
      <c r="R79" s="20">
        <f>IF(P$12=0,0,P79/P$12)</f>
        <v>9.2108108824505736E-2</v>
      </c>
      <c r="S79" s="14"/>
      <c r="T79" s="22">
        <f>+T22-T24+T77</f>
        <v>31487.679664999974</v>
      </c>
      <c r="U79" s="14"/>
      <c r="V79" s="20">
        <f>IF(T$12=0,0,T79/T$12)</f>
        <v>0.14866283138815697</v>
      </c>
      <c r="W79" s="16"/>
      <c r="X79" s="22">
        <f>+P79-T79</f>
        <v>-13140.219664999968</v>
      </c>
      <c r="Y79" s="16"/>
      <c r="Z79" s="20">
        <f>IF(T79=0,0,X79/T79)</f>
        <v>-0.41731305084400788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2728.22</v>
      </c>
      <c r="E81" s="4"/>
      <c r="F81" s="12">
        <f>IF(D$12=0,0,D81/D$12)</f>
        <v>0.12522600139444981</v>
      </c>
      <c r="G81" s="4"/>
      <c r="H81" s="4">
        <v>4149</v>
      </c>
      <c r="I81" s="4"/>
      <c r="J81" s="12">
        <f>IF(H$12=0,0,H81/H$12)</f>
        <v>0.14182191078448128</v>
      </c>
      <c r="K81" s="4"/>
      <c r="L81" s="4">
        <f>+D81-H81</f>
        <v>-1420.7800000000002</v>
      </c>
      <c r="M81" s="4"/>
      <c r="N81" s="12">
        <f>IF(H81=0,0,L81/H81)</f>
        <v>-0.3424391419619186</v>
      </c>
      <c r="O81" s="10"/>
      <c r="P81" s="4">
        <v>21514.58</v>
      </c>
      <c r="Q81" s="4"/>
      <c r="R81" s="12">
        <f>IF(P$12=0,0,P81/P$12)</f>
        <v>0.10800771746898666</v>
      </c>
      <c r="S81" s="4"/>
      <c r="T81" s="4">
        <v>27283</v>
      </c>
      <c r="U81" s="4"/>
      <c r="V81" s="12">
        <f>IF(T$12=0,0,T81/T$12)</f>
        <v>0.12881127069110412</v>
      </c>
      <c r="W81" s="4"/>
      <c r="X81" s="4">
        <f>+P81-T81</f>
        <v>-5768.4199999999983</v>
      </c>
      <c r="Y81" s="4"/>
      <c r="Z81" s="12">
        <f>IF(T81=0,0,X81/T81)</f>
        <v>-0.21142909504086788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1">
        <f>+D79-D81</f>
        <v>-445.96999999999798</v>
      </c>
      <c r="E83" s="14"/>
      <c r="F83" s="32">
        <f>IF(D$12=0,0,D83/D$12)</f>
        <v>-2.0470137980764944E-2</v>
      </c>
      <c r="G83" s="14"/>
      <c r="H83" s="31">
        <f>+H79-H81</f>
        <v>-1531.1959053846185</v>
      </c>
      <c r="I83" s="14"/>
      <c r="J83" s="32">
        <f>IF(H$12=0,0,H83/H$12)</f>
        <v>-5.2339631016394411E-2</v>
      </c>
      <c r="K83" s="16"/>
      <c r="L83" s="31">
        <f>D83-H83</f>
        <v>1085.2259053846205</v>
      </c>
      <c r="M83" s="16"/>
      <c r="N83" s="32">
        <f>IF(H83=0,0,L83/H83)</f>
        <v>-0.70874399648556041</v>
      </c>
      <c r="O83" s="28"/>
      <c r="P83" s="31">
        <f>+P79-P81</f>
        <v>-3167.1199999999953</v>
      </c>
      <c r="Q83" s="14"/>
      <c r="R83" s="32">
        <f>IF(P$12=0,0,P83/P$12)</f>
        <v>-1.589960864448093E-2</v>
      </c>
      <c r="S83" s="14"/>
      <c r="T83" s="31">
        <f>+T79-T81</f>
        <v>4204.6796649999742</v>
      </c>
      <c r="U83" s="14"/>
      <c r="V83" s="32">
        <f>IF(T$12=0,0,T83/T$12)</f>
        <v>1.9851560697052843E-2</v>
      </c>
      <c r="W83" s="16"/>
      <c r="X83" s="31">
        <f>P83-T83</f>
        <v>-7371.7996649999695</v>
      </c>
      <c r="Y83" s="16"/>
      <c r="Z83" s="32">
        <f>IF(T83=0,0,X83/T83)</f>
        <v>-1.7532369294058967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5">
        <f>SUM(D83:D85)</f>
        <v>-445.96999999999798</v>
      </c>
      <c r="E86" s="14"/>
      <c r="F86" s="34">
        <f>IF(D$12=0,0,D86/D$12)</f>
        <v>-2.0470137980764944E-2</v>
      </c>
      <c r="G86" s="14"/>
      <c r="H86" s="35">
        <f>SUM(H83:H85)</f>
        <v>-1531.1959053846185</v>
      </c>
      <c r="I86" s="14"/>
      <c r="J86" s="34">
        <f>IF(H$12=0,0,H86/H$12)</f>
        <v>-5.2339631016394411E-2</v>
      </c>
      <c r="K86" s="16"/>
      <c r="L86" s="35">
        <f>+D86-H86</f>
        <v>1085.2259053846205</v>
      </c>
      <c r="M86" s="16"/>
      <c r="N86" s="34">
        <f>IF(H86=0,0,L86/H86)</f>
        <v>-0.70874399648556041</v>
      </c>
      <c r="O86" s="28"/>
      <c r="P86" s="35">
        <f>SUM(P83:P85)</f>
        <v>-3167.1199999999953</v>
      </c>
      <c r="Q86" s="14"/>
      <c r="R86" s="34">
        <f>IF(P$12=0,0,P86/P$12)</f>
        <v>-1.589960864448093E-2</v>
      </c>
      <c r="S86" s="14"/>
      <c r="T86" s="35">
        <f>SUM(T83:T85)</f>
        <v>4204.6796649999742</v>
      </c>
      <c r="U86" s="14"/>
      <c r="V86" s="34">
        <f>IF(T$12=0,0,T86/T$12)</f>
        <v>1.9851560697052843E-2</v>
      </c>
      <c r="W86" s="16"/>
      <c r="X86" s="35">
        <f>+P86-T86</f>
        <v>-7371.7996649999695</v>
      </c>
      <c r="Y86" s="16"/>
      <c r="Z86" s="34">
        <f>IF(T86=0,0,X86/T86)</f>
        <v>-1.7532369294058967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3">
        <v>43847.445887881942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5" t="s">
        <v>314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6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299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39691.699999999997</v>
      </c>
      <c r="E12" s="4"/>
      <c r="F12" s="12"/>
      <c r="G12" s="4"/>
      <c r="H12" s="4">
        <f>SUM(OSRRefH13x_0)</f>
        <v>42758</v>
      </c>
      <c r="I12" s="4"/>
      <c r="J12" s="12"/>
      <c r="K12" s="4"/>
      <c r="L12" s="4">
        <f t="shared" ref="L12:L18" si="0">+D12-H12</f>
        <v>-3066.3000000000029</v>
      </c>
      <c r="M12" s="4"/>
      <c r="N12" s="12">
        <f t="shared" ref="N12:N18" si="1">IF(H12=0,0,L12/H12)</f>
        <v>-7.1712895832358931E-2</v>
      </c>
      <c r="O12" s="10"/>
      <c r="P12" s="4">
        <f>SUM(OSRRefP13x_0)</f>
        <v>337573.29</v>
      </c>
      <c r="Q12" s="4"/>
      <c r="R12" s="12"/>
      <c r="S12" s="4"/>
      <c r="T12" s="4">
        <f>SUM(OSRRefT13x_0)</f>
        <v>336237</v>
      </c>
      <c r="U12" s="4"/>
      <c r="V12" s="12"/>
      <c r="W12" s="4"/>
      <c r="X12" s="4">
        <f t="shared" ref="X12:X18" si="2">+P12-T12</f>
        <v>1336.289999999979</v>
      </c>
      <c r="Y12" s="4"/>
      <c r="Z12" s="12">
        <f t="shared" ref="Z12:Z18" si="3">IF(T12=0,0,X12/T12)</f>
        <v>3.9742503055879607E-3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--11077.21</f>
        <v>11077.21</v>
      </c>
      <c r="E13" s="2"/>
      <c r="F13" s="19"/>
      <c r="G13" s="2"/>
      <c r="H13" s="2"/>
      <c r="I13" s="2"/>
      <c r="J13" s="19"/>
      <c r="K13" s="2"/>
      <c r="L13" s="2">
        <f t="shared" si="0"/>
        <v>11077.21</v>
      </c>
      <c r="M13" s="2"/>
      <c r="N13" s="19">
        <f t="shared" si="1"/>
        <v>0</v>
      </c>
      <c r="O13" s="11"/>
      <c r="P13" s="2">
        <f>--72225.08</f>
        <v>72225.08</v>
      </c>
      <c r="Q13" s="2"/>
      <c r="R13" s="19"/>
      <c r="S13" s="2"/>
      <c r="T13" s="2"/>
      <c r="U13" s="2"/>
      <c r="V13" s="19"/>
      <c r="W13" s="2"/>
      <c r="X13" s="2">
        <f t="shared" si="2"/>
        <v>72225.08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--282.75</f>
        <v>282.75</v>
      </c>
      <c r="E14" s="2"/>
      <c r="F14" s="19"/>
      <c r="G14" s="2"/>
      <c r="H14" s="2"/>
      <c r="I14" s="2"/>
      <c r="J14" s="19"/>
      <c r="K14" s="2"/>
      <c r="L14" s="2">
        <f t="shared" si="0"/>
        <v>282.75</v>
      </c>
      <c r="M14" s="2"/>
      <c r="N14" s="19">
        <f t="shared" si="1"/>
        <v>0</v>
      </c>
      <c r="O14" s="11"/>
      <c r="P14" s="2">
        <f>--2201.92</f>
        <v>2201.92</v>
      </c>
      <c r="Q14" s="2"/>
      <c r="R14" s="19"/>
      <c r="S14" s="2"/>
      <c r="T14" s="2"/>
      <c r="U14" s="2"/>
      <c r="V14" s="19"/>
      <c r="W14" s="2"/>
      <c r="X14" s="2">
        <f t="shared" si="2"/>
        <v>2201.92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42758</v>
      </c>
      <c r="I15" s="2"/>
      <c r="J15" s="19"/>
      <c r="K15" s="2"/>
      <c r="L15" s="2">
        <f t="shared" si="0"/>
        <v>-42758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336237</v>
      </c>
      <c r="U15" s="2"/>
      <c r="V15" s="19"/>
      <c r="W15" s="2"/>
      <c r="X15" s="2">
        <f t="shared" si="2"/>
        <v>-336237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--28206.18</f>
        <v>28206.18</v>
      </c>
      <c r="E16" s="2"/>
      <c r="F16" s="19"/>
      <c r="G16" s="2"/>
      <c r="H16" s="2"/>
      <c r="I16" s="2"/>
      <c r="J16" s="19"/>
      <c r="K16" s="2"/>
      <c r="L16" s="2">
        <f t="shared" si="0"/>
        <v>28206.18</v>
      </c>
      <c r="M16" s="2"/>
      <c r="N16" s="19">
        <f t="shared" si="1"/>
        <v>0</v>
      </c>
      <c r="O16" s="11"/>
      <c r="P16" s="2">
        <f>--261995.8</f>
        <v>261995.8</v>
      </c>
      <c r="Q16" s="2"/>
      <c r="R16" s="19"/>
      <c r="S16" s="2"/>
      <c r="T16" s="2"/>
      <c r="U16" s="2"/>
      <c r="V16" s="19"/>
      <c r="W16" s="2"/>
      <c r="X16" s="2">
        <f t="shared" si="2"/>
        <v>261995.8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/>
      <c r="U17" s="2"/>
      <c r="V17" s="19"/>
      <c r="W17" s="2"/>
      <c r="X17" s="2">
        <f t="shared" si="2"/>
        <v>0.39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--125.56</f>
        <v>125.56</v>
      </c>
      <c r="E18" s="2"/>
      <c r="F18" s="19"/>
      <c r="G18" s="2"/>
      <c r="H18" s="2"/>
      <c r="I18" s="2"/>
      <c r="J18" s="19"/>
      <c r="K18" s="2"/>
      <c r="L18" s="2">
        <f t="shared" si="0"/>
        <v>125.56</v>
      </c>
      <c r="M18" s="2"/>
      <c r="N18" s="19">
        <f t="shared" si="1"/>
        <v>0</v>
      </c>
      <c r="O18" s="11"/>
      <c r="P18" s="2">
        <f>--1150.1</f>
        <v>1150.0999999999999</v>
      </c>
      <c r="Q18" s="2"/>
      <c r="R18" s="19"/>
      <c r="S18" s="2"/>
      <c r="T18" s="2"/>
      <c r="U18" s="2"/>
      <c r="V18" s="19"/>
      <c r="W18" s="2"/>
      <c r="X18" s="2">
        <f t="shared" si="2"/>
        <v>1150.0999999999999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17480.57</v>
      </c>
      <c r="E20" s="4"/>
      <c r="F20" s="12">
        <f t="shared" ref="F20:F23" si="4">IF(D$12=0,0,D20/D$12)</f>
        <v>0.44040870005567917</v>
      </c>
      <c r="G20" s="4"/>
      <c r="H20" s="4">
        <f>SUM(OSRRefH16x_0)</f>
        <v>20524</v>
      </c>
      <c r="I20" s="4"/>
      <c r="J20" s="12">
        <f t="shared" ref="J20:J23" si="5">IF(H$12=0,0,H20/H$12)</f>
        <v>0.48000374198980306</v>
      </c>
      <c r="K20" s="4"/>
      <c r="L20" s="4">
        <f t="shared" ref="L20:L23" si="6">+D20-H20</f>
        <v>-3043.4300000000003</v>
      </c>
      <c r="M20" s="4"/>
      <c r="N20" s="12">
        <f t="shared" ref="N20:N23" si="7">IF(H20=0,0,L20/H20)</f>
        <v>-0.14828639641395441</v>
      </c>
      <c r="O20" s="10"/>
      <c r="P20" s="4">
        <f>SUM(OSRRefP16x_0)</f>
        <v>159085.37</v>
      </c>
      <c r="Q20" s="4"/>
      <c r="R20" s="12">
        <f t="shared" ref="R20:R23" si="8">IF(P$12=0,0,P20/P$12)</f>
        <v>0.47126172215817197</v>
      </c>
      <c r="S20" s="4"/>
      <c r="T20" s="4">
        <f>SUM(OSRRefT16x_0)</f>
        <v>161395</v>
      </c>
      <c r="U20" s="4"/>
      <c r="V20" s="12">
        <f t="shared" ref="V20:V23" si="9">IF(T$12=0,0,T20/T$12)</f>
        <v>0.48000368787492154</v>
      </c>
      <c r="W20" s="4"/>
      <c r="X20" s="4">
        <f t="shared" ref="X20:X23" si="10">+P20-T20</f>
        <v>-2309.6300000000047</v>
      </c>
      <c r="Y20" s="4"/>
      <c r="Z20" s="12">
        <f t="shared" ref="Z20:Z23" si="11">IF(T20=0,0,X20/T20)</f>
        <v>-1.4310418538368628E-2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20524</v>
      </c>
      <c r="I21" s="2"/>
      <c r="J21" s="19">
        <f t="shared" si="5"/>
        <v>0.48000374198980306</v>
      </c>
      <c r="K21" s="2"/>
      <c r="L21" s="2">
        <f t="shared" si="6"/>
        <v>-20524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161395</v>
      </c>
      <c r="U21" s="2"/>
      <c r="V21" s="19">
        <f t="shared" si="9"/>
        <v>0.48000368787492154</v>
      </c>
      <c r="W21" s="2"/>
      <c r="X21" s="2">
        <f t="shared" si="10"/>
        <v>-161395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12026.25</v>
      </c>
      <c r="E22" s="2"/>
      <c r="F22" s="19">
        <f t="shared" si="4"/>
        <v>0.30299155742888312</v>
      </c>
      <c r="G22" s="2"/>
      <c r="H22" s="2"/>
      <c r="I22" s="2"/>
      <c r="J22" s="19">
        <f t="shared" si="5"/>
        <v>0</v>
      </c>
      <c r="K22" s="2"/>
      <c r="L22" s="2">
        <f t="shared" si="6"/>
        <v>12026.25</v>
      </c>
      <c r="M22" s="2"/>
      <c r="N22" s="19">
        <f t="shared" si="7"/>
        <v>0</v>
      </c>
      <c r="O22" s="11"/>
      <c r="P22" s="2">
        <v>162508.69</v>
      </c>
      <c r="Q22" s="2"/>
      <c r="R22" s="19">
        <f t="shared" si="8"/>
        <v>0.4814026903609584</v>
      </c>
      <c r="S22" s="2"/>
      <c r="T22" s="2"/>
      <c r="U22" s="2"/>
      <c r="V22" s="19">
        <f t="shared" si="9"/>
        <v>0</v>
      </c>
      <c r="W22" s="2"/>
      <c r="X22" s="2">
        <f t="shared" si="10"/>
        <v>162508.69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5454.32</v>
      </c>
      <c r="E23" s="2"/>
      <c r="F23" s="19">
        <f t="shared" si="4"/>
        <v>0.13741714262679602</v>
      </c>
      <c r="G23" s="2"/>
      <c r="H23" s="2"/>
      <c r="I23" s="2"/>
      <c r="J23" s="19">
        <f t="shared" si="5"/>
        <v>0</v>
      </c>
      <c r="K23" s="2"/>
      <c r="L23" s="2">
        <f t="shared" si="6"/>
        <v>5454.32</v>
      </c>
      <c r="M23" s="2"/>
      <c r="N23" s="19">
        <f t="shared" si="7"/>
        <v>0</v>
      </c>
      <c r="O23" s="11"/>
      <c r="P23" s="2">
        <v>-3423.32</v>
      </c>
      <c r="Q23" s="2"/>
      <c r="R23" s="19">
        <f t="shared" si="8"/>
        <v>-1.0140968202786425E-2</v>
      </c>
      <c r="S23" s="2"/>
      <c r="T23" s="2"/>
      <c r="U23" s="2"/>
      <c r="V23" s="19">
        <f t="shared" si="9"/>
        <v>0</v>
      </c>
      <c r="W23" s="2"/>
      <c r="X23" s="2">
        <f t="shared" si="10"/>
        <v>-3423.32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22211.129999999997</v>
      </c>
      <c r="E25" s="14"/>
      <c r="F25" s="20">
        <f>IF(D$12=0,0,D25/D$12)</f>
        <v>0.55959129994432077</v>
      </c>
      <c r="G25" s="14"/>
      <c r="H25" s="22">
        <f>H12-H20</f>
        <v>22234</v>
      </c>
      <c r="I25" s="14"/>
      <c r="J25" s="20">
        <f>IF(H$12=0,0,H25/H$12)</f>
        <v>0.51999625801019689</v>
      </c>
      <c r="K25" s="16"/>
      <c r="L25" s="22">
        <f>+D25-H25</f>
        <v>-22.870000000002619</v>
      </c>
      <c r="M25" s="16"/>
      <c r="N25" s="20">
        <f>IF(H25=0,0,L25/H25)</f>
        <v>-1.0286048394352171E-3</v>
      </c>
      <c r="O25" s="28"/>
      <c r="P25" s="22">
        <f>P12-P20</f>
        <v>178487.91999999998</v>
      </c>
      <c r="Q25" s="14"/>
      <c r="R25" s="20">
        <f>IF(P$12=0,0,P25/P$12)</f>
        <v>0.52873827784182803</v>
      </c>
      <c r="S25" s="14"/>
      <c r="T25" s="22">
        <f>T12-T20</f>
        <v>174842</v>
      </c>
      <c r="U25" s="14"/>
      <c r="V25" s="20">
        <f>IF(T$12=0,0,T25/T$12)</f>
        <v>0.51999631212507846</v>
      </c>
      <c r="W25" s="16"/>
      <c r="X25" s="22">
        <f>+P25-T25</f>
        <v>3645.9199999999837</v>
      </c>
      <c r="Y25" s="16"/>
      <c r="Z25" s="20">
        <f>IF(T25=0,0,X25/T25)</f>
        <v>2.0852655540430694E-2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16288.970000000001</v>
      </c>
      <c r="E27" s="21"/>
      <c r="F27" s="30">
        <f t="shared" ref="F27:F37" si="12">IF(D$12=0,0,D27/D$12)</f>
        <v>0.41038731019331504</v>
      </c>
      <c r="G27" s="21"/>
      <c r="H27" s="21">
        <f>SUM(OSRRefH22x_0)</f>
        <v>17810.9622151</v>
      </c>
      <c r="I27" s="21"/>
      <c r="J27" s="30">
        <f t="shared" ref="J27:J37" si="13">IF(H$12=0,0,H27/H$12)</f>
        <v>0.41655274369942469</v>
      </c>
      <c r="K27" s="4"/>
      <c r="L27" s="21">
        <f t="shared" ref="L27:L37" si="14">+D27-H27</f>
        <v>-1521.9922150999992</v>
      </c>
      <c r="M27" s="4"/>
      <c r="N27" s="30">
        <f t="shared" ref="N27:N37" si="15">IF(H27=0,0,L27/H27)</f>
        <v>-8.5452554259514715E-2</v>
      </c>
      <c r="O27" s="10"/>
      <c r="P27" s="21">
        <f>SUM(OSRRefP22x_0)</f>
        <v>113713.40000000001</v>
      </c>
      <c r="Q27" s="21"/>
      <c r="R27" s="30">
        <f t="shared" ref="R27:R37" si="16">IF(P$12=0,0,P27/P$12)</f>
        <v>0.33685544256182121</v>
      </c>
      <c r="S27" s="21"/>
      <c r="T27" s="21">
        <f>SUM(OSRRefT22x_0)</f>
        <v>116222.1143854</v>
      </c>
      <c r="U27" s="21"/>
      <c r="V27" s="30">
        <f t="shared" ref="V27:V37" si="17">IF(T$12=0,0,T27/T$12)</f>
        <v>0.3456553394938689</v>
      </c>
      <c r="W27" s="4"/>
      <c r="X27" s="21">
        <f t="shared" ref="X27:X37" si="18">+P27-T27</f>
        <v>-2508.7143853999878</v>
      </c>
      <c r="Y27" s="4"/>
      <c r="Z27" s="30">
        <f t="shared" ref="Z27:Z37" si="19">IF(T27=0,0,X27/T27)</f>
        <v>-2.1585516652028285E-2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4142.1799999999994</v>
      </c>
      <c r="E28" s="1"/>
      <c r="F28" s="5">
        <f t="shared" si="12"/>
        <v>0.10435884580403459</v>
      </c>
      <c r="G28" s="1"/>
      <c r="H28" s="1">
        <f>SUM(OSRRefH22_0x_0)</f>
        <v>3739.4982151000004</v>
      </c>
      <c r="I28" s="1"/>
      <c r="J28" s="5">
        <f t="shared" si="13"/>
        <v>8.7457276184573662E-2</v>
      </c>
      <c r="K28" s="1"/>
      <c r="L28" s="1">
        <f t="shared" si="14"/>
        <v>402.681784899999</v>
      </c>
      <c r="M28" s="1"/>
      <c r="N28" s="5">
        <f t="shared" si="15"/>
        <v>0.10768337400830411</v>
      </c>
      <c r="O28" s="13"/>
      <c r="P28" s="1">
        <f>SUM(OSRRefP22_0x_0)</f>
        <v>26525.64</v>
      </c>
      <c r="Q28" s="1"/>
      <c r="R28" s="5">
        <f t="shared" si="16"/>
        <v>7.8577425364429757E-2</v>
      </c>
      <c r="S28" s="1"/>
      <c r="T28" s="1">
        <f>SUM(OSRRefT22_0x_0)</f>
        <v>23608.773385400003</v>
      </c>
      <c r="U28" s="1"/>
      <c r="V28" s="5">
        <f t="shared" si="17"/>
        <v>7.0214680078040201E-2</v>
      </c>
      <c r="W28" s="1"/>
      <c r="X28" s="1">
        <f t="shared" si="18"/>
        <v>2916.866614599996</v>
      </c>
      <c r="Y28" s="1"/>
      <c r="Z28" s="5">
        <f t="shared" si="19"/>
        <v>0.12355011279001167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>
        <v>410.66</v>
      </c>
      <c r="E29" s="2"/>
      <c r="F29" s="7">
        <f t="shared" si="12"/>
        <v>1.0346243673110501E-2</v>
      </c>
      <c r="G29" s="2"/>
      <c r="H29" s="6">
        <v>528.84296310000002</v>
      </c>
      <c r="I29" s="2"/>
      <c r="J29" s="7">
        <f t="shared" si="13"/>
        <v>1.2368281095935263E-2</v>
      </c>
      <c r="K29" s="2"/>
      <c r="L29" s="6">
        <f t="shared" si="14"/>
        <v>-118.18296309999999</v>
      </c>
      <c r="M29" s="2"/>
      <c r="N29" s="7">
        <f t="shared" si="15"/>
        <v>-0.22347458763037853</v>
      </c>
      <c r="O29" s="11"/>
      <c r="P29" s="6">
        <v>3230.52</v>
      </c>
      <c r="Q29" s="2"/>
      <c r="R29" s="7">
        <f t="shared" si="16"/>
        <v>9.569832968716217E-3</v>
      </c>
      <c r="S29" s="2"/>
      <c r="T29" s="6">
        <v>3803.0496774000003</v>
      </c>
      <c r="U29" s="2"/>
      <c r="V29" s="7">
        <f t="shared" si="17"/>
        <v>1.1310622202196665E-2</v>
      </c>
      <c r="W29" s="2"/>
      <c r="X29" s="6">
        <f t="shared" si="18"/>
        <v>-572.52967740000031</v>
      </c>
      <c r="Y29" s="2"/>
      <c r="Z29" s="7">
        <f t="shared" si="19"/>
        <v>-0.15054488528044077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267.2</v>
      </c>
      <c r="E30" s="2"/>
      <c r="F30" s="7">
        <f t="shared" si="12"/>
        <v>6.7318860114331212E-3</v>
      </c>
      <c r="G30" s="2"/>
      <c r="H30" s="6">
        <v>237.00163000000001</v>
      </c>
      <c r="I30" s="2"/>
      <c r="J30" s="7">
        <f t="shared" si="13"/>
        <v>5.5428605173300904E-3</v>
      </c>
      <c r="K30" s="2"/>
      <c r="L30" s="6">
        <f t="shared" si="14"/>
        <v>30.198369999999983</v>
      </c>
      <c r="M30" s="2"/>
      <c r="N30" s="7">
        <f t="shared" si="15"/>
        <v>0.12741840636285912</v>
      </c>
      <c r="O30" s="11"/>
      <c r="P30" s="6">
        <v>1051.3900000000001</v>
      </c>
      <c r="Q30" s="2"/>
      <c r="R30" s="7">
        <f t="shared" si="16"/>
        <v>3.1145532870802666E-3</v>
      </c>
      <c r="S30" s="2"/>
      <c r="T30" s="6">
        <v>1512.8812700000001</v>
      </c>
      <c r="U30" s="2"/>
      <c r="V30" s="7">
        <f t="shared" si="17"/>
        <v>4.4994491088131295E-3</v>
      </c>
      <c r="W30" s="2"/>
      <c r="X30" s="6">
        <f t="shared" si="18"/>
        <v>-461.49126999999999</v>
      </c>
      <c r="Y30" s="2"/>
      <c r="Z30" s="7">
        <f t="shared" si="19"/>
        <v>-0.30504130043198957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5.089149620701558E-2</v>
      </c>
      <c r="G31" s="2"/>
      <c r="H31" s="6">
        <v>1977</v>
      </c>
      <c r="I31" s="2"/>
      <c r="J31" s="7">
        <f t="shared" si="13"/>
        <v>4.6236961504279903E-2</v>
      </c>
      <c r="K31" s="2"/>
      <c r="L31" s="6">
        <f t="shared" si="14"/>
        <v>42.970000000000027</v>
      </c>
      <c r="M31" s="2"/>
      <c r="N31" s="7">
        <f t="shared" si="15"/>
        <v>2.1734951947395057E-2</v>
      </c>
      <c r="O31" s="11"/>
      <c r="P31" s="6">
        <v>12119.82</v>
      </c>
      <c r="Q31" s="2"/>
      <c r="R31" s="7">
        <f t="shared" si="16"/>
        <v>3.5902781289360898E-2</v>
      </c>
      <c r="S31" s="2"/>
      <c r="T31" s="6">
        <v>11862</v>
      </c>
      <c r="U31" s="2"/>
      <c r="V31" s="7">
        <f t="shared" si="17"/>
        <v>3.5278687354455336E-2</v>
      </c>
      <c r="W31" s="2"/>
      <c r="X31" s="6">
        <f t="shared" si="18"/>
        <v>257.81999999999971</v>
      </c>
      <c r="Y31" s="2"/>
      <c r="Z31" s="7">
        <f t="shared" si="19"/>
        <v>2.1734951947395019E-2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>
        <v>36.56</v>
      </c>
      <c r="E32" s="2"/>
      <c r="F32" s="7">
        <f t="shared" si="12"/>
        <v>9.2109937342063966E-4</v>
      </c>
      <c r="G32" s="2"/>
      <c r="H32" s="6">
        <v>32.431801999999998</v>
      </c>
      <c r="I32" s="2"/>
      <c r="J32" s="7">
        <f t="shared" si="13"/>
        <v>7.5849670237148595E-4</v>
      </c>
      <c r="K32" s="2"/>
      <c r="L32" s="6">
        <f t="shared" si="14"/>
        <v>4.1281980000000047</v>
      </c>
      <c r="M32" s="2"/>
      <c r="N32" s="7">
        <f t="shared" si="15"/>
        <v>0.12728857927783369</v>
      </c>
      <c r="O32" s="11"/>
      <c r="P32" s="6">
        <v>176.76</v>
      </c>
      <c r="Q32" s="2"/>
      <c r="R32" s="7">
        <f t="shared" si="16"/>
        <v>5.2361962642245776E-4</v>
      </c>
      <c r="S32" s="2"/>
      <c r="T32" s="6">
        <v>207.025858</v>
      </c>
      <c r="U32" s="2"/>
      <c r="V32" s="7">
        <f t="shared" si="17"/>
        <v>6.1571408857442813E-4</v>
      </c>
      <c r="W32" s="2"/>
      <c r="X32" s="6">
        <f t="shared" si="18"/>
        <v>-30.265858000000009</v>
      </c>
      <c r="Y32" s="2"/>
      <c r="Z32" s="7">
        <f t="shared" si="19"/>
        <v>-0.14619361220084889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>
        <v>568.97</v>
      </c>
      <c r="E33" s="2"/>
      <c r="F33" s="7">
        <f t="shared" si="12"/>
        <v>1.4334734969779578E-2</v>
      </c>
      <c r="G33" s="2"/>
      <c r="H33" s="6">
        <v>478.68632000000002</v>
      </c>
      <c r="I33" s="2"/>
      <c r="J33" s="7">
        <f t="shared" si="13"/>
        <v>1.1195245801955191E-2</v>
      </c>
      <c r="K33" s="2"/>
      <c r="L33" s="6">
        <f t="shared" si="14"/>
        <v>90.283680000000004</v>
      </c>
      <c r="M33" s="2"/>
      <c r="N33" s="7">
        <f t="shared" si="15"/>
        <v>0.18860718643474081</v>
      </c>
      <c r="O33" s="11"/>
      <c r="P33" s="6">
        <v>3931.58</v>
      </c>
      <c r="Q33" s="2"/>
      <c r="R33" s="7">
        <f t="shared" si="16"/>
        <v>1.1646596802726899E-2</v>
      </c>
      <c r="S33" s="2"/>
      <c r="T33" s="6">
        <v>3111.46108</v>
      </c>
      <c r="U33" s="2"/>
      <c r="V33" s="7">
        <f t="shared" si="17"/>
        <v>9.253773618013484E-3</v>
      </c>
      <c r="W33" s="2"/>
      <c r="X33" s="6">
        <f t="shared" si="18"/>
        <v>820.11891999999989</v>
      </c>
      <c r="Y33" s="2"/>
      <c r="Z33" s="7">
        <f t="shared" si="19"/>
        <v>0.26358000274263432</v>
      </c>
    </row>
    <row r="34" spans="1:26" s="24" customFormat="1" hidden="1" outlineLevel="2" x14ac:dyDescent="0.25">
      <c r="A34" s="26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6"/>
      <c r="B35" s="11" t="str">
        <f>CONCATENATE("          ", "6118", " - ", "VACATION")</f>
        <v xml:space="preserve">          6118 - VACATION</v>
      </c>
      <c r="C35" s="11"/>
      <c r="D35" s="6">
        <v>407.06</v>
      </c>
      <c r="E35" s="2"/>
      <c r="F35" s="7">
        <f t="shared" si="12"/>
        <v>1.0255544610082209E-2</v>
      </c>
      <c r="G35" s="2"/>
      <c r="H35" s="6">
        <v>207.3081</v>
      </c>
      <c r="I35" s="2"/>
      <c r="J35" s="7">
        <f t="shared" si="13"/>
        <v>4.8484049768464377E-3</v>
      </c>
      <c r="K35" s="2"/>
      <c r="L35" s="6">
        <f t="shared" si="14"/>
        <v>199.75190000000001</v>
      </c>
      <c r="M35" s="2"/>
      <c r="N35" s="7">
        <f t="shared" si="15"/>
        <v>0.96355086945469093</v>
      </c>
      <c r="O35" s="11"/>
      <c r="P35" s="6">
        <v>2954.78</v>
      </c>
      <c r="Q35" s="2"/>
      <c r="R35" s="7">
        <f t="shared" si="16"/>
        <v>8.7530029404873835E-3</v>
      </c>
      <c r="S35" s="2"/>
      <c r="T35" s="6">
        <v>1404.7448999999999</v>
      </c>
      <c r="U35" s="2"/>
      <c r="V35" s="7">
        <f t="shared" si="17"/>
        <v>4.1778415224975234E-3</v>
      </c>
      <c r="W35" s="2"/>
      <c r="X35" s="6">
        <f t="shared" si="18"/>
        <v>1550.0351000000003</v>
      </c>
      <c r="Y35" s="2"/>
      <c r="Z35" s="7">
        <f t="shared" si="19"/>
        <v>1.1034281740407104</v>
      </c>
    </row>
    <row r="36" spans="1:26" s="24" customFormat="1" hidden="1" outlineLevel="2" x14ac:dyDescent="0.25">
      <c r="A36" s="26"/>
      <c r="B36" s="11" t="str">
        <f>CONCATENATE("          ", "6119", " - ", "SICK LEAVE")</f>
        <v xml:space="preserve">          6119 - SICK LEAVE</v>
      </c>
      <c r="C36" s="11"/>
      <c r="D36" s="6">
        <v>256.76</v>
      </c>
      <c r="E36" s="2"/>
      <c r="F36" s="7">
        <f t="shared" si="12"/>
        <v>6.4688587286510788E-3</v>
      </c>
      <c r="G36" s="2"/>
      <c r="H36" s="6">
        <v>278.22739999999999</v>
      </c>
      <c r="I36" s="2"/>
      <c r="J36" s="7">
        <f t="shared" si="13"/>
        <v>6.507025585855278E-3</v>
      </c>
      <c r="K36" s="2"/>
      <c r="L36" s="6">
        <f t="shared" si="14"/>
        <v>-21.467399999999998</v>
      </c>
      <c r="M36" s="2"/>
      <c r="N36" s="7">
        <f t="shared" si="15"/>
        <v>-7.7157749380542678E-2</v>
      </c>
      <c r="O36" s="11"/>
      <c r="P36" s="6">
        <v>2073.36</v>
      </c>
      <c r="Q36" s="2"/>
      <c r="R36" s="7">
        <f t="shared" si="16"/>
        <v>6.1419551292106085E-3</v>
      </c>
      <c r="S36" s="2"/>
      <c r="T36" s="6">
        <v>1707.6106</v>
      </c>
      <c r="U36" s="2"/>
      <c r="V36" s="7">
        <f t="shared" si="17"/>
        <v>5.0785921834896218E-3</v>
      </c>
      <c r="W36" s="2"/>
      <c r="X36" s="6">
        <f t="shared" si="18"/>
        <v>365.74940000000015</v>
      </c>
      <c r="Y36" s="2"/>
      <c r="Z36" s="7">
        <f t="shared" si="19"/>
        <v>0.21418782478862577</v>
      </c>
    </row>
    <row r="37" spans="1:26" s="24" customFormat="1" hidden="1" outlineLevel="2" x14ac:dyDescent="0.25">
      <c r="A37" s="26"/>
      <c r="B37" s="11" t="str">
        <f>CONCATENATE("          ", "6156", " - ", "EMPLOYEE MEALS")</f>
        <v xml:space="preserve">          6156 - EMPLOYEE MEALS</v>
      </c>
      <c r="C37" s="11"/>
      <c r="D37" s="6">
        <v>175</v>
      </c>
      <c r="E37" s="2"/>
      <c r="F37" s="7">
        <f t="shared" si="12"/>
        <v>4.4089822305419021E-3</v>
      </c>
      <c r="G37" s="2"/>
      <c r="H37" s="6"/>
      <c r="I37" s="2"/>
      <c r="J37" s="7">
        <f t="shared" si="13"/>
        <v>0</v>
      </c>
      <c r="K37" s="2"/>
      <c r="L37" s="6">
        <f t="shared" si="14"/>
        <v>175</v>
      </c>
      <c r="M37" s="2"/>
      <c r="N37" s="7">
        <f t="shared" si="15"/>
        <v>0</v>
      </c>
      <c r="O37" s="11"/>
      <c r="P37" s="6">
        <v>987.43</v>
      </c>
      <c r="Q37" s="2"/>
      <c r="R37" s="7">
        <f t="shared" si="16"/>
        <v>2.9250833204250253E-3</v>
      </c>
      <c r="S37" s="2"/>
      <c r="T37" s="6"/>
      <c r="U37" s="2"/>
      <c r="V37" s="7">
        <f t="shared" si="17"/>
        <v>0</v>
      </c>
      <c r="W37" s="2"/>
      <c r="X37" s="6">
        <f t="shared" si="18"/>
        <v>987.43</v>
      </c>
      <c r="Y37" s="2"/>
      <c r="Z37" s="7">
        <f t="shared" si="19"/>
        <v>0</v>
      </c>
    </row>
    <row r="38" spans="1:26" s="25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10164.740000000002</v>
      </c>
      <c r="E38" s="1"/>
      <c r="F38" s="5">
        <f t="shared" ref="F38:F48" si="20">IF(D$12=0,0,D38/D$12)</f>
        <v>0.25609233164616285</v>
      </c>
      <c r="G38" s="1"/>
      <c r="H38" s="1">
        <f>SUM(OSRRefH22_1x_0)</f>
        <v>12195.464</v>
      </c>
      <c r="I38" s="1"/>
      <c r="J38" s="5">
        <f t="shared" ref="J38:J48" si="21">IF(H$12=0,0,H38/H$12)</f>
        <v>0.28522063707376399</v>
      </c>
      <c r="K38" s="1"/>
      <c r="L38" s="1">
        <f t="shared" ref="L38:L48" si="22">+D38-H38</f>
        <v>-2030.7239999999983</v>
      </c>
      <c r="M38" s="1"/>
      <c r="N38" s="5">
        <f t="shared" ref="N38:N48" si="23">IF(H38=0,0,L38/H38)</f>
        <v>-0.16651469759576171</v>
      </c>
      <c r="O38" s="13"/>
      <c r="P38" s="1">
        <f>SUM(OSRRefP22_1x_0)</f>
        <v>67685.819999999992</v>
      </c>
      <c r="Q38" s="1"/>
      <c r="R38" s="5">
        <f t="shared" ref="R38:R48" si="24">IF(P$12=0,0,P38/P$12)</f>
        <v>0.20050703656086061</v>
      </c>
      <c r="S38" s="1"/>
      <c r="T38" s="1">
        <f>SUM(OSRRefT22_1x_0)</f>
        <v>77816.341</v>
      </c>
      <c r="U38" s="1"/>
      <c r="V38" s="5">
        <f t="shared" ref="V38:V48" si="25">IF(T$12=0,0,T38/T$12)</f>
        <v>0.23143301004945915</v>
      </c>
      <c r="W38" s="1"/>
      <c r="X38" s="1">
        <f t="shared" ref="X38:X48" si="26">+P38-T38</f>
        <v>-10130.521000000008</v>
      </c>
      <c r="Y38" s="1"/>
      <c r="Z38" s="5">
        <f t="shared" ref="Z38:Z48" si="27">IF(T38=0,0,X38/T38)</f>
        <v>-0.1301850083133568</v>
      </c>
    </row>
    <row r="39" spans="1:26" s="24" customFormat="1" hidden="1" outlineLevel="2" x14ac:dyDescent="0.25">
      <c r="A39" s="26"/>
      <c r="B39" s="11" t="str">
        <f>CONCATENATE("          ", "6001", " - ", "ADMINISTRATIVE SALARIES")</f>
        <v xml:space="preserve">          6001 - ADMINISTRATIVE SALARIES</v>
      </c>
      <c r="C39" s="11"/>
      <c r="D39" s="6"/>
      <c r="E39" s="2"/>
      <c r="F39" s="7">
        <f t="shared" si="20"/>
        <v>0</v>
      </c>
      <c r="G39" s="2"/>
      <c r="H39" s="6">
        <v>5287.8140000000003</v>
      </c>
      <c r="I39" s="2"/>
      <c r="J39" s="7">
        <f t="shared" si="21"/>
        <v>0.12366841292857478</v>
      </c>
      <c r="K39" s="2"/>
      <c r="L39" s="6">
        <f t="shared" si="22"/>
        <v>-5287.8140000000003</v>
      </c>
      <c r="M39" s="2"/>
      <c r="N39" s="7">
        <f t="shared" si="23"/>
        <v>-1</v>
      </c>
      <c r="O39" s="11"/>
      <c r="P39" s="6"/>
      <c r="Q39" s="2"/>
      <c r="R39" s="7">
        <f t="shared" si="24"/>
        <v>0</v>
      </c>
      <c r="S39" s="2"/>
      <c r="T39" s="6">
        <v>34370.790999999997</v>
      </c>
      <c r="U39" s="2"/>
      <c r="V39" s="7">
        <f t="shared" si="25"/>
        <v>0.10222191787340476</v>
      </c>
      <c r="W39" s="2"/>
      <c r="X39" s="6">
        <f t="shared" si="26"/>
        <v>-34370.790999999997</v>
      </c>
      <c r="Y39" s="2"/>
      <c r="Z39" s="7">
        <f t="shared" si="27"/>
        <v>-1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6">
        <v>5566.66</v>
      </c>
      <c r="E40" s="2"/>
      <c r="F40" s="7">
        <f t="shared" si="20"/>
        <v>0.1402474572769622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5566.66</v>
      </c>
      <c r="M40" s="2"/>
      <c r="N40" s="7">
        <f t="shared" si="23"/>
        <v>0</v>
      </c>
      <c r="O40" s="11"/>
      <c r="P40" s="6">
        <v>34374.129999999997</v>
      </c>
      <c r="Q40" s="2"/>
      <c r="R40" s="7">
        <f t="shared" si="24"/>
        <v>0.10182716174019574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34374.129999999997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>
        <v>1344.15</v>
      </c>
      <c r="I42" s="2"/>
      <c r="J42" s="7">
        <f t="shared" si="21"/>
        <v>3.1436222461293795E-2</v>
      </c>
      <c r="K42" s="2"/>
      <c r="L42" s="6">
        <f t="shared" si="22"/>
        <v>-1344.15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10645.05</v>
      </c>
      <c r="U42" s="2"/>
      <c r="V42" s="7">
        <f t="shared" si="25"/>
        <v>3.1659365269140517E-2</v>
      </c>
      <c r="W42" s="2"/>
      <c r="X42" s="6">
        <f t="shared" si="26"/>
        <v>-10645.05</v>
      </c>
      <c r="Y42" s="2"/>
      <c r="Z42" s="7">
        <f t="shared" si="27"/>
        <v>-1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6">
        <v>86.52</v>
      </c>
      <c r="E43" s="2"/>
      <c r="F43" s="7">
        <f t="shared" si="20"/>
        <v>2.1798008147799162E-3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86.52</v>
      </c>
      <c r="M43" s="2"/>
      <c r="N43" s="7">
        <f t="shared" si="23"/>
        <v>0</v>
      </c>
      <c r="O43" s="11"/>
      <c r="P43" s="6">
        <v>856.2</v>
      </c>
      <c r="Q43" s="2"/>
      <c r="R43" s="7">
        <f t="shared" si="24"/>
        <v>2.5363381089777573E-3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856.2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6">
        <v>433.31</v>
      </c>
      <c r="E44" s="2"/>
      <c r="F44" s="7">
        <f t="shared" si="20"/>
        <v>1.0916891944663495E-2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433.31</v>
      </c>
      <c r="M44" s="2"/>
      <c r="N44" s="7">
        <f t="shared" si="23"/>
        <v>0</v>
      </c>
      <c r="O44" s="11"/>
      <c r="P44" s="6">
        <v>3046.5</v>
      </c>
      <c r="Q44" s="2"/>
      <c r="R44" s="7">
        <f t="shared" si="24"/>
        <v>9.0247069014257626E-3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3046.5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6">
        <v>4078.25</v>
      </c>
      <c r="E45" s="2"/>
      <c r="F45" s="7">
        <f t="shared" si="20"/>
        <v>0.10274818160975721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4078.25</v>
      </c>
      <c r="M45" s="2"/>
      <c r="N45" s="7">
        <f t="shared" si="23"/>
        <v>0</v>
      </c>
      <c r="O45" s="11"/>
      <c r="P45" s="6">
        <v>25853.510000000002</v>
      </c>
      <c r="Q45" s="2"/>
      <c r="R45" s="7">
        <f t="shared" si="24"/>
        <v>7.6586361438726394E-2</v>
      </c>
      <c r="S45" s="2"/>
      <c r="T45" s="6">
        <v>2868.75</v>
      </c>
      <c r="U45" s="2"/>
      <c r="V45" s="7">
        <f t="shared" si="25"/>
        <v>8.531928371951927E-3</v>
      </c>
      <c r="W45" s="2"/>
      <c r="X45" s="6">
        <f t="shared" si="26"/>
        <v>22984.760000000002</v>
      </c>
      <c r="Y45" s="2"/>
      <c r="Z45" s="7">
        <f t="shared" si="27"/>
        <v>8.0121167755991287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6"/>
      <c r="E46" s="2"/>
      <c r="F46" s="7">
        <f t="shared" si="20"/>
        <v>0</v>
      </c>
      <c r="G46" s="2"/>
      <c r="H46" s="6">
        <v>5563.5</v>
      </c>
      <c r="I46" s="2"/>
      <c r="J46" s="7">
        <f t="shared" si="21"/>
        <v>0.13011600168389542</v>
      </c>
      <c r="K46" s="2"/>
      <c r="L46" s="6">
        <f t="shared" si="22"/>
        <v>-5563.5</v>
      </c>
      <c r="M46" s="2"/>
      <c r="N46" s="7">
        <f t="shared" si="23"/>
        <v>-1</v>
      </c>
      <c r="O46" s="11"/>
      <c r="P46" s="6">
        <v>3555.48</v>
      </c>
      <c r="Q46" s="2"/>
      <c r="R46" s="7">
        <f t="shared" si="24"/>
        <v>1.0532468371534964E-2</v>
      </c>
      <c r="S46" s="2"/>
      <c r="T46" s="6">
        <v>29931.75</v>
      </c>
      <c r="U46" s="2"/>
      <c r="V46" s="7">
        <f t="shared" si="25"/>
        <v>8.9019798534961947E-2</v>
      </c>
      <c r="W46" s="2"/>
      <c r="X46" s="6">
        <f t="shared" si="26"/>
        <v>-26376.27</v>
      </c>
      <c r="Y46" s="2"/>
      <c r="Z46" s="7">
        <f t="shared" si="27"/>
        <v>-0.88121376130697338</v>
      </c>
    </row>
    <row r="47" spans="1:26" s="24" customFormat="1" hidden="1" outlineLevel="2" x14ac:dyDescent="0.25">
      <c r="A47" s="26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6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5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90</v>
      </c>
      <c r="E49" s="1"/>
      <c r="F49" s="5">
        <f t="shared" ref="F49:F68" si="28">IF(D$12=0,0,D49/D$12)</f>
        <v>2.267476575707264E-3</v>
      </c>
      <c r="G49" s="1"/>
      <c r="H49" s="1">
        <f>SUM(OSRRefH22_2x_0)</f>
        <v>0</v>
      </c>
      <c r="I49" s="1"/>
      <c r="J49" s="5">
        <f t="shared" ref="J49:J68" si="29">IF(H$12=0,0,H49/H$12)</f>
        <v>0</v>
      </c>
      <c r="K49" s="1"/>
      <c r="L49" s="1">
        <f t="shared" ref="L49:L68" si="30">+D49-H49</f>
        <v>90</v>
      </c>
      <c r="M49" s="1"/>
      <c r="N49" s="5">
        <f t="shared" ref="N49:N68" si="31">IF(H49=0,0,L49/H49)</f>
        <v>0</v>
      </c>
      <c r="O49" s="13"/>
      <c r="P49" s="1">
        <f>SUM(OSRRefP22_2x_0)</f>
        <v>710.2</v>
      </c>
      <c r="Q49" s="1"/>
      <c r="R49" s="5">
        <f t="shared" ref="R49:R68" si="32">IF(P$12=0,0,P49/P$12)</f>
        <v>2.1038394358747995E-3</v>
      </c>
      <c r="S49" s="1"/>
      <c r="T49" s="1">
        <f>SUM(OSRRefT22_2x_0)</f>
        <v>0</v>
      </c>
      <c r="U49" s="1"/>
      <c r="V49" s="5">
        <f t="shared" ref="V49:V68" si="33">IF(T$12=0,0,T49/T$12)</f>
        <v>0</v>
      </c>
      <c r="W49" s="1"/>
      <c r="X49" s="1">
        <f t="shared" ref="X49:X68" si="34">+P49-T49</f>
        <v>710.2</v>
      </c>
      <c r="Y49" s="1"/>
      <c r="Z49" s="5">
        <f t="shared" ref="Z49:Z68" si="35">IF(T49=0,0,X49/T49)</f>
        <v>0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6">
        <v>90</v>
      </c>
      <c r="E50" s="2"/>
      <c r="F50" s="7">
        <f t="shared" si="28"/>
        <v>2.267476575707264E-3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90</v>
      </c>
      <c r="M50" s="2"/>
      <c r="N50" s="7">
        <f t="shared" si="31"/>
        <v>0</v>
      </c>
      <c r="O50" s="11"/>
      <c r="P50" s="6">
        <v>710.2</v>
      </c>
      <c r="Q50" s="2"/>
      <c r="R50" s="7">
        <f t="shared" si="32"/>
        <v>2.1038394358747995E-3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710.2</v>
      </c>
      <c r="Y50" s="2"/>
      <c r="Z50" s="7">
        <f t="shared" si="35"/>
        <v>0</v>
      </c>
    </row>
    <row r="51" spans="1:26" s="25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-26.36</v>
      </c>
      <c r="E51" s="1"/>
      <c r="F51" s="5">
        <f t="shared" si="28"/>
        <v>-6.6411869484048311E-4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-26.36</v>
      </c>
      <c r="M51" s="1"/>
      <c r="N51" s="5">
        <f t="shared" si="31"/>
        <v>0</v>
      </c>
      <c r="O51" s="13"/>
      <c r="P51" s="1">
        <f>SUM(OSRRefP22_3x_0)</f>
        <v>-139.83000000000001</v>
      </c>
      <c r="Q51" s="1"/>
      <c r="R51" s="5">
        <f t="shared" si="32"/>
        <v>-4.1422116068483977E-4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-139.83000000000001</v>
      </c>
      <c r="Y51" s="1"/>
      <c r="Z51" s="5">
        <f t="shared" si="35"/>
        <v>0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6">
        <v>-26.36</v>
      </c>
      <c r="E52" s="2"/>
      <c r="F52" s="7">
        <f t="shared" si="28"/>
        <v>-6.6411869484048311E-4</v>
      </c>
      <c r="G52" s="2"/>
      <c r="H52" s="6">
        <v>0</v>
      </c>
      <c r="I52" s="2"/>
      <c r="J52" s="7">
        <f t="shared" si="29"/>
        <v>0</v>
      </c>
      <c r="K52" s="2"/>
      <c r="L52" s="6">
        <f t="shared" si="30"/>
        <v>-26.36</v>
      </c>
      <c r="M52" s="2"/>
      <c r="N52" s="7">
        <f t="shared" si="31"/>
        <v>0</v>
      </c>
      <c r="O52" s="11"/>
      <c r="P52" s="6">
        <v>-139.83000000000001</v>
      </c>
      <c r="Q52" s="2"/>
      <c r="R52" s="7">
        <f t="shared" si="32"/>
        <v>-4.1422116068483977E-4</v>
      </c>
      <c r="S52" s="2"/>
      <c r="T52" s="6">
        <v>0</v>
      </c>
      <c r="U52" s="2"/>
      <c r="V52" s="7">
        <f t="shared" si="33"/>
        <v>0</v>
      </c>
      <c r="W52" s="2"/>
      <c r="X52" s="6">
        <f t="shared" si="34"/>
        <v>-139.83000000000001</v>
      </c>
      <c r="Y52" s="2"/>
      <c r="Z52" s="7">
        <f t="shared" si="35"/>
        <v>0</v>
      </c>
    </row>
    <row r="53" spans="1:26" s="25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1239.5999999999999</v>
      </c>
      <c r="E53" s="1"/>
      <c r="F53" s="5">
        <f t="shared" si="28"/>
        <v>3.1230710702741381E-2</v>
      </c>
      <c r="G53" s="1"/>
      <c r="H53" s="1">
        <f>SUM(OSRRefH22_4x_0)</f>
        <v>1355</v>
      </c>
      <c r="I53" s="1"/>
      <c r="J53" s="5">
        <f t="shared" si="29"/>
        <v>3.1689976144815002E-2</v>
      </c>
      <c r="K53" s="1"/>
      <c r="L53" s="1">
        <f t="shared" si="30"/>
        <v>-115.40000000000009</v>
      </c>
      <c r="M53" s="1"/>
      <c r="N53" s="5">
        <f t="shared" si="31"/>
        <v>-8.5166051660516676E-2</v>
      </c>
      <c r="O53" s="13"/>
      <c r="P53" s="1">
        <f>SUM(OSRRefP22_4x_0)</f>
        <v>11296.57</v>
      </c>
      <c r="Q53" s="1"/>
      <c r="R53" s="5">
        <f t="shared" si="32"/>
        <v>3.3464051613799187E-2</v>
      </c>
      <c r="S53" s="1"/>
      <c r="T53" s="1">
        <f>SUM(OSRRefT22_4x_0)</f>
        <v>10656</v>
      </c>
      <c r="U53" s="1"/>
      <c r="V53" s="5">
        <f t="shared" si="33"/>
        <v>3.1691931583972023E-2</v>
      </c>
      <c r="W53" s="1"/>
      <c r="X53" s="1">
        <f t="shared" si="34"/>
        <v>640.56999999999971</v>
      </c>
      <c r="Y53" s="1"/>
      <c r="Z53" s="5">
        <f t="shared" si="35"/>
        <v>6.0113551051051026E-2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6">
        <v>1239.5999999999999</v>
      </c>
      <c r="E54" s="2"/>
      <c r="F54" s="7">
        <f t="shared" si="28"/>
        <v>3.1230710702741381E-2</v>
      </c>
      <c r="G54" s="2"/>
      <c r="H54" s="6">
        <v>1355</v>
      </c>
      <c r="I54" s="2"/>
      <c r="J54" s="7">
        <f t="shared" si="29"/>
        <v>3.1689976144815002E-2</v>
      </c>
      <c r="K54" s="2"/>
      <c r="L54" s="6">
        <f t="shared" si="30"/>
        <v>-115.40000000000009</v>
      </c>
      <c r="M54" s="2"/>
      <c r="N54" s="7">
        <f t="shared" si="31"/>
        <v>-8.5166051660516676E-2</v>
      </c>
      <c r="O54" s="11"/>
      <c r="P54" s="6">
        <v>11296.57</v>
      </c>
      <c r="Q54" s="2"/>
      <c r="R54" s="7">
        <f t="shared" si="32"/>
        <v>3.3464051613799187E-2</v>
      </c>
      <c r="S54" s="2"/>
      <c r="T54" s="6">
        <v>10656</v>
      </c>
      <c r="U54" s="2"/>
      <c r="V54" s="7">
        <f t="shared" si="33"/>
        <v>3.1691931583972023E-2</v>
      </c>
      <c r="W54" s="2"/>
      <c r="X54" s="6">
        <f t="shared" si="34"/>
        <v>640.56999999999971</v>
      </c>
      <c r="Y54" s="2"/>
      <c r="Z54" s="7">
        <f t="shared" si="35"/>
        <v>6.0113551051051026E-2</v>
      </c>
    </row>
    <row r="55" spans="1:26" s="25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0</v>
      </c>
      <c r="E55" s="1"/>
      <c r="F55" s="5">
        <f t="shared" si="28"/>
        <v>0</v>
      </c>
      <c r="G55" s="1"/>
      <c r="H55" s="1">
        <f>SUM(OSRRefH22_5x_0)</f>
        <v>65</v>
      </c>
      <c r="I55" s="1"/>
      <c r="J55" s="5">
        <f t="shared" si="29"/>
        <v>1.5201833575003508E-3</v>
      </c>
      <c r="K55" s="1"/>
      <c r="L55" s="1">
        <f t="shared" si="30"/>
        <v>-65</v>
      </c>
      <c r="M55" s="1"/>
      <c r="N55" s="5">
        <f t="shared" si="31"/>
        <v>-1</v>
      </c>
      <c r="O55" s="13"/>
      <c r="P55" s="1">
        <f>SUM(OSRRefP22_5x_0)</f>
        <v>0</v>
      </c>
      <c r="Q55" s="1"/>
      <c r="R55" s="5">
        <f t="shared" si="32"/>
        <v>0</v>
      </c>
      <c r="S55" s="1"/>
      <c r="T55" s="1">
        <f>SUM(OSRRefT22_5x_0)</f>
        <v>195</v>
      </c>
      <c r="U55" s="1"/>
      <c r="V55" s="5">
        <f t="shared" si="33"/>
        <v>5.7994807234183028E-4</v>
      </c>
      <c r="W55" s="1"/>
      <c r="X55" s="1">
        <f t="shared" si="34"/>
        <v>-195</v>
      </c>
      <c r="Y55" s="1"/>
      <c r="Z55" s="5">
        <f t="shared" si="35"/>
        <v>-1</v>
      </c>
    </row>
    <row r="56" spans="1:26" s="24" customFormat="1" hidden="1" outlineLevel="2" x14ac:dyDescent="0.25">
      <c r="A56" s="26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65</v>
      </c>
      <c r="I56" s="2"/>
      <c r="J56" s="7">
        <f t="shared" si="29"/>
        <v>1.5201833575003508E-3</v>
      </c>
      <c r="K56" s="2"/>
      <c r="L56" s="6">
        <f t="shared" si="30"/>
        <v>-65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195</v>
      </c>
      <c r="U56" s="2"/>
      <c r="V56" s="7">
        <f t="shared" si="33"/>
        <v>5.7994807234183028E-4</v>
      </c>
      <c r="W56" s="2"/>
      <c r="X56" s="6">
        <f t="shared" si="34"/>
        <v>-195</v>
      </c>
      <c r="Y56" s="2"/>
      <c r="Z56" s="7">
        <f t="shared" si="35"/>
        <v>-1</v>
      </c>
    </row>
    <row r="57" spans="1:26" s="25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16.62</v>
      </c>
      <c r="E57" s="1"/>
      <c r="F57" s="5">
        <f t="shared" si="28"/>
        <v>4.1872734098060809E-4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16.62</v>
      </c>
      <c r="M57" s="1"/>
      <c r="N57" s="5">
        <f t="shared" si="31"/>
        <v>0</v>
      </c>
      <c r="O57" s="13"/>
      <c r="P57" s="1">
        <f>SUM(OSRRefP22_6x_0)</f>
        <v>76.37</v>
      </c>
      <c r="Q57" s="1"/>
      <c r="R57" s="5">
        <f t="shared" si="32"/>
        <v>2.2623235386899244E-4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76.37</v>
      </c>
      <c r="Y57" s="1"/>
      <c r="Z57" s="5">
        <f t="shared" si="35"/>
        <v>0</v>
      </c>
    </row>
    <row r="58" spans="1:26" s="24" customFormat="1" hidden="1" outlineLevel="2" x14ac:dyDescent="0.25">
      <c r="A58" s="26"/>
      <c r="B58" s="11" t="str">
        <f>CONCATENATE("          ", "6382", " - ", "DISCOUNTS/MARK DOWNS")</f>
        <v xml:space="preserve">          6382 - DISCOUNTS/MARK DOWNS</v>
      </c>
      <c r="C58" s="11"/>
      <c r="D58" s="6">
        <v>16.62</v>
      </c>
      <c r="E58" s="2"/>
      <c r="F58" s="7">
        <f t="shared" si="28"/>
        <v>4.1872734098060809E-4</v>
      </c>
      <c r="G58" s="2"/>
      <c r="H58" s="6"/>
      <c r="I58" s="2"/>
      <c r="J58" s="7">
        <f t="shared" si="29"/>
        <v>0</v>
      </c>
      <c r="K58" s="2"/>
      <c r="L58" s="6">
        <f t="shared" si="30"/>
        <v>16.62</v>
      </c>
      <c r="M58" s="2"/>
      <c r="N58" s="7">
        <f t="shared" si="31"/>
        <v>0</v>
      </c>
      <c r="O58" s="11"/>
      <c r="P58" s="6">
        <v>76.37</v>
      </c>
      <c r="Q58" s="2"/>
      <c r="R58" s="7">
        <f t="shared" si="32"/>
        <v>2.2623235386899244E-4</v>
      </c>
      <c r="S58" s="2"/>
      <c r="T58" s="6"/>
      <c r="U58" s="2"/>
      <c r="V58" s="7">
        <f t="shared" si="33"/>
        <v>0</v>
      </c>
      <c r="W58" s="2"/>
      <c r="X58" s="6">
        <f t="shared" si="34"/>
        <v>76.37</v>
      </c>
      <c r="Y58" s="2"/>
      <c r="Z58" s="7">
        <f t="shared" si="35"/>
        <v>0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28"/>
        <v>0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SUM(OSRRefP22_7x_0)</f>
        <v>0</v>
      </c>
      <c r="Q59" s="1"/>
      <c r="R59" s="5">
        <f t="shared" si="32"/>
        <v>0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0</v>
      </c>
      <c r="Y59" s="1"/>
      <c r="Z59" s="5">
        <f t="shared" si="35"/>
        <v>0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8"/>
        <v>0</v>
      </c>
      <c r="G60" s="2"/>
      <c r="H60" s="6">
        <v>0</v>
      </c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5" customFormat="1" outlineLevel="1" collapsed="1" x14ac:dyDescent="0.25">
      <c r="A61" s="27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SUM(OSRRefD22_8x_0)</f>
        <v>37.380000000000003</v>
      </c>
      <c r="E61" s="1"/>
      <c r="F61" s="5">
        <f t="shared" si="28"/>
        <v>9.4175860444375037E-4</v>
      </c>
      <c r="G61" s="1"/>
      <c r="H61" s="1">
        <f>SUM(OSRRefH22_8x_0)</f>
        <v>0</v>
      </c>
      <c r="I61" s="1"/>
      <c r="J61" s="5">
        <f t="shared" si="29"/>
        <v>0</v>
      </c>
      <c r="K61" s="1"/>
      <c r="L61" s="1">
        <f t="shared" si="30"/>
        <v>37.380000000000003</v>
      </c>
      <c r="M61" s="1"/>
      <c r="N61" s="5">
        <f t="shared" si="31"/>
        <v>0</v>
      </c>
      <c r="O61" s="13"/>
      <c r="P61" s="1">
        <f>SUM(OSRRefP22_8x_0)</f>
        <v>225.99</v>
      </c>
      <c r="Q61" s="1"/>
      <c r="R61" s="5">
        <f t="shared" si="32"/>
        <v>6.694546242091607E-4</v>
      </c>
      <c r="S61" s="1"/>
      <c r="T61" s="1">
        <f>SUM(OSRRefT22_8x_0)</f>
        <v>0</v>
      </c>
      <c r="U61" s="1"/>
      <c r="V61" s="5">
        <f t="shared" si="33"/>
        <v>0</v>
      </c>
      <c r="W61" s="1"/>
      <c r="X61" s="1">
        <f t="shared" si="34"/>
        <v>225.99</v>
      </c>
      <c r="Y61" s="1"/>
      <c r="Z61" s="5">
        <f t="shared" si="35"/>
        <v>0</v>
      </c>
    </row>
    <row r="62" spans="1:26" s="24" customFormat="1" hidden="1" outlineLevel="2" x14ac:dyDescent="0.25">
      <c r="A62" s="26"/>
      <c r="B62" s="11" t="str">
        <f>CONCATENATE("          ", "6305", " - ", "FREIGHT OUT")</f>
        <v xml:space="preserve">          6305 - FREIGHT OUT</v>
      </c>
      <c r="C62" s="11"/>
      <c r="D62" s="6">
        <v>37.380000000000003</v>
      </c>
      <c r="E62" s="2"/>
      <c r="F62" s="7">
        <f t="shared" si="28"/>
        <v>9.4175860444375037E-4</v>
      </c>
      <c r="G62" s="2"/>
      <c r="H62" s="6"/>
      <c r="I62" s="2"/>
      <c r="J62" s="7">
        <f t="shared" si="29"/>
        <v>0</v>
      </c>
      <c r="K62" s="2"/>
      <c r="L62" s="6">
        <f t="shared" si="30"/>
        <v>37.380000000000003</v>
      </c>
      <c r="M62" s="2"/>
      <c r="N62" s="7">
        <f t="shared" si="31"/>
        <v>0</v>
      </c>
      <c r="O62" s="11"/>
      <c r="P62" s="6">
        <v>225.99</v>
      </c>
      <c r="Q62" s="2"/>
      <c r="R62" s="7">
        <f t="shared" si="32"/>
        <v>6.694546242091607E-4</v>
      </c>
      <c r="S62" s="2"/>
      <c r="T62" s="6"/>
      <c r="U62" s="2"/>
      <c r="V62" s="7">
        <f t="shared" si="33"/>
        <v>0</v>
      </c>
      <c r="W62" s="2"/>
      <c r="X62" s="6">
        <f t="shared" si="34"/>
        <v>225.99</v>
      </c>
      <c r="Y62" s="2"/>
      <c r="Z62" s="7">
        <f t="shared" si="35"/>
        <v>0</v>
      </c>
    </row>
    <row r="63" spans="1:26" s="25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170.45</v>
      </c>
      <c r="E63" s="1"/>
      <c r="F63" s="5">
        <f t="shared" si="28"/>
        <v>4.2943486925478124E-3</v>
      </c>
      <c r="G63" s="1"/>
      <c r="H63" s="1">
        <f>SUM(OSRRefH22_9x_0)</f>
        <v>127</v>
      </c>
      <c r="I63" s="1"/>
      <c r="J63" s="5">
        <f t="shared" si="29"/>
        <v>2.970204406192993E-3</v>
      </c>
      <c r="K63" s="1"/>
      <c r="L63" s="1">
        <f t="shared" si="30"/>
        <v>43.449999999999989</v>
      </c>
      <c r="M63" s="1"/>
      <c r="N63" s="5">
        <f t="shared" si="31"/>
        <v>0.34212598425196844</v>
      </c>
      <c r="O63" s="13"/>
      <c r="P63" s="1">
        <f>SUM(OSRRefP22_9x_0)</f>
        <v>1122.1500000000001</v>
      </c>
      <c r="Q63" s="1"/>
      <c r="R63" s="5">
        <f t="shared" si="32"/>
        <v>3.3241670275512619E-3</v>
      </c>
      <c r="S63" s="1"/>
      <c r="T63" s="1">
        <f>SUM(OSRRefT22_9x_0)</f>
        <v>999</v>
      </c>
      <c r="U63" s="1"/>
      <c r="V63" s="5">
        <f t="shared" si="33"/>
        <v>2.9711185859973769E-3</v>
      </c>
      <c r="W63" s="1"/>
      <c r="X63" s="1">
        <f t="shared" si="34"/>
        <v>123.15000000000009</v>
      </c>
      <c r="Y63" s="1"/>
      <c r="Z63" s="5">
        <f t="shared" si="35"/>
        <v>0.12327327327327336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6">
        <v>170.45</v>
      </c>
      <c r="E64" s="2"/>
      <c r="F64" s="7">
        <f t="shared" si="28"/>
        <v>4.2943486925478124E-3</v>
      </c>
      <c r="G64" s="2"/>
      <c r="H64" s="6">
        <v>127</v>
      </c>
      <c r="I64" s="2"/>
      <c r="J64" s="7">
        <f t="shared" si="29"/>
        <v>2.970204406192993E-3</v>
      </c>
      <c r="K64" s="2"/>
      <c r="L64" s="6">
        <f t="shared" si="30"/>
        <v>43.449999999999989</v>
      </c>
      <c r="M64" s="2"/>
      <c r="N64" s="7">
        <f t="shared" si="31"/>
        <v>0.34212598425196844</v>
      </c>
      <c r="O64" s="11"/>
      <c r="P64" s="6">
        <v>1122.1500000000001</v>
      </c>
      <c r="Q64" s="2"/>
      <c r="R64" s="7">
        <f t="shared" si="32"/>
        <v>3.3241670275512619E-3</v>
      </c>
      <c r="S64" s="2"/>
      <c r="T64" s="6">
        <v>999</v>
      </c>
      <c r="U64" s="2"/>
      <c r="V64" s="7">
        <f t="shared" si="33"/>
        <v>2.9711185859973769E-3</v>
      </c>
      <c r="W64" s="2"/>
      <c r="X64" s="6">
        <f t="shared" si="34"/>
        <v>123.15000000000009</v>
      </c>
      <c r="Y64" s="2"/>
      <c r="Z64" s="7">
        <f t="shared" si="35"/>
        <v>0.12327327327327336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SUM(OSRRefD22_10x_0)</f>
        <v>23.78</v>
      </c>
      <c r="E65" s="1"/>
      <c r="F65" s="5">
        <f t="shared" si="28"/>
        <v>5.9911769967020819E-4</v>
      </c>
      <c r="G65" s="1"/>
      <c r="H65" s="1">
        <f>SUM(OSRRefH22_10x_0)</f>
        <v>42</v>
      </c>
      <c r="I65" s="1"/>
      <c r="J65" s="5">
        <f t="shared" si="29"/>
        <v>9.8227232330791903E-4</v>
      </c>
      <c r="K65" s="1"/>
      <c r="L65" s="1">
        <f t="shared" si="30"/>
        <v>-18.22</v>
      </c>
      <c r="M65" s="1"/>
      <c r="N65" s="5">
        <f t="shared" si="31"/>
        <v>-0.43380952380952376</v>
      </c>
      <c r="O65" s="13"/>
      <c r="P65" s="1">
        <f>SUM(OSRRefP22_10x_0)</f>
        <v>1064.5</v>
      </c>
      <c r="Q65" s="1"/>
      <c r="R65" s="5">
        <f t="shared" si="32"/>
        <v>3.1533892980691691E-3</v>
      </c>
      <c r="S65" s="1"/>
      <c r="T65" s="1">
        <f>SUM(OSRRefT22_10x_0)</f>
        <v>332</v>
      </c>
      <c r="U65" s="1"/>
      <c r="V65" s="5">
        <f t="shared" si="33"/>
        <v>9.8739876932044958E-4</v>
      </c>
      <c r="W65" s="1"/>
      <c r="X65" s="1">
        <f t="shared" si="34"/>
        <v>732.5</v>
      </c>
      <c r="Y65" s="1"/>
      <c r="Z65" s="5">
        <f t="shared" si="35"/>
        <v>2.2063253012048194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437.31</v>
      </c>
      <c r="Q66" s="2"/>
      <c r="R66" s="7">
        <f t="shared" si="32"/>
        <v>1.2954520187305105E-3</v>
      </c>
      <c r="S66" s="2"/>
      <c r="T66" s="6">
        <v>0</v>
      </c>
      <c r="U66" s="2"/>
      <c r="V66" s="7">
        <f t="shared" si="33"/>
        <v>0</v>
      </c>
      <c r="W66" s="2"/>
      <c r="X66" s="6">
        <f t="shared" si="34"/>
        <v>437.31</v>
      </c>
      <c r="Y66" s="2"/>
      <c r="Z66" s="7">
        <f t="shared" si="35"/>
        <v>0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23.78</v>
      </c>
      <c r="E67" s="2"/>
      <c r="F67" s="7">
        <f t="shared" si="28"/>
        <v>5.9911769967020819E-4</v>
      </c>
      <c r="G67" s="2"/>
      <c r="H67" s="6"/>
      <c r="I67" s="2"/>
      <c r="J67" s="7">
        <f t="shared" si="29"/>
        <v>0</v>
      </c>
      <c r="K67" s="2"/>
      <c r="L67" s="6">
        <f t="shared" si="30"/>
        <v>23.78</v>
      </c>
      <c r="M67" s="2"/>
      <c r="N67" s="7">
        <f t="shared" si="31"/>
        <v>0</v>
      </c>
      <c r="O67" s="11"/>
      <c r="P67" s="6">
        <v>46.61</v>
      </c>
      <c r="Q67" s="2"/>
      <c r="R67" s="7">
        <f t="shared" si="32"/>
        <v>1.3807372022827991E-4</v>
      </c>
      <c r="S67" s="2"/>
      <c r="T67" s="6"/>
      <c r="U67" s="2"/>
      <c r="V67" s="7">
        <f t="shared" si="33"/>
        <v>0</v>
      </c>
      <c r="W67" s="2"/>
      <c r="X67" s="6">
        <f t="shared" si="34"/>
        <v>46.61</v>
      </c>
      <c r="Y67" s="2"/>
      <c r="Z67" s="7">
        <f t="shared" si="35"/>
        <v>0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42</v>
      </c>
      <c r="I68" s="2"/>
      <c r="J68" s="7">
        <f t="shared" si="29"/>
        <v>9.8227232330791903E-4</v>
      </c>
      <c r="K68" s="2"/>
      <c r="L68" s="6">
        <f t="shared" si="30"/>
        <v>-42</v>
      </c>
      <c r="M68" s="2"/>
      <c r="N68" s="7">
        <f t="shared" si="31"/>
        <v>-1</v>
      </c>
      <c r="O68" s="11"/>
      <c r="P68" s="6">
        <v>580.58000000000004</v>
      </c>
      <c r="Q68" s="2"/>
      <c r="R68" s="7">
        <f t="shared" si="32"/>
        <v>1.7198635591103789E-3</v>
      </c>
      <c r="S68" s="2"/>
      <c r="T68" s="6">
        <v>332</v>
      </c>
      <c r="U68" s="2"/>
      <c r="V68" s="7">
        <f t="shared" si="33"/>
        <v>9.8739876932044958E-4</v>
      </c>
      <c r="W68" s="2"/>
      <c r="X68" s="6">
        <f t="shared" si="34"/>
        <v>248.58000000000004</v>
      </c>
      <c r="Y68" s="2"/>
      <c r="Z68" s="7">
        <f t="shared" si="35"/>
        <v>0.74873493975903627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103.35</v>
      </c>
      <c r="E69" s="1"/>
      <c r="F69" s="5">
        <f t="shared" ref="F69:F76" si="36">IF(D$12=0,0,D69/D$12)</f>
        <v>2.6038189344371747E-3</v>
      </c>
      <c r="G69" s="1"/>
      <c r="H69" s="1">
        <f>SUM(OSRRefH22_11x_0)</f>
        <v>0</v>
      </c>
      <c r="I69" s="1"/>
      <c r="J69" s="5">
        <f t="shared" ref="J69:J76" si="37">IF(H$12=0,0,H69/H$12)</f>
        <v>0</v>
      </c>
      <c r="K69" s="1"/>
      <c r="L69" s="1">
        <f t="shared" ref="L69:L76" si="38">+D69-H69</f>
        <v>103.35</v>
      </c>
      <c r="M69" s="1"/>
      <c r="N69" s="5">
        <f t="shared" ref="N69:N76" si="39">IF(H69=0,0,L69/H69)</f>
        <v>0</v>
      </c>
      <c r="O69" s="13"/>
      <c r="P69" s="1">
        <f>SUM(OSRRefP22_11x_0)</f>
        <v>835.81</v>
      </c>
      <c r="Q69" s="1"/>
      <c r="R69" s="5">
        <f t="shared" ref="R69:R76" si="40">IF(P$12=0,0,P69/P$12)</f>
        <v>2.4759364107272822E-3</v>
      </c>
      <c r="S69" s="1"/>
      <c r="T69" s="1">
        <f>SUM(OSRRefT22_11x_0)</f>
        <v>0</v>
      </c>
      <c r="U69" s="1"/>
      <c r="V69" s="5">
        <f t="shared" ref="V69:V76" si="41">IF(T$12=0,0,T69/T$12)</f>
        <v>0</v>
      </c>
      <c r="W69" s="1"/>
      <c r="X69" s="1">
        <f t="shared" ref="X69:X76" si="42">+P69-T69</f>
        <v>835.81</v>
      </c>
      <c r="Y69" s="1"/>
      <c r="Z69" s="5">
        <f t="shared" ref="Z69:Z76" si="43">IF(T69=0,0,X69/T69)</f>
        <v>0</v>
      </c>
    </row>
    <row r="70" spans="1:26" s="24" customFormat="1" hidden="1" outlineLevel="2" x14ac:dyDescent="0.25">
      <c r="A70" s="26"/>
      <c r="B70" s="11" t="str">
        <f>CONCATENATE("          ", "6286", " - ", "LAUNDRY EXPENSE")</f>
        <v xml:space="preserve">          6286 - LAUNDRY EXPENSE</v>
      </c>
      <c r="C70" s="11"/>
      <c r="D70" s="6">
        <v>103.35</v>
      </c>
      <c r="E70" s="2"/>
      <c r="F70" s="7">
        <f t="shared" si="36"/>
        <v>2.6038189344371747E-3</v>
      </c>
      <c r="G70" s="2"/>
      <c r="H70" s="6"/>
      <c r="I70" s="2"/>
      <c r="J70" s="7">
        <f t="shared" si="37"/>
        <v>0</v>
      </c>
      <c r="K70" s="2"/>
      <c r="L70" s="6">
        <f t="shared" si="38"/>
        <v>103.35</v>
      </c>
      <c r="M70" s="2"/>
      <c r="N70" s="7">
        <f t="shared" si="39"/>
        <v>0</v>
      </c>
      <c r="O70" s="11"/>
      <c r="P70" s="6">
        <v>835.81</v>
      </c>
      <c r="Q70" s="2"/>
      <c r="R70" s="7">
        <f t="shared" si="40"/>
        <v>2.4759364107272822E-3</v>
      </c>
      <c r="S70" s="2"/>
      <c r="T70" s="6"/>
      <c r="U70" s="2"/>
      <c r="V70" s="7">
        <f t="shared" si="41"/>
        <v>0</v>
      </c>
      <c r="W70" s="2"/>
      <c r="X70" s="6">
        <f t="shared" si="42"/>
        <v>835.81</v>
      </c>
      <c r="Y70" s="2"/>
      <c r="Z70" s="7">
        <f t="shared" si="43"/>
        <v>0</v>
      </c>
    </row>
    <row r="71" spans="1:26" s="25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196.23</v>
      </c>
      <c r="E71" s="1"/>
      <c r="F71" s="5">
        <f t="shared" si="36"/>
        <v>4.9438547605670704E-3</v>
      </c>
      <c r="G71" s="1"/>
      <c r="H71" s="1">
        <f>SUM(OSRRefH22_12x_0)</f>
        <v>212</v>
      </c>
      <c r="I71" s="1"/>
      <c r="J71" s="5">
        <f t="shared" si="37"/>
        <v>4.9581364890780672E-3</v>
      </c>
      <c r="K71" s="1"/>
      <c r="L71" s="1">
        <f t="shared" si="38"/>
        <v>-15.77000000000001</v>
      </c>
      <c r="M71" s="1"/>
      <c r="N71" s="5">
        <f t="shared" si="39"/>
        <v>-7.4386792452830239E-2</v>
      </c>
      <c r="O71" s="13"/>
      <c r="P71" s="1">
        <f>SUM(OSRRefP22_12x_0)</f>
        <v>3508.58</v>
      </c>
      <c r="Q71" s="1"/>
      <c r="R71" s="5">
        <f t="shared" si="40"/>
        <v>1.0393535578599835E-2</v>
      </c>
      <c r="S71" s="1"/>
      <c r="T71" s="1">
        <f>SUM(OSRRefT22_12x_0)</f>
        <v>1665</v>
      </c>
      <c r="U71" s="1"/>
      <c r="V71" s="5">
        <f t="shared" si="41"/>
        <v>4.9518643099956284E-3</v>
      </c>
      <c r="W71" s="1"/>
      <c r="X71" s="1">
        <f t="shared" si="42"/>
        <v>1843.58</v>
      </c>
      <c r="Y71" s="1"/>
      <c r="Z71" s="5">
        <f t="shared" si="43"/>
        <v>1.1072552552552553</v>
      </c>
    </row>
    <row r="72" spans="1:26" s="24" customFormat="1" hidden="1" outlineLevel="2" x14ac:dyDescent="0.25">
      <c r="A72" s="26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>
        <v>354.82</v>
      </c>
      <c r="Q72" s="2"/>
      <c r="R72" s="7">
        <f t="shared" si="40"/>
        <v>1.0510902684273391E-3</v>
      </c>
      <c r="S72" s="2"/>
      <c r="T72" s="6"/>
      <c r="U72" s="2"/>
      <c r="V72" s="7">
        <f t="shared" si="41"/>
        <v>0</v>
      </c>
      <c r="W72" s="2"/>
      <c r="X72" s="6">
        <f t="shared" si="42"/>
        <v>354.82</v>
      </c>
      <c r="Y72" s="2"/>
      <c r="Z72" s="7">
        <f t="shared" si="43"/>
        <v>0</v>
      </c>
    </row>
    <row r="73" spans="1:26" s="24" customFormat="1" hidden="1" outlineLevel="2" x14ac:dyDescent="0.25">
      <c r="A73" s="26"/>
      <c r="B73" s="11" t="str">
        <f>CONCATENATE("          ", "6237", " - ", "JANITORIAL SUPPLIES")</f>
        <v xml:space="preserve">          6237 - JANITORIAL SUPPLIES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151.25</v>
      </c>
      <c r="Q73" s="2"/>
      <c r="R73" s="7">
        <f t="shared" si="40"/>
        <v>4.4805085141659166E-4</v>
      </c>
      <c r="S73" s="2"/>
      <c r="T73" s="6"/>
      <c r="U73" s="2"/>
      <c r="V73" s="7">
        <f t="shared" si="41"/>
        <v>0</v>
      </c>
      <c r="W73" s="2"/>
      <c r="X73" s="6">
        <f t="shared" si="42"/>
        <v>151.25</v>
      </c>
      <c r="Y73" s="2"/>
      <c r="Z73" s="7">
        <f t="shared" si="43"/>
        <v>0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328.56</v>
      </c>
      <c r="Q74" s="2"/>
      <c r="R74" s="7">
        <f t="shared" si="40"/>
        <v>9.7329975366238256E-4</v>
      </c>
      <c r="S74" s="2"/>
      <c r="T74" s="6"/>
      <c r="U74" s="2"/>
      <c r="V74" s="7">
        <f t="shared" si="41"/>
        <v>0</v>
      </c>
      <c r="W74" s="2"/>
      <c r="X74" s="6">
        <f t="shared" si="42"/>
        <v>328.56</v>
      </c>
      <c r="Y74" s="2"/>
      <c r="Z74" s="7">
        <f t="shared" si="43"/>
        <v>0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36"/>
        <v>0</v>
      </c>
      <c r="G75" s="2"/>
      <c r="H75" s="6"/>
      <c r="I75" s="2"/>
      <c r="J75" s="7">
        <f t="shared" si="37"/>
        <v>0</v>
      </c>
      <c r="K75" s="2"/>
      <c r="L75" s="6">
        <f t="shared" si="38"/>
        <v>0</v>
      </c>
      <c r="M75" s="2"/>
      <c r="N75" s="7">
        <f t="shared" si="39"/>
        <v>0</v>
      </c>
      <c r="O75" s="11"/>
      <c r="P75" s="6">
        <v>81.739999999999995</v>
      </c>
      <c r="Q75" s="2"/>
      <c r="R75" s="7">
        <f t="shared" si="40"/>
        <v>2.4214001054408067E-4</v>
      </c>
      <c r="S75" s="2"/>
      <c r="T75" s="6"/>
      <c r="U75" s="2"/>
      <c r="V75" s="7">
        <f t="shared" si="41"/>
        <v>0</v>
      </c>
      <c r="W75" s="2"/>
      <c r="X75" s="6">
        <f t="shared" si="42"/>
        <v>81.739999999999995</v>
      </c>
      <c r="Y75" s="2"/>
      <c r="Z75" s="7">
        <f t="shared" si="43"/>
        <v>0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>
        <v>196.23</v>
      </c>
      <c r="E76" s="2"/>
      <c r="F76" s="7">
        <f t="shared" si="36"/>
        <v>4.9438547605670704E-3</v>
      </c>
      <c r="G76" s="2"/>
      <c r="H76" s="6">
        <v>212</v>
      </c>
      <c r="I76" s="2"/>
      <c r="J76" s="7">
        <f t="shared" si="37"/>
        <v>4.9581364890780672E-3</v>
      </c>
      <c r="K76" s="2"/>
      <c r="L76" s="6">
        <f t="shared" si="38"/>
        <v>-15.77000000000001</v>
      </c>
      <c r="M76" s="2"/>
      <c r="N76" s="7">
        <f t="shared" si="39"/>
        <v>-7.4386792452830239E-2</v>
      </c>
      <c r="O76" s="11"/>
      <c r="P76" s="6">
        <v>2592.21</v>
      </c>
      <c r="Q76" s="2"/>
      <c r="R76" s="7">
        <f t="shared" si="40"/>
        <v>7.6789546945494423E-3</v>
      </c>
      <c r="S76" s="2"/>
      <c r="T76" s="6">
        <v>1665</v>
      </c>
      <c r="U76" s="2"/>
      <c r="V76" s="7">
        <f t="shared" si="41"/>
        <v>4.9518643099956284E-3</v>
      </c>
      <c r="W76" s="2"/>
      <c r="X76" s="6">
        <f t="shared" si="42"/>
        <v>927.21</v>
      </c>
      <c r="Y76" s="2"/>
      <c r="Z76" s="7">
        <f t="shared" si="43"/>
        <v>0.5568828828828829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131</v>
      </c>
      <c r="E77" s="1"/>
      <c r="F77" s="5">
        <f t="shared" ref="F77:F80" si="44">IF(D$12=0,0,D77/D$12)</f>
        <v>3.3004381268627952E-3</v>
      </c>
      <c r="G77" s="1"/>
      <c r="H77" s="1">
        <f>SUM(OSRRefH22_13x_0)</f>
        <v>75</v>
      </c>
      <c r="I77" s="1"/>
      <c r="J77" s="5">
        <f t="shared" ref="J77:J80" si="45">IF(H$12=0,0,H77/H$12)</f>
        <v>1.7540577201927124E-3</v>
      </c>
      <c r="K77" s="1"/>
      <c r="L77" s="1">
        <f t="shared" ref="L77:L80" si="46">+D77-H77</f>
        <v>56</v>
      </c>
      <c r="M77" s="1"/>
      <c r="N77" s="5">
        <f t="shared" ref="N77:N80" si="47">IF(H77=0,0,L77/H77)</f>
        <v>0.7466666666666667</v>
      </c>
      <c r="O77" s="13"/>
      <c r="P77" s="1">
        <f>SUM(OSRRefP22_13x_0)</f>
        <v>705.6</v>
      </c>
      <c r="Q77" s="1"/>
      <c r="R77" s="5">
        <f t="shared" ref="R77:R80" si="48">IF(P$12=0,0,P77/P$12)</f>
        <v>2.0902127653523775E-3</v>
      </c>
      <c r="S77" s="1"/>
      <c r="T77" s="1">
        <f>SUM(OSRRefT22_13x_0)</f>
        <v>450</v>
      </c>
      <c r="U77" s="1"/>
      <c r="V77" s="5">
        <f t="shared" ref="V77:V80" si="49">IF(T$12=0,0,T77/T$12)</f>
        <v>1.3383417054042238E-3</v>
      </c>
      <c r="W77" s="1"/>
      <c r="X77" s="1">
        <f t="shared" ref="X77:X80" si="50">+P77-T77</f>
        <v>255.60000000000002</v>
      </c>
      <c r="Y77" s="1"/>
      <c r="Z77" s="5">
        <f t="shared" ref="Z77:Z80" si="51">IF(T77=0,0,X77/T77)</f>
        <v>0.56800000000000006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6">
        <v>131</v>
      </c>
      <c r="E78" s="2"/>
      <c r="F78" s="7">
        <f t="shared" si="44"/>
        <v>3.3004381268627952E-3</v>
      </c>
      <c r="G78" s="2"/>
      <c r="H78" s="6">
        <v>75</v>
      </c>
      <c r="I78" s="2"/>
      <c r="J78" s="7">
        <f t="shared" si="45"/>
        <v>1.7540577201927124E-3</v>
      </c>
      <c r="K78" s="2"/>
      <c r="L78" s="6">
        <f t="shared" si="46"/>
        <v>56</v>
      </c>
      <c r="M78" s="2"/>
      <c r="N78" s="7">
        <f t="shared" si="47"/>
        <v>0.7466666666666667</v>
      </c>
      <c r="O78" s="11"/>
      <c r="P78" s="6">
        <v>705.6</v>
      </c>
      <c r="Q78" s="2"/>
      <c r="R78" s="7">
        <f t="shared" si="48"/>
        <v>2.0902127653523775E-3</v>
      </c>
      <c r="S78" s="2"/>
      <c r="T78" s="6">
        <v>450</v>
      </c>
      <c r="U78" s="2"/>
      <c r="V78" s="7">
        <f t="shared" si="49"/>
        <v>1.3383417054042238E-3</v>
      </c>
      <c r="W78" s="2"/>
      <c r="X78" s="6">
        <f t="shared" si="50"/>
        <v>255.60000000000002</v>
      </c>
      <c r="Y78" s="2"/>
      <c r="Z78" s="7">
        <f t="shared" si="51"/>
        <v>0.56800000000000006</v>
      </c>
    </row>
    <row r="79" spans="1:26" s="25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SUM(OSRRefD22_14x_0)</f>
        <v>0</v>
      </c>
      <c r="E79" s="1"/>
      <c r="F79" s="5">
        <f t="shared" si="44"/>
        <v>0</v>
      </c>
      <c r="G79" s="1"/>
      <c r="H79" s="1">
        <f>SUM(OSRRefH22_14x_0)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SUM(OSRRefP22_14x_0)</f>
        <v>96</v>
      </c>
      <c r="Q79" s="1"/>
      <c r="R79" s="5">
        <f t="shared" si="48"/>
        <v>2.8438268916358873E-4</v>
      </c>
      <c r="S79" s="1"/>
      <c r="T79" s="1">
        <f>SUM(OSRRefT22_14x_0)</f>
        <v>500</v>
      </c>
      <c r="U79" s="1"/>
      <c r="V79" s="5">
        <f t="shared" si="49"/>
        <v>1.4870463393380265E-3</v>
      </c>
      <c r="W79" s="1"/>
      <c r="X79" s="1">
        <f t="shared" si="50"/>
        <v>-404</v>
      </c>
      <c r="Y79" s="1"/>
      <c r="Z79" s="5">
        <f t="shared" si="51"/>
        <v>-0.80800000000000005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96</v>
      </c>
      <c r="Q80" s="2"/>
      <c r="R80" s="7">
        <f t="shared" si="48"/>
        <v>2.8438268916358873E-4</v>
      </c>
      <c r="S80" s="2"/>
      <c r="T80" s="6">
        <v>500</v>
      </c>
      <c r="U80" s="2"/>
      <c r="V80" s="7">
        <f t="shared" si="49"/>
        <v>1.4870463393380265E-3</v>
      </c>
      <c r="W80" s="2"/>
      <c r="X80" s="6">
        <f t="shared" si="50"/>
        <v>-404</v>
      </c>
      <c r="Y80" s="2"/>
      <c r="Z80" s="7">
        <f t="shared" si="51"/>
        <v>-0.80800000000000005</v>
      </c>
    </row>
    <row r="81" spans="1:26" s="53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2">
        <f>+D25-D27+D82</f>
        <v>5922.1599999999962</v>
      </c>
      <c r="E84" s="14"/>
      <c r="F84" s="20">
        <f>IF(D$12=0,0,D84/D$12)</f>
        <v>0.14920398975100579</v>
      </c>
      <c r="G84" s="14"/>
      <c r="H84" s="22">
        <f>+H25-H27+H82</f>
        <v>4423.0377848999997</v>
      </c>
      <c r="I84" s="14"/>
      <c r="J84" s="20">
        <f>IF(H$12=0,0,H84/H$12)</f>
        <v>0.10344351431077224</v>
      </c>
      <c r="K84" s="16"/>
      <c r="L84" s="22">
        <f>+D84-H84</f>
        <v>1499.1222150999965</v>
      </c>
      <c r="M84" s="16"/>
      <c r="N84" s="20">
        <f>IF(H84=0,0,L84/H84)</f>
        <v>0.33893497817674423</v>
      </c>
      <c r="O84" s="28"/>
      <c r="P84" s="22">
        <f>+P25-P27+P82</f>
        <v>64774.519999999975</v>
      </c>
      <c r="Q84" s="14"/>
      <c r="R84" s="20">
        <f>IF(P$12=0,0,P84/P$12)</f>
        <v>0.19188283528000682</v>
      </c>
      <c r="S84" s="14"/>
      <c r="T84" s="22">
        <f>+T25-T27+T82</f>
        <v>58619.885614600003</v>
      </c>
      <c r="U84" s="14"/>
      <c r="V84" s="20">
        <f>IF(T$12=0,0,T84/T$12)</f>
        <v>0.17434097263120954</v>
      </c>
      <c r="W84" s="16"/>
      <c r="X84" s="22">
        <f>+P84-T84</f>
        <v>6154.6343853999715</v>
      </c>
      <c r="Y84" s="16"/>
      <c r="Z84" s="20">
        <f>IF(T84=0,0,X84/T84)</f>
        <v>0.10499226194100734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>
        <v>4916.87</v>
      </c>
      <c r="E86" s="4"/>
      <c r="F86" s="12">
        <f>IF(D$12=0,0,D86/D$12)</f>
        <v>0.12387652834219749</v>
      </c>
      <c r="G86" s="4"/>
      <c r="H86" s="4">
        <v>6119</v>
      </c>
      <c r="I86" s="4"/>
      <c r="J86" s="12">
        <f>IF(H$12=0,0,H86/H$12)</f>
        <v>0.14310772253145609</v>
      </c>
      <c r="K86" s="4"/>
      <c r="L86" s="4">
        <f>+D86-H86</f>
        <v>-1202.1300000000001</v>
      </c>
      <c r="M86" s="4"/>
      <c r="N86" s="12">
        <f>IF(H86=0,0,L86/H86)</f>
        <v>-0.19645857166203629</v>
      </c>
      <c r="O86" s="10"/>
      <c r="P86" s="4">
        <v>36460.519999999997</v>
      </c>
      <c r="Q86" s="4"/>
      <c r="R86" s="12">
        <f>IF(P$12=0,0,P86/P$12)</f>
        <v>0.10800771589482094</v>
      </c>
      <c r="S86" s="4"/>
      <c r="T86" s="4">
        <v>43312</v>
      </c>
      <c r="U86" s="4"/>
      <c r="V86" s="12">
        <f>IF(T$12=0,0,T86/T$12)</f>
        <v>0.12881390209881721</v>
      </c>
      <c r="W86" s="4"/>
      <c r="X86" s="4">
        <f>+P86-T86</f>
        <v>-6851.4800000000032</v>
      </c>
      <c r="Y86" s="4"/>
      <c r="Z86" s="12">
        <f>IF(T86=0,0,X86/T86)</f>
        <v>-0.1581889545622461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1">
        <f>+D84-D86</f>
        <v>1005.2899999999963</v>
      </c>
      <c r="E88" s="14"/>
      <c r="F88" s="32">
        <f>IF(D$12=0,0,D88/D$12)</f>
        <v>2.5327461408808299E-2</v>
      </c>
      <c r="G88" s="14"/>
      <c r="H88" s="31">
        <f>+H84-H86</f>
        <v>-1695.9622151000003</v>
      </c>
      <c r="I88" s="14"/>
      <c r="J88" s="32">
        <f>IF(H$12=0,0,H88/H$12)</f>
        <v>-3.9664208220683859E-2</v>
      </c>
      <c r="K88" s="16"/>
      <c r="L88" s="31">
        <f>D88-H88</f>
        <v>2701.2522150999966</v>
      </c>
      <c r="M88" s="16"/>
      <c r="N88" s="32">
        <f>IF(H88=0,0,L88/H88)</f>
        <v>-1.5927549511713153</v>
      </c>
      <c r="O88" s="28"/>
      <c r="P88" s="31">
        <f>+P84-P86</f>
        <v>28313.999999999978</v>
      </c>
      <c r="Q88" s="14"/>
      <c r="R88" s="32">
        <f>IF(P$12=0,0,P88/P$12)</f>
        <v>8.3875119385185895E-2</v>
      </c>
      <c r="S88" s="14"/>
      <c r="T88" s="31">
        <f>+T84-T86</f>
        <v>15307.885614600003</v>
      </c>
      <c r="U88" s="14"/>
      <c r="V88" s="32">
        <f>IF(T$12=0,0,T88/T$12)</f>
        <v>4.5527070532392341E-2</v>
      </c>
      <c r="W88" s="16"/>
      <c r="X88" s="31">
        <f>P88-T88</f>
        <v>13006.114385399975</v>
      </c>
      <c r="Y88" s="16"/>
      <c r="Z88" s="32">
        <f>IF(T88=0,0,X88/T88)</f>
        <v>0.84963493410189206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5">
        <f>SUM(D88:D90)</f>
        <v>1005.2899999999963</v>
      </c>
      <c r="E91" s="14"/>
      <c r="F91" s="34">
        <f>IF(D$12=0,0,D91/D$12)</f>
        <v>2.5327461408808299E-2</v>
      </c>
      <c r="G91" s="14"/>
      <c r="H91" s="35">
        <f>SUM(H88:H90)</f>
        <v>-1695.9622151000003</v>
      </c>
      <c r="I91" s="14"/>
      <c r="J91" s="34">
        <f>IF(H$12=0,0,H91/H$12)</f>
        <v>-3.9664208220683859E-2</v>
      </c>
      <c r="K91" s="16"/>
      <c r="L91" s="35">
        <f>+D91-H91</f>
        <v>2701.2522150999966</v>
      </c>
      <c r="M91" s="16"/>
      <c r="N91" s="34">
        <f>IF(H91=0,0,L91/H91)</f>
        <v>-1.5927549511713153</v>
      </c>
      <c r="O91" s="28"/>
      <c r="P91" s="35">
        <f>SUM(P88:P90)</f>
        <v>28313.999999999978</v>
      </c>
      <c r="Q91" s="14"/>
      <c r="R91" s="34">
        <f>IF(P$12=0,0,P91/P$12)</f>
        <v>8.3875119385185895E-2</v>
      </c>
      <c r="S91" s="14"/>
      <c r="T91" s="35">
        <f>SUM(T88:T90)</f>
        <v>15307.885614600003</v>
      </c>
      <c r="U91" s="14"/>
      <c r="V91" s="34">
        <f>IF(T$12=0,0,T91/T$12)</f>
        <v>4.5527070532392341E-2</v>
      </c>
      <c r="W91" s="16"/>
      <c r="X91" s="35">
        <f>+P91-T91</f>
        <v>13006.114385399975</v>
      </c>
      <c r="Y91" s="16"/>
      <c r="Z91" s="34">
        <f>IF(T91=0,0,X91/T91)</f>
        <v>0.84963493410189206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3">
        <v>43847.445931863425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 t="s">
        <v>314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6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24039</v>
      </c>
      <c r="E12" s="4"/>
      <c r="F12" s="12"/>
      <c r="G12" s="4"/>
      <c r="H12" s="4">
        <f>SUM(OSRRefH13x_0)</f>
        <v>23160</v>
      </c>
      <c r="I12" s="4"/>
      <c r="J12" s="12"/>
      <c r="K12" s="4"/>
      <c r="L12" s="4">
        <f t="shared" ref="L12:L15" si="0">+D12-H12</f>
        <v>879</v>
      </c>
      <c r="M12" s="4"/>
      <c r="N12" s="12">
        <f t="shared" ref="N12:N15" si="1">IF(H12=0,0,L12/H12)</f>
        <v>3.7953367875647667E-2</v>
      </c>
      <c r="O12" s="10"/>
      <c r="P12" s="4">
        <f>SUM(OSRRefP13x_0)</f>
        <v>192173.68</v>
      </c>
      <c r="Q12" s="4"/>
      <c r="R12" s="12"/>
      <c r="S12" s="4"/>
      <c r="T12" s="4">
        <f>SUM(OSRRefT13x_0)</f>
        <v>170564</v>
      </c>
      <c r="U12" s="4"/>
      <c r="V12" s="12"/>
      <c r="W12" s="4"/>
      <c r="X12" s="4">
        <f t="shared" ref="X12:X15" si="2">+P12-T12</f>
        <v>21609.679999999993</v>
      </c>
      <c r="Y12" s="4"/>
      <c r="Z12" s="12">
        <f t="shared" ref="Z12:Z15" si="3">IF(T12=0,0,X12/T12)</f>
        <v>0.12669543397199873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--7071.5</f>
        <v>7071.5</v>
      </c>
      <c r="E13" s="2"/>
      <c r="F13" s="19"/>
      <c r="G13" s="2"/>
      <c r="H13" s="2"/>
      <c r="I13" s="2"/>
      <c r="J13" s="19"/>
      <c r="K13" s="2"/>
      <c r="L13" s="2">
        <f t="shared" si="0"/>
        <v>7071.5</v>
      </c>
      <c r="M13" s="2"/>
      <c r="N13" s="19">
        <f t="shared" si="1"/>
        <v>0</v>
      </c>
      <c r="O13" s="11"/>
      <c r="P13" s="2">
        <f>--44821.81</f>
        <v>44821.81</v>
      </c>
      <c r="Q13" s="2"/>
      <c r="R13" s="19"/>
      <c r="S13" s="2"/>
      <c r="T13" s="2"/>
      <c r="U13" s="2"/>
      <c r="V13" s="19"/>
      <c r="W13" s="2"/>
      <c r="X13" s="2">
        <f t="shared" si="2"/>
        <v>44821.81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23160</v>
      </c>
      <c r="I14" s="2"/>
      <c r="J14" s="19"/>
      <c r="K14" s="2"/>
      <c r="L14" s="2">
        <f t="shared" si="0"/>
        <v>-23160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170564</v>
      </c>
      <c r="U14" s="2"/>
      <c r="V14" s="19"/>
      <c r="W14" s="2"/>
      <c r="X14" s="2">
        <f t="shared" si="2"/>
        <v>-170564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--16967.5</f>
        <v>16967.5</v>
      </c>
      <c r="E15" s="2"/>
      <c r="F15" s="19"/>
      <c r="G15" s="2"/>
      <c r="H15" s="2"/>
      <c r="I15" s="2"/>
      <c r="J15" s="19"/>
      <c r="K15" s="2"/>
      <c r="L15" s="2">
        <f t="shared" si="0"/>
        <v>16967.5</v>
      </c>
      <c r="M15" s="2"/>
      <c r="N15" s="19">
        <f t="shared" si="1"/>
        <v>0</v>
      </c>
      <c r="O15" s="11"/>
      <c r="P15" s="2">
        <f>--147351.87</f>
        <v>147351.87</v>
      </c>
      <c r="Q15" s="2"/>
      <c r="R15" s="19"/>
      <c r="S15" s="2"/>
      <c r="T15" s="2"/>
      <c r="U15" s="2"/>
      <c r="V15" s="19"/>
      <c r="W15" s="2"/>
      <c r="X15" s="2">
        <f t="shared" si="2"/>
        <v>147351.87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10803.91</v>
      </c>
      <c r="E17" s="4"/>
      <c r="F17" s="12">
        <f t="shared" ref="F17:F20" si="4">IF(D$12=0,0,D17/D$12)</f>
        <v>0.4494325887100129</v>
      </c>
      <c r="G17" s="4"/>
      <c r="H17" s="4">
        <f>SUM(OSRRefH16x_0)</f>
        <v>11070</v>
      </c>
      <c r="I17" s="4"/>
      <c r="J17" s="12">
        <f t="shared" ref="J17:J20" si="5">IF(H$12=0,0,H17/H$12)</f>
        <v>0.47797927461139894</v>
      </c>
      <c r="K17" s="4"/>
      <c r="L17" s="4">
        <f t="shared" ref="L17:L20" si="6">+D17-H17</f>
        <v>-266.09000000000015</v>
      </c>
      <c r="M17" s="4"/>
      <c r="N17" s="12">
        <f t="shared" ref="N17:N20" si="7">IF(H17=0,0,L17/H17)</f>
        <v>-2.4037037037037051E-2</v>
      </c>
      <c r="O17" s="10"/>
      <c r="P17" s="4">
        <f>SUM(OSRRefP16x_0)</f>
        <v>92186.17</v>
      </c>
      <c r="Q17" s="4"/>
      <c r="R17" s="12">
        <f t="shared" ref="R17:R20" si="8">IF(P$12=0,0,P17/P$12)</f>
        <v>0.47970237131328286</v>
      </c>
      <c r="S17" s="4"/>
      <c r="T17" s="4">
        <f>SUM(OSRRefT16x_0)</f>
        <v>81529</v>
      </c>
      <c r="U17" s="4"/>
      <c r="V17" s="12">
        <f t="shared" ref="V17:V20" si="9">IF(T$12=0,0,T17/T$12)</f>
        <v>0.47799652916207408</v>
      </c>
      <c r="W17" s="4"/>
      <c r="X17" s="4">
        <f t="shared" ref="X17:X20" si="10">+P17-T17</f>
        <v>10657.169999999998</v>
      </c>
      <c r="Y17" s="4"/>
      <c r="Z17" s="12">
        <f t="shared" ref="Z17:Z20" si="11">IF(T17=0,0,X17/T17)</f>
        <v>0.13071630953403082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11070</v>
      </c>
      <c r="I18" s="2"/>
      <c r="J18" s="19">
        <f t="shared" si="5"/>
        <v>0.47797927461139894</v>
      </c>
      <c r="K18" s="2"/>
      <c r="L18" s="2">
        <f t="shared" si="6"/>
        <v>-11070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81529</v>
      </c>
      <c r="U18" s="2"/>
      <c r="V18" s="19">
        <f t="shared" si="9"/>
        <v>0.47799652916207408</v>
      </c>
      <c r="W18" s="2"/>
      <c r="X18" s="2">
        <f t="shared" si="10"/>
        <v>-81529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7259.64</v>
      </c>
      <c r="E19" s="2"/>
      <c r="F19" s="19">
        <f t="shared" si="4"/>
        <v>0.30199425932859103</v>
      </c>
      <c r="G19" s="2"/>
      <c r="H19" s="2"/>
      <c r="I19" s="2"/>
      <c r="J19" s="19">
        <f t="shared" si="5"/>
        <v>0</v>
      </c>
      <c r="K19" s="2"/>
      <c r="L19" s="2">
        <f t="shared" si="6"/>
        <v>7259.64</v>
      </c>
      <c r="M19" s="2"/>
      <c r="N19" s="19">
        <f t="shared" si="7"/>
        <v>0</v>
      </c>
      <c r="O19" s="11"/>
      <c r="P19" s="2">
        <v>86589.34</v>
      </c>
      <c r="Q19" s="2"/>
      <c r="R19" s="19">
        <f t="shared" si="8"/>
        <v>0.45057855997762025</v>
      </c>
      <c r="S19" s="2"/>
      <c r="T19" s="2"/>
      <c r="U19" s="2"/>
      <c r="V19" s="19">
        <f t="shared" si="9"/>
        <v>0</v>
      </c>
      <c r="W19" s="2"/>
      <c r="X19" s="2">
        <f t="shared" si="10"/>
        <v>86589.34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3544.27</v>
      </c>
      <c r="E20" s="2"/>
      <c r="F20" s="19">
        <f t="shared" si="4"/>
        <v>0.14743832938142185</v>
      </c>
      <c r="G20" s="2"/>
      <c r="H20" s="2"/>
      <c r="I20" s="2"/>
      <c r="J20" s="19">
        <f t="shared" si="5"/>
        <v>0</v>
      </c>
      <c r="K20" s="2"/>
      <c r="L20" s="2">
        <f t="shared" si="6"/>
        <v>3544.27</v>
      </c>
      <c r="M20" s="2"/>
      <c r="N20" s="19">
        <f t="shared" si="7"/>
        <v>0</v>
      </c>
      <c r="O20" s="11"/>
      <c r="P20" s="2">
        <v>5596.83</v>
      </c>
      <c r="Q20" s="2"/>
      <c r="R20" s="19">
        <f t="shared" si="8"/>
        <v>2.9123811335662615E-2</v>
      </c>
      <c r="S20" s="2"/>
      <c r="T20" s="2"/>
      <c r="U20" s="2"/>
      <c r="V20" s="19">
        <f t="shared" si="9"/>
        <v>0</v>
      </c>
      <c r="W20" s="2"/>
      <c r="X20" s="2">
        <f t="shared" si="10"/>
        <v>5596.83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13235.09</v>
      </c>
      <c r="E22" s="14"/>
      <c r="F22" s="20">
        <f>IF(D$12=0,0,D22/D$12)</f>
        <v>0.5505674112899871</v>
      </c>
      <c r="G22" s="14"/>
      <c r="H22" s="22">
        <f>H12-H17</f>
        <v>12090</v>
      </c>
      <c r="I22" s="14"/>
      <c r="J22" s="20">
        <f>IF(H$12=0,0,H22/H$12)</f>
        <v>0.522020725388601</v>
      </c>
      <c r="K22" s="16"/>
      <c r="L22" s="22">
        <f>+D22-H22</f>
        <v>1145.0900000000001</v>
      </c>
      <c r="M22" s="16"/>
      <c r="N22" s="20">
        <f>IF(H22=0,0,L22/H22)</f>
        <v>9.4713813068651787E-2</v>
      </c>
      <c r="O22" s="28"/>
      <c r="P22" s="22">
        <f>P12-P17</f>
        <v>99987.51</v>
      </c>
      <c r="Q22" s="14"/>
      <c r="R22" s="20">
        <f>IF(P$12=0,0,P22/P$12)</f>
        <v>0.52029762868671714</v>
      </c>
      <c r="S22" s="14"/>
      <c r="T22" s="22">
        <f>T12-T17</f>
        <v>89035</v>
      </c>
      <c r="U22" s="14"/>
      <c r="V22" s="20">
        <f>IF(T$12=0,0,T22/T$12)</f>
        <v>0.52200347083792598</v>
      </c>
      <c r="W22" s="16"/>
      <c r="X22" s="22">
        <f>+P22-T22</f>
        <v>10952.509999999995</v>
      </c>
      <c r="Y22" s="16"/>
      <c r="Z22" s="20">
        <f>IF(T22=0,0,X22/T22)</f>
        <v>0.12301353400348172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15941.58</v>
      </c>
      <c r="E24" s="21"/>
      <c r="F24" s="30">
        <f t="shared" ref="F24:F33" si="12">IF(D$12=0,0,D24/D$12)</f>
        <v>0.66315487333083734</v>
      </c>
      <c r="G24" s="21"/>
      <c r="H24" s="21">
        <f>SUM(OSRRefH22x_0)</f>
        <v>12068.96910538462</v>
      </c>
      <c r="I24" s="21"/>
      <c r="J24" s="30">
        <f t="shared" ref="J24:J33" si="13">IF(H$12=0,0,H24/H$12)</f>
        <v>0.5211126556729111</v>
      </c>
      <c r="K24" s="4"/>
      <c r="L24" s="21">
        <f t="shared" ref="L24:L33" si="14">+D24-H24</f>
        <v>3872.6108946153799</v>
      </c>
      <c r="M24" s="4"/>
      <c r="N24" s="30">
        <f t="shared" ref="N24:N33" si="15">IF(H24=0,0,L24/H24)</f>
        <v>0.32087337872856092</v>
      </c>
      <c r="O24" s="10"/>
      <c r="P24" s="21">
        <f>SUM(OSRRefP22x_0)</f>
        <v>80824.719999999987</v>
      </c>
      <c r="Q24" s="21"/>
      <c r="R24" s="30">
        <f t="shared" ref="R24:R33" si="16">IF(P$12=0,0,P24/P$12)</f>
        <v>0.42058163219854033</v>
      </c>
      <c r="S24" s="21"/>
      <c r="T24" s="21">
        <f>SUM(OSRRefT22x_0)</f>
        <v>78427.523535000015</v>
      </c>
      <c r="U24" s="21"/>
      <c r="V24" s="30">
        <f t="shared" ref="V24:V33" si="17">IF(T$12=0,0,T24/T$12)</f>
        <v>0.45981287689664885</v>
      </c>
      <c r="W24" s="4"/>
      <c r="X24" s="21">
        <f t="shared" ref="X24:X33" si="18">+P24-T24</f>
        <v>2397.1964649999718</v>
      </c>
      <c r="Y24" s="4"/>
      <c r="Z24" s="30">
        <f t="shared" ref="Z24:Z33" si="19">IF(T24=0,0,X24/T24)</f>
        <v>3.0565754940995553E-2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347.80999999999995</v>
      </c>
      <c r="E25" s="1"/>
      <c r="F25" s="5">
        <f t="shared" si="12"/>
        <v>1.4468571903989348E-2</v>
      </c>
      <c r="G25" s="1"/>
      <c r="H25" s="1">
        <f>SUM(OSRRefH22_0x_0)</f>
        <v>1375.7344899999998</v>
      </c>
      <c r="I25" s="1"/>
      <c r="J25" s="5">
        <f t="shared" si="13"/>
        <v>5.9401316493955088E-2</v>
      </c>
      <c r="K25" s="1"/>
      <c r="L25" s="1">
        <f t="shared" si="14"/>
        <v>-1027.9244899999999</v>
      </c>
      <c r="M25" s="1"/>
      <c r="N25" s="5">
        <f t="shared" si="15"/>
        <v>-0.74718232149577057</v>
      </c>
      <c r="O25" s="13"/>
      <c r="P25" s="1">
        <f>SUM(OSRRefP22_0x_0)</f>
        <v>9241.73</v>
      </c>
      <c r="Q25" s="1"/>
      <c r="R25" s="5">
        <f t="shared" si="16"/>
        <v>4.8090508544146107E-2</v>
      </c>
      <c r="S25" s="1"/>
      <c r="T25" s="1">
        <f>SUM(OSRRefT22_0x_0)</f>
        <v>8621.7485349999988</v>
      </c>
      <c r="U25" s="1"/>
      <c r="V25" s="5">
        <f t="shared" si="17"/>
        <v>5.0548465883773826E-2</v>
      </c>
      <c r="W25" s="1"/>
      <c r="X25" s="1">
        <f t="shared" si="18"/>
        <v>619.98146500000075</v>
      </c>
      <c r="Y25" s="1"/>
      <c r="Z25" s="5">
        <f t="shared" si="19"/>
        <v>7.190901735108432E-2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199.77</v>
      </c>
      <c r="E26" s="2"/>
      <c r="F26" s="7">
        <f t="shared" si="12"/>
        <v>8.3102458504929495E-3</v>
      </c>
      <c r="G26" s="2"/>
      <c r="H26" s="6">
        <v>151.34690538461498</v>
      </c>
      <c r="I26" s="2"/>
      <c r="J26" s="7">
        <f t="shared" si="13"/>
        <v>6.5348404742925298E-3</v>
      </c>
      <c r="K26" s="2"/>
      <c r="L26" s="6">
        <f t="shared" si="14"/>
        <v>48.423094615385025</v>
      </c>
      <c r="M26" s="2"/>
      <c r="N26" s="7">
        <f t="shared" si="15"/>
        <v>0.31994770221649621</v>
      </c>
      <c r="O26" s="11"/>
      <c r="P26" s="6">
        <v>1680.98</v>
      </c>
      <c r="Q26" s="2"/>
      <c r="R26" s="7">
        <f t="shared" si="16"/>
        <v>8.7471916029291837E-3</v>
      </c>
      <c r="S26" s="2"/>
      <c r="T26" s="6">
        <v>1120.3609349999981</v>
      </c>
      <c r="U26" s="2"/>
      <c r="V26" s="7">
        <f t="shared" si="17"/>
        <v>6.5685662566543823E-3</v>
      </c>
      <c r="W26" s="2"/>
      <c r="X26" s="6">
        <f t="shared" si="18"/>
        <v>560.61906500000191</v>
      </c>
      <c r="Y26" s="2"/>
      <c r="Z26" s="7">
        <f t="shared" si="19"/>
        <v>0.50039147875144618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132.51</v>
      </c>
      <c r="E27" s="2"/>
      <c r="F27" s="7">
        <f t="shared" si="12"/>
        <v>5.5122925246474472E-3</v>
      </c>
      <c r="G27" s="2"/>
      <c r="H27" s="6">
        <v>119.398192307692</v>
      </c>
      <c r="I27" s="2"/>
      <c r="J27" s="7">
        <f t="shared" si="13"/>
        <v>5.1553623621628667E-3</v>
      </c>
      <c r="K27" s="2"/>
      <c r="L27" s="6">
        <f t="shared" si="14"/>
        <v>13.111807692307991</v>
      </c>
      <c r="M27" s="2"/>
      <c r="N27" s="7">
        <f t="shared" si="15"/>
        <v>0.10981579736583071</v>
      </c>
      <c r="O27" s="11"/>
      <c r="P27" s="6">
        <v>624.98</v>
      </c>
      <c r="Q27" s="2"/>
      <c r="R27" s="7">
        <f t="shared" si="16"/>
        <v>3.2521623148393684E-3</v>
      </c>
      <c r="S27" s="2"/>
      <c r="T27" s="6">
        <v>734.8914999999987</v>
      </c>
      <c r="U27" s="2"/>
      <c r="V27" s="7">
        <f t="shared" si="17"/>
        <v>4.3085967730587859E-3</v>
      </c>
      <c r="W27" s="2"/>
      <c r="X27" s="6">
        <f t="shared" si="18"/>
        <v>-109.91149999999868</v>
      </c>
      <c r="Y27" s="2"/>
      <c r="Z27" s="7">
        <f t="shared" si="19"/>
        <v>-0.14956153391350815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690.5</v>
      </c>
      <c r="I28" s="2"/>
      <c r="J28" s="7">
        <f t="shared" si="13"/>
        <v>2.9814335060449049E-2</v>
      </c>
      <c r="K28" s="2"/>
      <c r="L28" s="6">
        <f t="shared" si="14"/>
        <v>-690.5</v>
      </c>
      <c r="M28" s="2"/>
      <c r="N28" s="7">
        <f t="shared" si="15"/>
        <v>-1</v>
      </c>
      <c r="O28" s="11"/>
      <c r="P28" s="6">
        <v>4676.5</v>
      </c>
      <c r="Q28" s="2"/>
      <c r="R28" s="7">
        <f t="shared" si="16"/>
        <v>2.4334758016810627E-2</v>
      </c>
      <c r="S28" s="2"/>
      <c r="T28" s="6">
        <v>4143</v>
      </c>
      <c r="U28" s="2"/>
      <c r="V28" s="7">
        <f t="shared" si="17"/>
        <v>2.4290002579676836E-2</v>
      </c>
      <c r="W28" s="2"/>
      <c r="X28" s="6">
        <f t="shared" si="18"/>
        <v>533.5</v>
      </c>
      <c r="Y28" s="2"/>
      <c r="Z28" s="7">
        <f t="shared" si="19"/>
        <v>0.12877142167511466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15.53</v>
      </c>
      <c r="E29" s="2"/>
      <c r="F29" s="7">
        <f t="shared" si="12"/>
        <v>6.4603352884895374E-4</v>
      </c>
      <c r="G29" s="2"/>
      <c r="H29" s="6">
        <v>16.338699999999999</v>
      </c>
      <c r="I29" s="2"/>
      <c r="J29" s="7">
        <f t="shared" si="13"/>
        <v>7.054706390328152E-4</v>
      </c>
      <c r="K29" s="2"/>
      <c r="L29" s="6">
        <f t="shared" si="14"/>
        <v>-0.80869999999999997</v>
      </c>
      <c r="M29" s="2"/>
      <c r="N29" s="7">
        <f t="shared" si="15"/>
        <v>-4.9495981932467091E-2</v>
      </c>
      <c r="O29" s="11"/>
      <c r="P29" s="6">
        <v>91.4</v>
      </c>
      <c r="Q29" s="2"/>
      <c r="R29" s="7">
        <f t="shared" si="16"/>
        <v>4.7561143648807688E-4</v>
      </c>
      <c r="S29" s="2"/>
      <c r="T29" s="6">
        <v>100.5641</v>
      </c>
      <c r="U29" s="2"/>
      <c r="V29" s="7">
        <f t="shared" si="17"/>
        <v>5.8959745315541377E-4</v>
      </c>
      <c r="W29" s="2"/>
      <c r="X29" s="6">
        <f t="shared" si="18"/>
        <v>-9.1640999999999906</v>
      </c>
      <c r="Y29" s="2"/>
      <c r="Z29" s="7">
        <f t="shared" si="19"/>
        <v>-9.1126952858922722E-2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170.074923076923</v>
      </c>
      <c r="I30" s="2"/>
      <c r="J30" s="7">
        <f t="shared" si="13"/>
        <v>7.3434768167928753E-3</v>
      </c>
      <c r="K30" s="2"/>
      <c r="L30" s="6">
        <f t="shared" si="14"/>
        <v>-170.074923076923</v>
      </c>
      <c r="M30" s="2"/>
      <c r="N30" s="7">
        <f t="shared" si="15"/>
        <v>-1</v>
      </c>
      <c r="O30" s="11"/>
      <c r="P30" s="6">
        <v>670.55</v>
      </c>
      <c r="Q30" s="2"/>
      <c r="R30" s="7">
        <f t="shared" si="16"/>
        <v>3.4892915616748349E-3</v>
      </c>
      <c r="S30" s="2"/>
      <c r="T30" s="6">
        <v>1105.4870000000001</v>
      </c>
      <c r="U30" s="2"/>
      <c r="V30" s="7">
        <f t="shared" si="17"/>
        <v>6.4813618348537796E-3</v>
      </c>
      <c r="W30" s="2"/>
      <c r="X30" s="6">
        <f t="shared" si="18"/>
        <v>-434.93700000000013</v>
      </c>
      <c r="Y30" s="2"/>
      <c r="Z30" s="7">
        <f t="shared" si="19"/>
        <v>-0.39343474866732953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39.5523076923077</v>
      </c>
      <c r="I32" s="2"/>
      <c r="J32" s="7">
        <f t="shared" si="13"/>
        <v>1.7077853062309025E-3</v>
      </c>
      <c r="K32" s="2"/>
      <c r="L32" s="6">
        <f t="shared" si="14"/>
        <v>-39.5523076923077</v>
      </c>
      <c r="M32" s="2"/>
      <c r="N32" s="7">
        <f t="shared" si="15"/>
        <v>-1</v>
      </c>
      <c r="O32" s="11"/>
      <c r="P32" s="6">
        <v>1098.8</v>
      </c>
      <c r="Q32" s="2"/>
      <c r="R32" s="7">
        <f t="shared" si="16"/>
        <v>5.717744490296486E-3</v>
      </c>
      <c r="S32" s="2"/>
      <c r="T32" s="6">
        <v>257.08999999999997</v>
      </c>
      <c r="U32" s="2"/>
      <c r="V32" s="7">
        <f t="shared" si="17"/>
        <v>1.5072934499659951E-3</v>
      </c>
      <c r="W32" s="2"/>
      <c r="X32" s="6">
        <f t="shared" si="18"/>
        <v>841.71</v>
      </c>
      <c r="Y32" s="2"/>
      <c r="Z32" s="7">
        <f t="shared" si="19"/>
        <v>3.2739896534287607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188.52346153846202</v>
      </c>
      <c r="I33" s="2"/>
      <c r="J33" s="7">
        <f t="shared" si="13"/>
        <v>8.1400458349940429E-3</v>
      </c>
      <c r="K33" s="2"/>
      <c r="L33" s="6">
        <f t="shared" si="14"/>
        <v>-188.52346153846202</v>
      </c>
      <c r="M33" s="2"/>
      <c r="N33" s="7">
        <f t="shared" si="15"/>
        <v>-1</v>
      </c>
      <c r="O33" s="11"/>
      <c r="P33" s="6">
        <v>398.52</v>
      </c>
      <c r="Q33" s="2"/>
      <c r="R33" s="7">
        <f t="shared" si="16"/>
        <v>2.0737491211075313E-3</v>
      </c>
      <c r="S33" s="2"/>
      <c r="T33" s="6">
        <v>1160.3550000000021</v>
      </c>
      <c r="U33" s="2"/>
      <c r="V33" s="7">
        <f t="shared" si="17"/>
        <v>6.8030475364086332E-3</v>
      </c>
      <c r="W33" s="2"/>
      <c r="X33" s="6">
        <f t="shared" si="18"/>
        <v>-761.83500000000208</v>
      </c>
      <c r="Y33" s="2"/>
      <c r="Z33" s="7">
        <f t="shared" si="19"/>
        <v>-0.65655338237005112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3180.5699999999997</v>
      </c>
      <c r="E34" s="1"/>
      <c r="F34" s="5">
        <f t="shared" ref="F34:F44" si="20">IF(D$12=0,0,D34/D$12)</f>
        <v>0.13230874828403844</v>
      </c>
      <c r="G34" s="1"/>
      <c r="H34" s="1">
        <f>SUM(OSRRefH22_1x_0)</f>
        <v>6185.2346153846202</v>
      </c>
      <c r="I34" s="1"/>
      <c r="J34" s="5">
        <f t="shared" ref="J34:J44" si="21">IF(H$12=0,0,H34/H$12)</f>
        <v>0.26706539790089034</v>
      </c>
      <c r="K34" s="1"/>
      <c r="L34" s="1">
        <f t="shared" ref="L34:L44" si="22">+D34-H34</f>
        <v>-3004.6646153846204</v>
      </c>
      <c r="M34" s="1"/>
      <c r="N34" s="5">
        <f t="shared" ref="N34:N44" si="23">IF(H34=0,0,L34/H34)</f>
        <v>-0.48578021727924053</v>
      </c>
      <c r="O34" s="13"/>
      <c r="P34" s="1">
        <f>SUM(OSRRefP22_1x_0)</f>
        <v>34820.479999999996</v>
      </c>
      <c r="Q34" s="1"/>
      <c r="R34" s="5">
        <f t="shared" ref="R34:R44" si="24">IF(P$12=0,0,P34/P$12)</f>
        <v>0.18119276271339549</v>
      </c>
      <c r="S34" s="1"/>
      <c r="T34" s="1">
        <f>SUM(OSRRefT22_1x_0)</f>
        <v>38035.775000000023</v>
      </c>
      <c r="U34" s="1"/>
      <c r="V34" s="5">
        <f t="shared" ref="V34:V44" si="25">IF(T$12=0,0,T34/T$12)</f>
        <v>0.22300001758870583</v>
      </c>
      <c r="W34" s="1"/>
      <c r="X34" s="1">
        <f t="shared" ref="X34:X44" si="26">+P34-T34</f>
        <v>-3215.2950000000274</v>
      </c>
      <c r="Y34" s="1"/>
      <c r="Z34" s="5">
        <f t="shared" ref="Z34:Z44" si="27">IF(T34=0,0,X34/T34)</f>
        <v>-8.4533442528777855E-2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1878.7346153846199</v>
      </c>
      <c r="I35" s="2"/>
      <c r="J35" s="7">
        <f t="shared" si="21"/>
        <v>8.111980204596804E-2</v>
      </c>
      <c r="K35" s="2"/>
      <c r="L35" s="6">
        <f t="shared" si="22"/>
        <v>-1878.7346153846199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12211.77500000002</v>
      </c>
      <c r="U35" s="2"/>
      <c r="V35" s="7">
        <f t="shared" si="25"/>
        <v>7.1596438873384891E-2</v>
      </c>
      <c r="W35" s="2"/>
      <c r="X35" s="6">
        <f t="shared" si="26"/>
        <v>-12211.77500000002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10272</v>
      </c>
      <c r="Q36" s="2"/>
      <c r="R36" s="7">
        <f t="shared" si="24"/>
        <v>5.3451648529600937E-2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10272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1708.78</v>
      </c>
      <c r="Q39" s="2"/>
      <c r="R39" s="7">
        <f t="shared" si="24"/>
        <v>8.891852411839124E-3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1708.78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>
        <v>1007.26</v>
      </c>
      <c r="E40" s="2"/>
      <c r="F40" s="7">
        <f t="shared" si="20"/>
        <v>4.1901077415865885E-2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1007.26</v>
      </c>
      <c r="M40" s="2"/>
      <c r="N40" s="7">
        <f t="shared" si="23"/>
        <v>0</v>
      </c>
      <c r="O40" s="11"/>
      <c r="P40" s="6">
        <v>6701.74</v>
      </c>
      <c r="Q40" s="2"/>
      <c r="R40" s="7">
        <f t="shared" si="24"/>
        <v>3.4873349982161968E-2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6701.74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>
        <v>1807.31</v>
      </c>
      <c r="E41" s="2"/>
      <c r="F41" s="7">
        <f t="shared" si="20"/>
        <v>7.5182411913973124E-2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1807.31</v>
      </c>
      <c r="M41" s="2"/>
      <c r="N41" s="7">
        <f t="shared" si="23"/>
        <v>0</v>
      </c>
      <c r="O41" s="11"/>
      <c r="P41" s="6">
        <v>15083.649999999998</v>
      </c>
      <c r="Q41" s="2"/>
      <c r="R41" s="7">
        <f t="shared" si="24"/>
        <v>7.848967663001509E-2</v>
      </c>
      <c r="S41" s="2"/>
      <c r="T41" s="6">
        <v>1785</v>
      </c>
      <c r="U41" s="2"/>
      <c r="V41" s="7">
        <f t="shared" si="25"/>
        <v>1.0465279894936797E-2</v>
      </c>
      <c r="W41" s="2"/>
      <c r="X41" s="6">
        <f t="shared" si="26"/>
        <v>13298.649999999998</v>
      </c>
      <c r="Y41" s="2"/>
      <c r="Z41" s="7">
        <f t="shared" si="27"/>
        <v>7.4502240896358529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>
        <v>366</v>
      </c>
      <c r="E42" s="2"/>
      <c r="F42" s="7">
        <f t="shared" si="20"/>
        <v>1.5225258954199426E-2</v>
      </c>
      <c r="G42" s="2"/>
      <c r="H42" s="6">
        <v>4306.5</v>
      </c>
      <c r="I42" s="2"/>
      <c r="J42" s="7">
        <f t="shared" si="21"/>
        <v>0.18594559585492229</v>
      </c>
      <c r="K42" s="2"/>
      <c r="L42" s="6">
        <f t="shared" si="22"/>
        <v>-3940.5</v>
      </c>
      <c r="M42" s="2"/>
      <c r="N42" s="7">
        <f t="shared" si="23"/>
        <v>-0.91501219087425989</v>
      </c>
      <c r="O42" s="11"/>
      <c r="P42" s="6">
        <v>1054.31</v>
      </c>
      <c r="Q42" s="2"/>
      <c r="R42" s="7">
        <f t="shared" si="24"/>
        <v>5.486235159778384E-3</v>
      </c>
      <c r="S42" s="2"/>
      <c r="T42" s="6">
        <v>24039</v>
      </c>
      <c r="U42" s="2"/>
      <c r="V42" s="7">
        <f t="shared" si="25"/>
        <v>0.14093829882038414</v>
      </c>
      <c r="W42" s="2"/>
      <c r="X42" s="6">
        <f t="shared" si="26"/>
        <v>-22984.69</v>
      </c>
      <c r="Y42" s="2"/>
      <c r="Z42" s="7">
        <f t="shared" si="27"/>
        <v>-0.95614168642622399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8">IF(D$12=0,0,D45/D$12)</f>
        <v>0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0</v>
      </c>
      <c r="M45" s="1"/>
      <c r="N45" s="5">
        <f t="shared" ref="N45:N62" si="31">IF(H45=0,0,L45/H45)</f>
        <v>0</v>
      </c>
      <c r="O45" s="13"/>
      <c r="P45" s="1">
        <f>SUM(OSRRefP22_2x_0)</f>
        <v>0</v>
      </c>
      <c r="Q45" s="1"/>
      <c r="R45" s="5">
        <f t="shared" ref="R45:R62" si="32">IF(P$12=0,0,P45/P$12)</f>
        <v>0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0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0</v>
      </c>
      <c r="Y46" s="2"/>
      <c r="Z46" s="7">
        <f t="shared" si="35"/>
        <v>0</v>
      </c>
    </row>
    <row r="47" spans="1:26" s="25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-6.41</v>
      </c>
      <c r="E47" s="1"/>
      <c r="F47" s="5">
        <f t="shared" si="28"/>
        <v>-2.6665002703939433E-4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-6.41</v>
      </c>
      <c r="M47" s="1"/>
      <c r="N47" s="5">
        <f t="shared" si="31"/>
        <v>0</v>
      </c>
      <c r="O47" s="13"/>
      <c r="P47" s="1">
        <f>SUM(OSRRefP22_3x_0)</f>
        <v>-57.93</v>
      </c>
      <c r="Q47" s="1"/>
      <c r="R47" s="5">
        <f t="shared" si="32"/>
        <v>-3.0144606691197257E-4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-57.93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>
        <v>-6.41</v>
      </c>
      <c r="E48" s="2"/>
      <c r="F48" s="7">
        <f t="shared" si="28"/>
        <v>-2.6665002703939433E-4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-6.41</v>
      </c>
      <c r="M48" s="2"/>
      <c r="N48" s="7">
        <f t="shared" si="31"/>
        <v>0</v>
      </c>
      <c r="O48" s="11"/>
      <c r="P48" s="6">
        <v>-57.93</v>
      </c>
      <c r="Q48" s="2"/>
      <c r="R48" s="7">
        <f t="shared" si="32"/>
        <v>-3.0144606691197257E-4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-57.93</v>
      </c>
      <c r="Y48" s="2"/>
      <c r="Z48" s="7">
        <f t="shared" si="35"/>
        <v>0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847.16</v>
      </c>
      <c r="E49" s="1"/>
      <c r="F49" s="5">
        <f t="shared" si="28"/>
        <v>3.5241066600108159E-2</v>
      </c>
      <c r="G49" s="1"/>
      <c r="H49" s="1">
        <f>SUM(OSRRefH22_4x_0)</f>
        <v>711</v>
      </c>
      <c r="I49" s="1"/>
      <c r="J49" s="5">
        <f t="shared" si="29"/>
        <v>3.0699481865284973E-2</v>
      </c>
      <c r="K49" s="1"/>
      <c r="L49" s="1">
        <f t="shared" si="30"/>
        <v>136.15999999999997</v>
      </c>
      <c r="M49" s="1"/>
      <c r="N49" s="5">
        <f t="shared" si="31"/>
        <v>0.19150492264416311</v>
      </c>
      <c r="O49" s="13"/>
      <c r="P49" s="1">
        <f>SUM(OSRRefP22_4x_0)</f>
        <v>6718.11</v>
      </c>
      <c r="Q49" s="1"/>
      <c r="R49" s="5">
        <f t="shared" si="32"/>
        <v>3.4958533343379804E-2</v>
      </c>
      <c r="S49" s="1"/>
      <c r="T49" s="1">
        <f>SUM(OSRRefT22_4x_0)</f>
        <v>5237</v>
      </c>
      <c r="U49" s="1"/>
      <c r="V49" s="5">
        <f t="shared" si="33"/>
        <v>3.0704017260383198E-2</v>
      </c>
      <c r="W49" s="1"/>
      <c r="X49" s="1">
        <f t="shared" si="34"/>
        <v>1481.1099999999997</v>
      </c>
      <c r="Y49" s="1"/>
      <c r="Z49" s="5">
        <f t="shared" si="35"/>
        <v>0.28281649799503528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>
        <v>847.16</v>
      </c>
      <c r="E50" s="2"/>
      <c r="F50" s="7">
        <f t="shared" si="28"/>
        <v>3.5241066600108159E-2</v>
      </c>
      <c r="G50" s="2"/>
      <c r="H50" s="6">
        <v>711</v>
      </c>
      <c r="I50" s="2"/>
      <c r="J50" s="7">
        <f t="shared" si="29"/>
        <v>3.0699481865284973E-2</v>
      </c>
      <c r="K50" s="2"/>
      <c r="L50" s="6">
        <f t="shared" si="30"/>
        <v>136.15999999999997</v>
      </c>
      <c r="M50" s="2"/>
      <c r="N50" s="7">
        <f t="shared" si="31"/>
        <v>0.19150492264416311</v>
      </c>
      <c r="O50" s="11"/>
      <c r="P50" s="6">
        <v>6718.11</v>
      </c>
      <c r="Q50" s="2"/>
      <c r="R50" s="7">
        <f t="shared" si="32"/>
        <v>3.4958533343379804E-2</v>
      </c>
      <c r="S50" s="2"/>
      <c r="T50" s="6">
        <v>5237</v>
      </c>
      <c r="U50" s="2"/>
      <c r="V50" s="7">
        <f t="shared" si="33"/>
        <v>3.0704017260383198E-2</v>
      </c>
      <c r="W50" s="2"/>
      <c r="X50" s="6">
        <f t="shared" si="34"/>
        <v>1481.1099999999997</v>
      </c>
      <c r="Y50" s="2"/>
      <c r="Z50" s="7">
        <f t="shared" si="35"/>
        <v>0.28281649799503528</v>
      </c>
    </row>
    <row r="51" spans="1:26" s="25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4.0303673197720373E-2</v>
      </c>
      <c r="G51" s="1"/>
      <c r="H51" s="1">
        <f>SUM(OSRRefH22_5x_0)</f>
        <v>969</v>
      </c>
      <c r="I51" s="1"/>
      <c r="J51" s="5">
        <f t="shared" si="29"/>
        <v>4.1839378238341968E-2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5813.16</v>
      </c>
      <c r="Q51" s="1"/>
      <c r="R51" s="5">
        <f t="shared" si="32"/>
        <v>3.024951179578806E-2</v>
      </c>
      <c r="S51" s="1"/>
      <c r="T51" s="1">
        <f>SUM(OSRRefT22_5x_0)</f>
        <v>5814</v>
      </c>
      <c r="U51" s="1"/>
      <c r="V51" s="5">
        <f t="shared" si="33"/>
        <v>3.4086911657794143E-2</v>
      </c>
      <c r="W51" s="1"/>
      <c r="X51" s="1">
        <f t="shared" si="34"/>
        <v>-0.84000000000014552</v>
      </c>
      <c r="Y51" s="1"/>
      <c r="Z51" s="5">
        <f t="shared" si="35"/>
        <v>-1.4447884416927167E-4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968.86</v>
      </c>
      <c r="E52" s="2"/>
      <c r="F52" s="7">
        <f t="shared" si="28"/>
        <v>4.0303673197720373E-2</v>
      </c>
      <c r="G52" s="2"/>
      <c r="H52" s="6">
        <v>969</v>
      </c>
      <c r="I52" s="2"/>
      <c r="J52" s="7">
        <f t="shared" si="29"/>
        <v>4.1839378238341968E-2</v>
      </c>
      <c r="K52" s="2"/>
      <c r="L52" s="6">
        <f t="shared" si="30"/>
        <v>-0.13999999999998636</v>
      </c>
      <c r="M52" s="2"/>
      <c r="N52" s="7">
        <f t="shared" si="31"/>
        <v>-1.4447884416923256E-4</v>
      </c>
      <c r="O52" s="11"/>
      <c r="P52" s="6">
        <v>5813.16</v>
      </c>
      <c r="Q52" s="2"/>
      <c r="R52" s="7">
        <f t="shared" si="32"/>
        <v>3.024951179578806E-2</v>
      </c>
      <c r="S52" s="2"/>
      <c r="T52" s="6">
        <v>5814</v>
      </c>
      <c r="U52" s="2"/>
      <c r="V52" s="7">
        <f t="shared" si="33"/>
        <v>3.4086911657794143E-2</v>
      </c>
      <c r="W52" s="2"/>
      <c r="X52" s="6">
        <f t="shared" si="34"/>
        <v>-0.84000000000014552</v>
      </c>
      <c r="Y52" s="2"/>
      <c r="Z52" s="7">
        <f t="shared" si="35"/>
        <v>-1.4447884416927167E-4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160</v>
      </c>
      <c r="E55" s="1"/>
      <c r="F55" s="5">
        <f t="shared" si="28"/>
        <v>6.6558509089396402E-3</v>
      </c>
      <c r="G55" s="1"/>
      <c r="H55" s="1">
        <f>SUM(OSRRefH22_7x_0)</f>
        <v>161</v>
      </c>
      <c r="I55" s="1"/>
      <c r="J55" s="5">
        <f t="shared" si="29"/>
        <v>6.9516407599309153E-3</v>
      </c>
      <c r="K55" s="1"/>
      <c r="L55" s="1">
        <f t="shared" si="30"/>
        <v>-1</v>
      </c>
      <c r="M55" s="1"/>
      <c r="N55" s="5">
        <f t="shared" si="31"/>
        <v>-6.2111801242236021E-3</v>
      </c>
      <c r="O55" s="13"/>
      <c r="P55" s="1">
        <f>SUM(OSRRefP22_7x_0)</f>
        <v>1191.19</v>
      </c>
      <c r="Q55" s="1"/>
      <c r="R55" s="5">
        <f t="shared" si="32"/>
        <v>6.1985075167421471E-3</v>
      </c>
      <c r="S55" s="1"/>
      <c r="T55" s="1">
        <f>SUM(OSRRefT22_7x_0)</f>
        <v>1182</v>
      </c>
      <c r="U55" s="1"/>
      <c r="V55" s="5">
        <f t="shared" si="33"/>
        <v>6.9299500480757958E-3</v>
      </c>
      <c r="W55" s="1"/>
      <c r="X55" s="1">
        <f t="shared" si="34"/>
        <v>9.1900000000000546</v>
      </c>
      <c r="Y55" s="1"/>
      <c r="Z55" s="5">
        <f t="shared" si="35"/>
        <v>7.7749576988156129E-3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160</v>
      </c>
      <c r="E56" s="2"/>
      <c r="F56" s="7">
        <f t="shared" si="28"/>
        <v>6.6558509089396402E-3</v>
      </c>
      <c r="G56" s="2"/>
      <c r="H56" s="6">
        <v>161</v>
      </c>
      <c r="I56" s="2"/>
      <c r="J56" s="7">
        <f t="shared" si="29"/>
        <v>6.9516407599309153E-3</v>
      </c>
      <c r="K56" s="2"/>
      <c r="L56" s="6">
        <f t="shared" si="30"/>
        <v>-1</v>
      </c>
      <c r="M56" s="2"/>
      <c r="N56" s="7">
        <f t="shared" si="31"/>
        <v>-6.2111801242236021E-3</v>
      </c>
      <c r="O56" s="11"/>
      <c r="P56" s="6">
        <v>1191.19</v>
      </c>
      <c r="Q56" s="2"/>
      <c r="R56" s="7">
        <f t="shared" si="32"/>
        <v>6.1985075167421471E-3</v>
      </c>
      <c r="S56" s="2"/>
      <c r="T56" s="6">
        <v>1182</v>
      </c>
      <c r="U56" s="2"/>
      <c r="V56" s="7">
        <f t="shared" si="33"/>
        <v>6.9299500480757958E-3</v>
      </c>
      <c r="W56" s="2"/>
      <c r="X56" s="6">
        <f t="shared" si="34"/>
        <v>9.1900000000000546</v>
      </c>
      <c r="Y56" s="2"/>
      <c r="Z56" s="7">
        <f t="shared" si="35"/>
        <v>7.7749576988156129E-3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47.57</v>
      </c>
      <c r="E59" s="1"/>
      <c r="F59" s="5">
        <f t="shared" si="28"/>
        <v>1.9788676733641167E-3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47.57</v>
      </c>
      <c r="M59" s="1"/>
      <c r="N59" s="5">
        <f t="shared" si="31"/>
        <v>0</v>
      </c>
      <c r="O59" s="13"/>
      <c r="P59" s="1">
        <f>SUM(OSRRefP22_9x_0)</f>
        <v>887.48</v>
      </c>
      <c r="Q59" s="1"/>
      <c r="R59" s="5">
        <f t="shared" si="32"/>
        <v>4.618114197532149E-3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887.48</v>
      </c>
      <c r="Y59" s="1"/>
      <c r="Z59" s="5">
        <f t="shared" si="35"/>
        <v>0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437.31</v>
      </c>
      <c r="Q60" s="2"/>
      <c r="R60" s="7">
        <f t="shared" si="32"/>
        <v>2.2755977821728762E-3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437.31</v>
      </c>
      <c r="Y60" s="2"/>
      <c r="Z60" s="7">
        <f t="shared" si="35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47.57</v>
      </c>
      <c r="E61" s="2"/>
      <c r="F61" s="7">
        <f t="shared" si="28"/>
        <v>1.9788676733641167E-3</v>
      </c>
      <c r="G61" s="2"/>
      <c r="H61" s="6"/>
      <c r="I61" s="2"/>
      <c r="J61" s="7">
        <f t="shared" si="29"/>
        <v>0</v>
      </c>
      <c r="K61" s="2"/>
      <c r="L61" s="6">
        <f t="shared" si="30"/>
        <v>47.57</v>
      </c>
      <c r="M61" s="2"/>
      <c r="N61" s="7">
        <f t="shared" si="31"/>
        <v>0</v>
      </c>
      <c r="O61" s="11"/>
      <c r="P61" s="6">
        <v>93.22</v>
      </c>
      <c r="Q61" s="2"/>
      <c r="R61" s="7">
        <f t="shared" si="32"/>
        <v>4.8508203620808012E-4</v>
      </c>
      <c r="S61" s="2"/>
      <c r="T61" s="6"/>
      <c r="U61" s="2"/>
      <c r="V61" s="7">
        <f t="shared" si="33"/>
        <v>0</v>
      </c>
      <c r="W61" s="2"/>
      <c r="X61" s="6">
        <f t="shared" si="34"/>
        <v>93.22</v>
      </c>
      <c r="Y61" s="2"/>
      <c r="Z61" s="7">
        <f t="shared" si="35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356.95</v>
      </c>
      <c r="Q62" s="2"/>
      <c r="R62" s="7">
        <f t="shared" si="32"/>
        <v>1.8574343791511929E-3</v>
      </c>
      <c r="S62" s="2"/>
      <c r="T62" s="6"/>
      <c r="U62" s="2"/>
      <c r="V62" s="7">
        <f t="shared" si="33"/>
        <v>0</v>
      </c>
      <c r="W62" s="2"/>
      <c r="X62" s="6">
        <f t="shared" si="34"/>
        <v>356.95</v>
      </c>
      <c r="Y62" s="2"/>
      <c r="Z62" s="7">
        <f t="shared" si="35"/>
        <v>0</v>
      </c>
    </row>
    <row r="63" spans="1:26" s="25" customFormat="1" outlineLevel="1" collapsed="1" x14ac:dyDescent="0.25">
      <c r="A63" s="27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9661.34</v>
      </c>
      <c r="E63" s="1"/>
      <c r="F63" s="5">
        <f t="shared" ref="F63:F65" si="36">IF(D$12=0,0,D63/D$12)</f>
        <v>0.40190274137859311</v>
      </c>
      <c r="G63" s="1"/>
      <c r="H63" s="1">
        <f>SUM(OSRRefH22_10x_0)</f>
        <v>2064</v>
      </c>
      <c r="I63" s="1"/>
      <c r="J63" s="5">
        <f t="shared" ref="J63:J65" si="37">IF(H$12=0,0,H63/H$12)</f>
        <v>8.9119170984455959E-2</v>
      </c>
      <c r="K63" s="1"/>
      <c r="L63" s="1">
        <f t="shared" ref="L63:L65" si="38">+D63-H63</f>
        <v>7597.34</v>
      </c>
      <c r="M63" s="1"/>
      <c r="N63" s="5">
        <f t="shared" ref="N63:N65" si="39">IF(H63=0,0,L63/H63)</f>
        <v>3.6808817829457365</v>
      </c>
      <c r="O63" s="13"/>
      <c r="P63" s="1">
        <f>SUM(OSRRefP22_10x_0)</f>
        <v>15334.79</v>
      </c>
      <c r="Q63" s="1"/>
      <c r="R63" s="5">
        <f t="shared" ref="R63:R65" si="40">IF(P$12=0,0,P63/P$12)</f>
        <v>7.9796515318851166E-2</v>
      </c>
      <c r="S63" s="1"/>
      <c r="T63" s="1">
        <f>SUM(OSRRefT22_10x_0)</f>
        <v>15202</v>
      </c>
      <c r="U63" s="1"/>
      <c r="V63" s="5">
        <f t="shared" ref="V63:V65" si="41">IF(T$12=0,0,T63/T$12)</f>
        <v>8.9127834713069579E-2</v>
      </c>
      <c r="W63" s="1"/>
      <c r="X63" s="1">
        <f t="shared" ref="X63:X65" si="42">+P63-T63</f>
        <v>132.79000000000087</v>
      </c>
      <c r="Y63" s="1"/>
      <c r="Z63" s="5">
        <f t="shared" ref="Z63:Z65" si="43">IF(T63=0,0,X63/T63)</f>
        <v>8.7350348638337641E-3</v>
      </c>
    </row>
    <row r="64" spans="1:26" s="24" customFormat="1" hidden="1" outlineLevel="2" x14ac:dyDescent="0.25">
      <c r="A64" s="26"/>
      <c r="B64" s="11" t="str">
        <f>CONCATENATE("          ", "6254", " - ", "ROYALTY &amp; COMMISSIONS")</f>
        <v xml:space="preserve">          6254 - ROYALTY &amp; COMMISSIONS</v>
      </c>
      <c r="C64" s="11"/>
      <c r="D64" s="6">
        <v>9661.34</v>
      </c>
      <c r="E64" s="2"/>
      <c r="F64" s="7">
        <f t="shared" si="36"/>
        <v>0.40190274137859311</v>
      </c>
      <c r="G64" s="2"/>
      <c r="H64" s="6"/>
      <c r="I64" s="2"/>
      <c r="J64" s="7">
        <f t="shared" si="37"/>
        <v>0</v>
      </c>
      <c r="K64" s="2"/>
      <c r="L64" s="6">
        <f t="shared" si="38"/>
        <v>9661.34</v>
      </c>
      <c r="M64" s="2"/>
      <c r="N64" s="7">
        <f t="shared" si="39"/>
        <v>0</v>
      </c>
      <c r="O64" s="11"/>
      <c r="P64" s="6">
        <v>15334.79</v>
      </c>
      <c r="Q64" s="2"/>
      <c r="R64" s="7">
        <f t="shared" si="40"/>
        <v>7.9796515318851166E-2</v>
      </c>
      <c r="S64" s="2"/>
      <c r="T64" s="6"/>
      <c r="U64" s="2"/>
      <c r="V64" s="7">
        <f t="shared" si="41"/>
        <v>0</v>
      </c>
      <c r="W64" s="2"/>
      <c r="X64" s="6">
        <f t="shared" si="42"/>
        <v>15334.79</v>
      </c>
      <c r="Y64" s="2"/>
      <c r="Z64" s="7">
        <f t="shared" si="43"/>
        <v>0</v>
      </c>
    </row>
    <row r="65" spans="1:26" s="24" customFormat="1" hidden="1" outlineLevel="2" x14ac:dyDescent="0.25">
      <c r="A65" s="26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2064</v>
      </c>
      <c r="I65" s="2"/>
      <c r="J65" s="7">
        <f t="shared" si="37"/>
        <v>8.9119170984455959E-2</v>
      </c>
      <c r="K65" s="2"/>
      <c r="L65" s="6">
        <f t="shared" si="38"/>
        <v>-2064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15202</v>
      </c>
      <c r="U65" s="2"/>
      <c r="V65" s="7">
        <f t="shared" si="41"/>
        <v>8.9127834713069579E-2</v>
      </c>
      <c r="W65" s="2"/>
      <c r="X65" s="6">
        <f t="shared" si="42"/>
        <v>-15202</v>
      </c>
      <c r="Y65" s="2"/>
      <c r="Z65" s="7">
        <f t="shared" si="43"/>
        <v>-1</v>
      </c>
    </row>
    <row r="66" spans="1:26" s="25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152.26</v>
      </c>
      <c r="E66" s="1"/>
      <c r="F66" s="5">
        <f t="shared" ref="F66:F69" si="44">IF(D$12=0,0,D66/D$12)</f>
        <v>6.3338741212196842E-3</v>
      </c>
      <c r="G66" s="1"/>
      <c r="H66" s="1">
        <f>SUM(OSRRefH22_11x_0)</f>
        <v>138</v>
      </c>
      <c r="I66" s="1"/>
      <c r="J66" s="5">
        <f t="shared" ref="J66:J69" si="45">IF(H$12=0,0,H66/H$12)</f>
        <v>5.9585492227979273E-3</v>
      </c>
      <c r="K66" s="1"/>
      <c r="L66" s="1">
        <f t="shared" ref="L66:L69" si="46">+D66-H66</f>
        <v>14.259999999999991</v>
      </c>
      <c r="M66" s="1"/>
      <c r="N66" s="5">
        <f t="shared" ref="N66:N69" si="47">IF(H66=0,0,L66/H66)</f>
        <v>0.10333333333333326</v>
      </c>
      <c r="O66" s="13"/>
      <c r="P66" s="1">
        <f>SUM(OSRRefP22_11x_0)</f>
        <v>1156.5999999999999</v>
      </c>
      <c r="Q66" s="1"/>
      <c r="R66" s="5">
        <f t="shared" ref="R66:R69" si="48">IF(P$12=0,0,P66/P$12)</f>
        <v>6.0185140857998863E-3</v>
      </c>
      <c r="S66" s="1"/>
      <c r="T66" s="1">
        <f>SUM(OSRRefT22_11x_0)</f>
        <v>1014</v>
      </c>
      <c r="U66" s="1"/>
      <c r="V66" s="5">
        <f t="shared" ref="V66:V69" si="49">IF(T$12=0,0,T66/T$12)</f>
        <v>5.9449825285523327E-3</v>
      </c>
      <c r="W66" s="1"/>
      <c r="X66" s="1">
        <f t="shared" ref="X66:X69" si="50">+P66-T66</f>
        <v>142.59999999999991</v>
      </c>
      <c r="Y66" s="1"/>
      <c r="Z66" s="5">
        <f t="shared" ref="Z66:Z69" si="51">IF(T66=0,0,X66/T66)</f>
        <v>0.1406311637080867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41</v>
      </c>
      <c r="E67" s="2"/>
      <c r="F67" s="7">
        <f t="shared" si="44"/>
        <v>1.7055617954157827E-3</v>
      </c>
      <c r="G67" s="2"/>
      <c r="H67" s="6"/>
      <c r="I67" s="2"/>
      <c r="J67" s="7">
        <f t="shared" si="45"/>
        <v>0</v>
      </c>
      <c r="K67" s="2"/>
      <c r="L67" s="6">
        <f t="shared" si="46"/>
        <v>41</v>
      </c>
      <c r="M67" s="2"/>
      <c r="N67" s="7">
        <f t="shared" si="47"/>
        <v>0</v>
      </c>
      <c r="O67" s="11"/>
      <c r="P67" s="6">
        <v>123</v>
      </c>
      <c r="Q67" s="2"/>
      <c r="R67" s="7">
        <f t="shared" si="48"/>
        <v>6.4004602503318876E-4</v>
      </c>
      <c r="S67" s="2"/>
      <c r="T67" s="6"/>
      <c r="U67" s="2"/>
      <c r="V67" s="7">
        <f t="shared" si="49"/>
        <v>0</v>
      </c>
      <c r="W67" s="2"/>
      <c r="X67" s="6">
        <f t="shared" si="50"/>
        <v>123</v>
      </c>
      <c r="Y67" s="2"/>
      <c r="Z67" s="7">
        <f t="shared" si="51"/>
        <v>0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6">
        <v>22.62</v>
      </c>
      <c r="E68" s="2"/>
      <c r="F68" s="7">
        <f t="shared" si="44"/>
        <v>9.4097092225134166E-4</v>
      </c>
      <c r="G68" s="2"/>
      <c r="H68" s="6">
        <v>138</v>
      </c>
      <c r="I68" s="2"/>
      <c r="J68" s="7">
        <f t="shared" si="45"/>
        <v>5.9585492227979273E-3</v>
      </c>
      <c r="K68" s="2"/>
      <c r="L68" s="6">
        <f t="shared" si="46"/>
        <v>-115.38</v>
      </c>
      <c r="M68" s="2"/>
      <c r="N68" s="7">
        <f t="shared" si="47"/>
        <v>-0.83608695652173914</v>
      </c>
      <c r="O68" s="11"/>
      <c r="P68" s="6">
        <v>135.72</v>
      </c>
      <c r="Q68" s="2"/>
      <c r="R68" s="7">
        <f t="shared" si="48"/>
        <v>7.062361505488161E-4</v>
      </c>
      <c r="S68" s="2"/>
      <c r="T68" s="6">
        <v>1014</v>
      </c>
      <c r="U68" s="2"/>
      <c r="V68" s="7">
        <f t="shared" si="49"/>
        <v>5.9449825285523327E-3</v>
      </c>
      <c r="W68" s="2"/>
      <c r="X68" s="6">
        <f t="shared" si="50"/>
        <v>-878.28</v>
      </c>
      <c r="Y68" s="2"/>
      <c r="Z68" s="7">
        <f t="shared" si="51"/>
        <v>-0.86615384615384616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6">
        <v>88.64</v>
      </c>
      <c r="E69" s="2"/>
      <c r="F69" s="7">
        <f t="shared" si="44"/>
        <v>3.6873414035525605E-3</v>
      </c>
      <c r="G69" s="2"/>
      <c r="H69" s="6"/>
      <c r="I69" s="2"/>
      <c r="J69" s="7">
        <f t="shared" si="45"/>
        <v>0</v>
      </c>
      <c r="K69" s="2"/>
      <c r="L69" s="6">
        <f t="shared" si="46"/>
        <v>88.64</v>
      </c>
      <c r="M69" s="2"/>
      <c r="N69" s="7">
        <f t="shared" si="47"/>
        <v>0</v>
      </c>
      <c r="O69" s="11"/>
      <c r="P69" s="6">
        <v>897.88</v>
      </c>
      <c r="Q69" s="2"/>
      <c r="R69" s="7">
        <f t="shared" si="48"/>
        <v>4.6722319102178826E-3</v>
      </c>
      <c r="S69" s="2"/>
      <c r="T69" s="6"/>
      <c r="U69" s="2"/>
      <c r="V69" s="7">
        <f t="shared" si="49"/>
        <v>0</v>
      </c>
      <c r="W69" s="2"/>
      <c r="X69" s="6">
        <f t="shared" si="50"/>
        <v>897.88</v>
      </c>
      <c r="Y69" s="2"/>
      <c r="Z69" s="7">
        <f t="shared" si="51"/>
        <v>0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506.92</v>
      </c>
      <c r="E70" s="1"/>
      <c r="F70" s="5">
        <f t="shared" ref="F70:F73" si="52">IF(D$12=0,0,D70/D$12)</f>
        <v>2.1087399642248015E-2</v>
      </c>
      <c r="G70" s="1"/>
      <c r="H70" s="1">
        <f>SUM(OSRRefH22_12x_0)</f>
        <v>367</v>
      </c>
      <c r="I70" s="1"/>
      <c r="J70" s="5">
        <f t="shared" ref="J70:J73" si="53">IF(H$12=0,0,H70/H$12)</f>
        <v>1.5846286701208981E-2</v>
      </c>
      <c r="K70" s="1"/>
      <c r="L70" s="1">
        <f t="shared" ref="L70:L73" si="54">+D70-H70</f>
        <v>139.92000000000002</v>
      </c>
      <c r="M70" s="1"/>
      <c r="N70" s="5">
        <f t="shared" ref="N70:N73" si="55">IF(H70=0,0,L70/H70)</f>
        <v>0.38125340599455043</v>
      </c>
      <c r="O70" s="13"/>
      <c r="P70" s="1">
        <f>SUM(OSRRefP22_12x_0)</f>
        <v>6139.9900000000007</v>
      </c>
      <c r="Q70" s="1"/>
      <c r="R70" s="5">
        <f t="shared" ref="R70:R73" si="56">IF(P$12=0,0,P70/P$12)</f>
        <v>3.1950212953199421E-2</v>
      </c>
      <c r="S70" s="1"/>
      <c r="T70" s="1">
        <f>SUM(OSRRefT22_12x_0)</f>
        <v>2702</v>
      </c>
      <c r="U70" s="1"/>
      <c r="V70" s="5">
        <f t="shared" ref="V70:V73" si="57">IF(T$12=0,0,T70/T$12)</f>
        <v>1.584156093900237E-2</v>
      </c>
      <c r="W70" s="1"/>
      <c r="X70" s="1">
        <f t="shared" ref="X70:X73" si="58">+P70-T70</f>
        <v>3437.9900000000007</v>
      </c>
      <c r="Y70" s="1"/>
      <c r="Z70" s="5">
        <f t="shared" ref="Z70:Z73" si="59">IF(T70=0,0,X70/T70)</f>
        <v>1.2723871206513697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354.71</v>
      </c>
      <c r="Q71" s="2"/>
      <c r="R71" s="7">
        <f t="shared" si="56"/>
        <v>1.8457782564188811E-3</v>
      </c>
      <c r="S71" s="2"/>
      <c r="T71" s="6"/>
      <c r="U71" s="2"/>
      <c r="V71" s="7">
        <f t="shared" si="57"/>
        <v>0</v>
      </c>
      <c r="W71" s="2"/>
      <c r="X71" s="6">
        <f t="shared" si="58"/>
        <v>354.71</v>
      </c>
      <c r="Y71" s="2"/>
      <c r="Z71" s="7">
        <f t="shared" si="59"/>
        <v>0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20.93</v>
      </c>
      <c r="Q72" s="2"/>
      <c r="R72" s="7">
        <f t="shared" si="56"/>
        <v>1.0891189678003772E-4</v>
      </c>
      <c r="S72" s="2"/>
      <c r="T72" s="6"/>
      <c r="U72" s="2"/>
      <c r="V72" s="7">
        <f t="shared" si="57"/>
        <v>0</v>
      </c>
      <c r="W72" s="2"/>
      <c r="X72" s="6">
        <f t="shared" si="58"/>
        <v>20.93</v>
      </c>
      <c r="Y72" s="2"/>
      <c r="Z72" s="7">
        <f t="shared" si="59"/>
        <v>0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>
        <v>506.92</v>
      </c>
      <c r="E73" s="2"/>
      <c r="F73" s="7">
        <f t="shared" si="52"/>
        <v>2.1087399642248015E-2</v>
      </c>
      <c r="G73" s="2"/>
      <c r="H73" s="6">
        <v>367</v>
      </c>
      <c r="I73" s="2"/>
      <c r="J73" s="7">
        <f t="shared" si="53"/>
        <v>1.5846286701208981E-2</v>
      </c>
      <c r="K73" s="2"/>
      <c r="L73" s="6">
        <f t="shared" si="54"/>
        <v>139.92000000000002</v>
      </c>
      <c r="M73" s="2"/>
      <c r="N73" s="7">
        <f t="shared" si="55"/>
        <v>0.38125340599455043</v>
      </c>
      <c r="O73" s="11"/>
      <c r="P73" s="6">
        <v>5764.35</v>
      </c>
      <c r="Q73" s="2"/>
      <c r="R73" s="7">
        <f t="shared" si="56"/>
        <v>2.9995522800000503E-2</v>
      </c>
      <c r="S73" s="2"/>
      <c r="T73" s="6">
        <v>2702</v>
      </c>
      <c r="U73" s="2"/>
      <c r="V73" s="7">
        <f t="shared" si="57"/>
        <v>1.584156093900237E-2</v>
      </c>
      <c r="W73" s="2"/>
      <c r="X73" s="6">
        <f t="shared" si="58"/>
        <v>3062.3500000000004</v>
      </c>
      <c r="Y73" s="2"/>
      <c r="Z73" s="7">
        <f t="shared" si="59"/>
        <v>1.1333641746854184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52.5</v>
      </c>
      <c r="E74" s="1"/>
      <c r="F74" s="5">
        <f t="shared" ref="F74:F77" si="60">IF(D$12=0,0,D74/D$12)</f>
        <v>2.1839510794958192E-3</v>
      </c>
      <c r="G74" s="1"/>
      <c r="H74" s="1">
        <f>SUM(OSRRefH22_13x_0)</f>
        <v>75</v>
      </c>
      <c r="I74" s="1"/>
      <c r="J74" s="5">
        <f t="shared" ref="J74:J77" si="61">IF(H$12=0,0,H74/H$12)</f>
        <v>3.2383419689119169E-3</v>
      </c>
      <c r="K74" s="1"/>
      <c r="L74" s="1">
        <f t="shared" ref="L74:L77" si="62">+D74-H74</f>
        <v>-22.5</v>
      </c>
      <c r="M74" s="1"/>
      <c r="N74" s="5">
        <f t="shared" ref="N74:N77" si="63">IF(H74=0,0,L74/H74)</f>
        <v>-0.3</v>
      </c>
      <c r="O74" s="13"/>
      <c r="P74" s="1">
        <f>SUM(OSRRefP22_13x_0)</f>
        <v>330</v>
      </c>
      <c r="Q74" s="1"/>
      <c r="R74" s="5">
        <f t="shared" ref="R74:R77" si="64">IF(P$12=0,0,P74/P$12)</f>
        <v>1.7171966525280674E-3</v>
      </c>
      <c r="S74" s="1"/>
      <c r="T74" s="1">
        <f>SUM(OSRRefT22_13x_0)</f>
        <v>450</v>
      </c>
      <c r="U74" s="1"/>
      <c r="V74" s="5">
        <f t="shared" ref="V74:V77" si="65">IF(T$12=0,0,T74/T$12)</f>
        <v>2.6383058558664195E-3</v>
      </c>
      <c r="W74" s="1"/>
      <c r="X74" s="1">
        <f t="shared" ref="X74:X77" si="66">+P74-T74</f>
        <v>-120</v>
      </c>
      <c r="Y74" s="1"/>
      <c r="Z74" s="5">
        <f t="shared" ref="Z74:Z77" si="67">IF(T74=0,0,X74/T74)</f>
        <v>-0.26666666666666666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52.5</v>
      </c>
      <c r="E75" s="2"/>
      <c r="F75" s="7">
        <f t="shared" si="60"/>
        <v>2.1839510794958192E-3</v>
      </c>
      <c r="G75" s="2"/>
      <c r="H75" s="6">
        <v>75</v>
      </c>
      <c r="I75" s="2"/>
      <c r="J75" s="7">
        <f t="shared" si="61"/>
        <v>3.2383419689119169E-3</v>
      </c>
      <c r="K75" s="2"/>
      <c r="L75" s="6">
        <f t="shared" si="62"/>
        <v>-22.5</v>
      </c>
      <c r="M75" s="2"/>
      <c r="N75" s="7">
        <f t="shared" si="63"/>
        <v>-0.3</v>
      </c>
      <c r="O75" s="11"/>
      <c r="P75" s="6">
        <v>330</v>
      </c>
      <c r="Q75" s="2"/>
      <c r="R75" s="7">
        <f t="shared" si="64"/>
        <v>1.7171966525280674E-3</v>
      </c>
      <c r="S75" s="2"/>
      <c r="T75" s="6">
        <v>450</v>
      </c>
      <c r="U75" s="2"/>
      <c r="V75" s="7">
        <f t="shared" si="65"/>
        <v>2.6383058558664195E-3</v>
      </c>
      <c r="W75" s="2"/>
      <c r="X75" s="6">
        <f t="shared" si="66"/>
        <v>-120</v>
      </c>
      <c r="Y75" s="2"/>
      <c r="Z75" s="7">
        <f t="shared" si="67"/>
        <v>-0.26666666666666666</v>
      </c>
    </row>
    <row r="76" spans="1:26" s="25" customFormat="1" outlineLevel="1" collapsed="1" x14ac:dyDescent="0.25">
      <c r="A76" s="27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SUM(OSRRefD22_14x_0)</f>
        <v>23</v>
      </c>
      <c r="E76" s="1"/>
      <c r="F76" s="5">
        <f t="shared" si="60"/>
        <v>9.5677856816007317E-4</v>
      </c>
      <c r="G76" s="1"/>
      <c r="H76" s="1">
        <f>SUM(OSRRefH22_14x_0)</f>
        <v>23</v>
      </c>
      <c r="I76" s="1"/>
      <c r="J76" s="5">
        <f t="shared" si="61"/>
        <v>9.9309153713298781E-4</v>
      </c>
      <c r="K76" s="1"/>
      <c r="L76" s="1">
        <f t="shared" si="62"/>
        <v>0</v>
      </c>
      <c r="M76" s="1"/>
      <c r="N76" s="5">
        <f t="shared" si="63"/>
        <v>0</v>
      </c>
      <c r="O76" s="13"/>
      <c r="P76" s="1">
        <f>SUM(OSRRefP22_14x_0)</f>
        <v>-750.88</v>
      </c>
      <c r="Q76" s="1"/>
      <c r="R76" s="5">
        <f t="shared" si="64"/>
        <v>-3.9072988559099246E-3</v>
      </c>
      <c r="S76" s="1"/>
      <c r="T76" s="1">
        <f>SUM(OSRRefT22_14x_0)</f>
        <v>169</v>
      </c>
      <c r="U76" s="1"/>
      <c r="V76" s="5">
        <f t="shared" si="65"/>
        <v>9.9083042142538878E-4</v>
      </c>
      <c r="W76" s="1"/>
      <c r="X76" s="1">
        <f t="shared" si="66"/>
        <v>-919.88</v>
      </c>
      <c r="Y76" s="1"/>
      <c r="Z76" s="5">
        <f t="shared" si="67"/>
        <v>-5.4430769230769229</v>
      </c>
    </row>
    <row r="77" spans="1:26" s="24" customFormat="1" hidden="1" outlineLevel="2" x14ac:dyDescent="0.25">
      <c r="A77" s="26"/>
      <c r="B77" s="11" t="str">
        <f>CONCATENATE("          ", "6274", " - ", "UTILITIES")</f>
        <v xml:space="preserve">          6274 - UTILITIES</v>
      </c>
      <c r="C77" s="11"/>
      <c r="D77" s="6">
        <v>23</v>
      </c>
      <c r="E77" s="2"/>
      <c r="F77" s="7">
        <f t="shared" si="60"/>
        <v>9.5677856816007317E-4</v>
      </c>
      <c r="G77" s="2"/>
      <c r="H77" s="6">
        <v>23</v>
      </c>
      <c r="I77" s="2"/>
      <c r="J77" s="7">
        <f t="shared" si="61"/>
        <v>9.9309153713298781E-4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-750.88</v>
      </c>
      <c r="Q77" s="2"/>
      <c r="R77" s="7">
        <f t="shared" si="64"/>
        <v>-3.9072988559099246E-3</v>
      </c>
      <c r="S77" s="2"/>
      <c r="T77" s="6">
        <v>169</v>
      </c>
      <c r="U77" s="2"/>
      <c r="V77" s="7">
        <f t="shared" si="65"/>
        <v>9.9083042142538878E-4</v>
      </c>
      <c r="W77" s="2"/>
      <c r="X77" s="6">
        <f t="shared" si="66"/>
        <v>-919.88</v>
      </c>
      <c r="Y77" s="2"/>
      <c r="Z77" s="7">
        <f t="shared" si="67"/>
        <v>-5.4430769230769229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2">
        <f>+D22-D24+D79</f>
        <v>-2706.49</v>
      </c>
      <c r="E81" s="14"/>
      <c r="F81" s="20">
        <f>IF(D$12=0,0,D81/D$12)</f>
        <v>-0.11258746204085028</v>
      </c>
      <c r="G81" s="14"/>
      <c r="H81" s="22">
        <f>+H22-H24+H79</f>
        <v>21.030894615380021</v>
      </c>
      <c r="I81" s="14"/>
      <c r="J81" s="20">
        <f>IF(H$12=0,0,H81/H$12)</f>
        <v>9.0806971568998358E-4</v>
      </c>
      <c r="K81" s="16"/>
      <c r="L81" s="22">
        <f>+D81-H81</f>
        <v>-2727.5208946153798</v>
      </c>
      <c r="M81" s="16"/>
      <c r="N81" s="20">
        <f>IF(H81=0,0,L81/H81)</f>
        <v>-129.6911493541852</v>
      </c>
      <c r="O81" s="28"/>
      <c r="P81" s="22">
        <f>+P22-P24+P79</f>
        <v>19162.790000000008</v>
      </c>
      <c r="Q81" s="14"/>
      <c r="R81" s="20">
        <f>IF(P$12=0,0,P81/P$12)</f>
        <v>9.9715996488176778E-2</v>
      </c>
      <c r="S81" s="14"/>
      <c r="T81" s="22">
        <f>+T22-T24+T79</f>
        <v>10607.476464999985</v>
      </c>
      <c r="U81" s="14"/>
      <c r="V81" s="20">
        <f>IF(T$12=0,0,T81/T$12)</f>
        <v>6.2190593941277086E-2</v>
      </c>
      <c r="W81" s="16"/>
      <c r="X81" s="22">
        <f>+P81-T81</f>
        <v>8555.313535000023</v>
      </c>
      <c r="Y81" s="16"/>
      <c r="Z81" s="20">
        <f>IF(T81=0,0,X81/T81)</f>
        <v>0.80653617881960904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2951.91</v>
      </c>
      <c r="E83" s="4"/>
      <c r="F83" s="12">
        <f>IF(D$12=0,0,D83/D$12)</f>
        <v>0.12279670535380006</v>
      </c>
      <c r="G83" s="4"/>
      <c r="H83" s="4">
        <v>3290</v>
      </c>
      <c r="I83" s="4"/>
      <c r="J83" s="12">
        <f>IF(H$12=0,0,H83/H$12)</f>
        <v>0.14205526770293608</v>
      </c>
      <c r="K83" s="4"/>
      <c r="L83" s="4">
        <f>+D83-H83</f>
        <v>-338.09000000000015</v>
      </c>
      <c r="M83" s="4"/>
      <c r="N83" s="12">
        <f>IF(H83=0,0,L83/H83)</f>
        <v>-0.10276291793313075</v>
      </c>
      <c r="O83" s="10"/>
      <c r="P83" s="4">
        <v>20756.240000000002</v>
      </c>
      <c r="Q83" s="4"/>
      <c r="R83" s="12">
        <f>IF(P$12=0,0,P83/P$12)</f>
        <v>0.10800771468808841</v>
      </c>
      <c r="S83" s="4"/>
      <c r="T83" s="4">
        <v>21971</v>
      </c>
      <c r="U83" s="4"/>
      <c r="V83" s="12">
        <f>IF(T$12=0,0,T83/T$12)</f>
        <v>0.12881381768720246</v>
      </c>
      <c r="W83" s="4"/>
      <c r="X83" s="4">
        <f>+P83-T83</f>
        <v>-1214.7599999999984</v>
      </c>
      <c r="Y83" s="4"/>
      <c r="Z83" s="12">
        <f>IF(T83=0,0,X83/T83)</f>
        <v>-5.5289244913749869E-2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1">
        <f>+D81-D83</f>
        <v>-5658.4</v>
      </c>
      <c r="E85" s="14"/>
      <c r="F85" s="32">
        <f>IF(D$12=0,0,D85/D$12)</f>
        <v>-0.23538416739465035</v>
      </c>
      <c r="G85" s="14"/>
      <c r="H85" s="31">
        <f>+H81-H83</f>
        <v>-3268.96910538462</v>
      </c>
      <c r="I85" s="14"/>
      <c r="J85" s="32">
        <f>IF(H$12=0,0,H85/H$12)</f>
        <v>-0.14114719798724612</v>
      </c>
      <c r="K85" s="16"/>
      <c r="L85" s="31">
        <f>D85-H85</f>
        <v>-2389.4308946153797</v>
      </c>
      <c r="M85" s="16"/>
      <c r="N85" s="32">
        <f>IF(H85=0,0,L85/H85)</f>
        <v>0.73094324772893327</v>
      </c>
      <c r="O85" s="28"/>
      <c r="P85" s="31">
        <f>+P81-P83</f>
        <v>-1593.4499999999935</v>
      </c>
      <c r="Q85" s="14"/>
      <c r="R85" s="32">
        <f>IF(P$12=0,0,P85/P$12)</f>
        <v>-8.2917181999116289E-3</v>
      </c>
      <c r="S85" s="14"/>
      <c r="T85" s="31">
        <f>+T81-T83</f>
        <v>-11363.523535000015</v>
      </c>
      <c r="U85" s="14"/>
      <c r="V85" s="32">
        <f>IF(T$12=0,0,T85/T$12)</f>
        <v>-6.6623223745925372E-2</v>
      </c>
      <c r="W85" s="16"/>
      <c r="X85" s="31">
        <f>P85-T85</f>
        <v>9770.0735350000214</v>
      </c>
      <c r="Y85" s="16"/>
      <c r="Z85" s="32">
        <f>IF(T85=0,0,X85/T85)</f>
        <v>-0.85977500771727033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5">
        <f>SUM(D85:D87)</f>
        <v>-5658.4</v>
      </c>
      <c r="E88" s="14"/>
      <c r="F88" s="34">
        <f>IF(D$12=0,0,D88/D$12)</f>
        <v>-0.23538416739465035</v>
      </c>
      <c r="G88" s="14"/>
      <c r="H88" s="35">
        <f>SUM(H85:H87)</f>
        <v>-3268.96910538462</v>
      </c>
      <c r="I88" s="14"/>
      <c r="J88" s="34">
        <f>IF(H$12=0,0,H88/H$12)</f>
        <v>-0.14114719798724612</v>
      </c>
      <c r="K88" s="16"/>
      <c r="L88" s="35">
        <f>+D88-H88</f>
        <v>-2389.4308946153797</v>
      </c>
      <c r="M88" s="16"/>
      <c r="N88" s="34">
        <f>IF(H88=0,0,L88/H88)</f>
        <v>0.73094324772893327</v>
      </c>
      <c r="O88" s="28"/>
      <c r="P88" s="35">
        <f>SUM(P85:P87)</f>
        <v>-1593.4499999999935</v>
      </c>
      <c r="Q88" s="14"/>
      <c r="R88" s="34">
        <f>IF(P$12=0,0,P88/P$12)</f>
        <v>-8.2917181999116289E-3</v>
      </c>
      <c r="S88" s="14"/>
      <c r="T88" s="35">
        <f>SUM(T85:T87)</f>
        <v>-11363.523535000015</v>
      </c>
      <c r="U88" s="14"/>
      <c r="V88" s="34">
        <f>IF(T$12=0,0,T88/T$12)</f>
        <v>-6.6623223745925372E-2</v>
      </c>
      <c r="W88" s="16"/>
      <c r="X88" s="35">
        <f>+P88-T88</f>
        <v>9770.0735350000214</v>
      </c>
      <c r="Y88" s="16"/>
      <c r="Z88" s="34">
        <f>IF(T88=0,0,X88/T88)</f>
        <v>-0.85977500771727033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3">
        <v>43847.44603353009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5" t="s">
        <v>314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70553.149999999994</v>
      </c>
      <c r="E12" s="4"/>
      <c r="F12" s="12"/>
      <c r="G12" s="4"/>
      <c r="H12" s="4">
        <f>SUM(OSRRefH13x_0)</f>
        <v>95056</v>
      </c>
      <c r="I12" s="4"/>
      <c r="J12" s="12"/>
      <c r="K12" s="4"/>
      <c r="L12" s="4">
        <f t="shared" ref="L12:L15" si="0">+D12-H12</f>
        <v>-24502.850000000006</v>
      </c>
      <c r="M12" s="4"/>
      <c r="N12" s="12">
        <f t="shared" ref="N12:N15" si="1">IF(H12=0,0,L12/H12)</f>
        <v>-0.25777278656791791</v>
      </c>
      <c r="O12" s="10"/>
      <c r="P12" s="4">
        <f>SUM(OSRRefP13x_0)</f>
        <v>485614.97</v>
      </c>
      <c r="Q12" s="4"/>
      <c r="R12" s="12"/>
      <c r="S12" s="4"/>
      <c r="T12" s="4">
        <f>SUM(OSRRefT13x_0)</f>
        <v>524800</v>
      </c>
      <c r="U12" s="4"/>
      <c r="V12" s="12"/>
      <c r="W12" s="4"/>
      <c r="X12" s="4">
        <f t="shared" ref="X12:X15" si="2">+P12-T12</f>
        <v>-39185.030000000028</v>
      </c>
      <c r="Y12" s="4"/>
      <c r="Z12" s="12">
        <f t="shared" ref="Z12:Z15" si="3">IF(T12=0,0,X12/T12)</f>
        <v>-7.4666596798780543E-2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--10073.39</f>
        <v>10073.39</v>
      </c>
      <c r="E13" s="2"/>
      <c r="F13" s="19"/>
      <c r="G13" s="2"/>
      <c r="H13" s="2"/>
      <c r="I13" s="2"/>
      <c r="J13" s="19"/>
      <c r="K13" s="2"/>
      <c r="L13" s="2">
        <f t="shared" si="0"/>
        <v>10073.39</v>
      </c>
      <c r="M13" s="2"/>
      <c r="N13" s="19">
        <f t="shared" si="1"/>
        <v>0</v>
      </c>
      <c r="O13" s="11"/>
      <c r="P13" s="2">
        <f>--63131.47</f>
        <v>63131.47</v>
      </c>
      <c r="Q13" s="2"/>
      <c r="R13" s="19"/>
      <c r="S13" s="2"/>
      <c r="T13" s="2"/>
      <c r="U13" s="2"/>
      <c r="V13" s="19"/>
      <c r="W13" s="2"/>
      <c r="X13" s="2">
        <f t="shared" si="2"/>
        <v>63131.47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95056</v>
      </c>
      <c r="I14" s="2"/>
      <c r="J14" s="19"/>
      <c r="K14" s="2"/>
      <c r="L14" s="2">
        <f t="shared" si="0"/>
        <v>-95056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524800</v>
      </c>
      <c r="U14" s="2"/>
      <c r="V14" s="19"/>
      <c r="W14" s="2"/>
      <c r="X14" s="2">
        <f t="shared" si="2"/>
        <v>-524800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--60479.76</f>
        <v>60479.76</v>
      </c>
      <c r="E15" s="2"/>
      <c r="F15" s="19"/>
      <c r="G15" s="2"/>
      <c r="H15" s="2"/>
      <c r="I15" s="2"/>
      <c r="J15" s="19"/>
      <c r="K15" s="2"/>
      <c r="L15" s="2">
        <f t="shared" si="0"/>
        <v>60479.76</v>
      </c>
      <c r="M15" s="2"/>
      <c r="N15" s="19">
        <f t="shared" si="1"/>
        <v>0</v>
      </c>
      <c r="O15" s="11"/>
      <c r="P15" s="2">
        <f>--422483.5</f>
        <v>422483.5</v>
      </c>
      <c r="Q15" s="2"/>
      <c r="R15" s="19"/>
      <c r="S15" s="2"/>
      <c r="T15" s="2"/>
      <c r="U15" s="2"/>
      <c r="V15" s="19"/>
      <c r="W15" s="2"/>
      <c r="X15" s="2">
        <f t="shared" si="2"/>
        <v>422483.5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35676.959999999999</v>
      </c>
      <c r="E17" s="4"/>
      <c r="F17" s="12">
        <f t="shared" ref="F17:F20" si="4">IF(D$12=0,0,D17/D$12)</f>
        <v>0.50567494151572256</v>
      </c>
      <c r="G17" s="4"/>
      <c r="H17" s="4">
        <f>SUM(OSRRefH16x_0)</f>
        <v>45627</v>
      </c>
      <c r="I17" s="4"/>
      <c r="J17" s="12">
        <f t="shared" ref="J17:J20" si="5">IF(H$12=0,0,H17/H$12)</f>
        <v>0.48000126241373509</v>
      </c>
      <c r="K17" s="4"/>
      <c r="L17" s="4">
        <f t="shared" ref="L17:L20" si="6">+D17-H17</f>
        <v>-9950.0400000000009</v>
      </c>
      <c r="M17" s="4"/>
      <c r="N17" s="12">
        <f t="shared" ref="N17:N20" si="7">IF(H17=0,0,L17/H17)</f>
        <v>-0.21807350910645015</v>
      </c>
      <c r="O17" s="10"/>
      <c r="P17" s="4">
        <f>SUM(OSRRefP16x_0)</f>
        <v>247036.13</v>
      </c>
      <c r="Q17" s="4"/>
      <c r="R17" s="12">
        <f t="shared" ref="R17:R20" si="8">IF(P$12=0,0,P17/P$12)</f>
        <v>0.50870781434106127</v>
      </c>
      <c r="S17" s="4"/>
      <c r="T17" s="4">
        <f>SUM(OSRRefT16x_0)</f>
        <v>251904</v>
      </c>
      <c r="U17" s="4"/>
      <c r="V17" s="12">
        <f t="shared" ref="V17:V20" si="9">IF(T$12=0,0,T17/T$12)</f>
        <v>0.48</v>
      </c>
      <c r="W17" s="4"/>
      <c r="X17" s="4">
        <f t="shared" ref="X17:X20" si="10">+P17-T17</f>
        <v>-4867.8699999999953</v>
      </c>
      <c r="Y17" s="4"/>
      <c r="Z17" s="12">
        <f t="shared" ref="Z17:Z20" si="11">IF(T17=0,0,X17/T17)</f>
        <v>-1.9324306084857704E-2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45627</v>
      </c>
      <c r="I18" s="2"/>
      <c r="J18" s="19">
        <f t="shared" si="5"/>
        <v>0.48000126241373509</v>
      </c>
      <c r="K18" s="2"/>
      <c r="L18" s="2">
        <f t="shared" si="6"/>
        <v>-45627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251904</v>
      </c>
      <c r="U18" s="2"/>
      <c r="V18" s="19">
        <f t="shared" si="9"/>
        <v>0.48</v>
      </c>
      <c r="W18" s="2"/>
      <c r="X18" s="2">
        <f t="shared" si="10"/>
        <v>-251904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27088.449999999997</v>
      </c>
      <c r="E19" s="2"/>
      <c r="F19" s="19">
        <f t="shared" si="4"/>
        <v>0.38394387777158073</v>
      </c>
      <c r="G19" s="2"/>
      <c r="H19" s="2"/>
      <c r="I19" s="2"/>
      <c r="J19" s="19">
        <f t="shared" si="5"/>
        <v>0</v>
      </c>
      <c r="K19" s="2"/>
      <c r="L19" s="2">
        <f t="shared" si="6"/>
        <v>27088.449999999997</v>
      </c>
      <c r="M19" s="2"/>
      <c r="N19" s="19">
        <f t="shared" si="7"/>
        <v>0</v>
      </c>
      <c r="O19" s="11"/>
      <c r="P19" s="2">
        <v>253238.29</v>
      </c>
      <c r="Q19" s="2"/>
      <c r="R19" s="19">
        <f t="shared" si="8"/>
        <v>0.5214795787699873</v>
      </c>
      <c r="S19" s="2"/>
      <c r="T19" s="2"/>
      <c r="U19" s="2"/>
      <c r="V19" s="19">
        <f t="shared" si="9"/>
        <v>0</v>
      </c>
      <c r="W19" s="2"/>
      <c r="X19" s="2">
        <f t="shared" si="10"/>
        <v>253238.29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8588.51</v>
      </c>
      <c r="E20" s="2"/>
      <c r="F20" s="19">
        <f t="shared" si="4"/>
        <v>0.12173106374414185</v>
      </c>
      <c r="G20" s="2"/>
      <c r="H20" s="2"/>
      <c r="I20" s="2"/>
      <c r="J20" s="19">
        <f t="shared" si="5"/>
        <v>0</v>
      </c>
      <c r="K20" s="2"/>
      <c r="L20" s="2">
        <f t="shared" si="6"/>
        <v>8588.51</v>
      </c>
      <c r="M20" s="2"/>
      <c r="N20" s="19">
        <f t="shared" si="7"/>
        <v>0</v>
      </c>
      <c r="O20" s="11"/>
      <c r="P20" s="2">
        <v>-6202.16</v>
      </c>
      <c r="Q20" s="2"/>
      <c r="R20" s="19">
        <f t="shared" si="8"/>
        <v>-1.277176442892607E-2</v>
      </c>
      <c r="S20" s="2"/>
      <c r="T20" s="2"/>
      <c r="U20" s="2"/>
      <c r="V20" s="19">
        <f t="shared" si="9"/>
        <v>0</v>
      </c>
      <c r="W20" s="2"/>
      <c r="X20" s="2">
        <f t="shared" si="10"/>
        <v>-6202.16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34876.189999999995</v>
      </c>
      <c r="E22" s="14"/>
      <c r="F22" s="20">
        <f>IF(D$12=0,0,D22/D$12)</f>
        <v>0.49432505848427744</v>
      </c>
      <c r="G22" s="14"/>
      <c r="H22" s="22">
        <f>H12-H17</f>
        <v>49429</v>
      </c>
      <c r="I22" s="14"/>
      <c r="J22" s="20">
        <f>IF(H$12=0,0,H22/H$12)</f>
        <v>0.51999873758626491</v>
      </c>
      <c r="K22" s="16"/>
      <c r="L22" s="22">
        <f>+D22-H22</f>
        <v>-14552.810000000005</v>
      </c>
      <c r="M22" s="16"/>
      <c r="N22" s="20">
        <f>IF(H22=0,0,L22/H22)</f>
        <v>-0.2944184587994903</v>
      </c>
      <c r="O22" s="28"/>
      <c r="P22" s="22">
        <f>P12-P17</f>
        <v>238578.83999999997</v>
      </c>
      <c r="Q22" s="14"/>
      <c r="R22" s="20">
        <f>IF(P$12=0,0,P22/P$12)</f>
        <v>0.49129218565893878</v>
      </c>
      <c r="S22" s="14"/>
      <c r="T22" s="22">
        <f>T12-T17</f>
        <v>272896</v>
      </c>
      <c r="U22" s="14"/>
      <c r="V22" s="20">
        <f>IF(T$12=0,0,T22/T$12)</f>
        <v>0.52</v>
      </c>
      <c r="W22" s="16"/>
      <c r="X22" s="22">
        <f>+P22-T22</f>
        <v>-34317.160000000033</v>
      </c>
      <c r="Y22" s="16"/>
      <c r="Z22" s="20">
        <f>IF(T22=0,0,X22/T22)</f>
        <v>-0.12575178822701699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28032.560000000001</v>
      </c>
      <c r="E24" s="21"/>
      <c r="F24" s="30">
        <f t="shared" ref="F24:F34" si="12">IF(D$12=0,0,D24/D$12)</f>
        <v>0.39732542062260867</v>
      </c>
      <c r="G24" s="21"/>
      <c r="H24" s="21">
        <f>SUM(OSRRefH22x_0)</f>
        <v>27505.189210769229</v>
      </c>
      <c r="I24" s="21"/>
      <c r="J24" s="30">
        <f t="shared" ref="J24:J34" si="13">IF(H$12=0,0,H24/H$12)</f>
        <v>0.28935773870948944</v>
      </c>
      <c r="K24" s="4"/>
      <c r="L24" s="21">
        <f t="shared" ref="L24:L34" si="14">+D24-H24</f>
        <v>527.37078923077206</v>
      </c>
      <c r="M24" s="4"/>
      <c r="N24" s="30">
        <f t="shared" ref="N24:N34" si="15">IF(H24=0,0,L24/H24)</f>
        <v>1.9173501595992955E-2</v>
      </c>
      <c r="O24" s="10"/>
      <c r="P24" s="21">
        <f>SUM(OSRRefP22x_0)</f>
        <v>172971.97999999998</v>
      </c>
      <c r="Q24" s="21"/>
      <c r="R24" s="30">
        <f t="shared" ref="R24:R34" si="16">IF(P$12=0,0,P24/P$12)</f>
        <v>0.35619161410942496</v>
      </c>
      <c r="S24" s="21"/>
      <c r="T24" s="21">
        <f>SUM(OSRRefT22x_0)</f>
        <v>166399.84753249999</v>
      </c>
      <c r="U24" s="21"/>
      <c r="V24" s="30">
        <f t="shared" ref="V24:V34" si="17">IF(T$12=0,0,T24/T$12)</f>
        <v>0.3170728802067454</v>
      </c>
      <c r="W24" s="4"/>
      <c r="X24" s="21">
        <f t="shared" ref="X24:X34" si="18">+P24-T24</f>
        <v>6572.1324674999923</v>
      </c>
      <c r="Y24" s="4"/>
      <c r="Z24" s="30">
        <f t="shared" ref="Z24:Z34" si="19">IF(T24=0,0,X24/T24)</f>
        <v>3.9496024575481486E-2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2376.46</v>
      </c>
      <c r="E25" s="1"/>
      <c r="F25" s="5">
        <f t="shared" si="12"/>
        <v>3.3683258649684675E-2</v>
      </c>
      <c r="G25" s="1"/>
      <c r="H25" s="1">
        <f>SUM(OSRRefH22_0x_0)</f>
        <v>2255.2199799999999</v>
      </c>
      <c r="I25" s="1"/>
      <c r="J25" s="5">
        <f t="shared" si="13"/>
        <v>2.3725172319474835E-2</v>
      </c>
      <c r="K25" s="1"/>
      <c r="L25" s="1">
        <f t="shared" si="14"/>
        <v>121.24002000000019</v>
      </c>
      <c r="M25" s="1"/>
      <c r="N25" s="5">
        <f t="shared" si="15"/>
        <v>5.3759731234733113E-2</v>
      </c>
      <c r="O25" s="13"/>
      <c r="P25" s="1">
        <f>SUM(OSRRefP22_0x_0)</f>
        <v>14444.28</v>
      </c>
      <c r="Q25" s="1"/>
      <c r="R25" s="5">
        <f t="shared" si="16"/>
        <v>2.9744305452527549E-2</v>
      </c>
      <c r="S25" s="1"/>
      <c r="T25" s="1">
        <f>SUM(OSRRefT22_0x_0)</f>
        <v>14421.047532500001</v>
      </c>
      <c r="U25" s="1"/>
      <c r="V25" s="5">
        <f t="shared" si="17"/>
        <v>2.7479130206745427E-2</v>
      </c>
      <c r="W25" s="1"/>
      <c r="X25" s="1">
        <f t="shared" si="18"/>
        <v>23.232467499999984</v>
      </c>
      <c r="Y25" s="1"/>
      <c r="Z25" s="5">
        <f t="shared" si="19"/>
        <v>1.6110110897035823E-3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367.84</v>
      </c>
      <c r="E26" s="2"/>
      <c r="F26" s="7">
        <f t="shared" si="12"/>
        <v>5.2136580719641858E-3</v>
      </c>
      <c r="G26" s="2"/>
      <c r="H26" s="6">
        <v>302.69381076923099</v>
      </c>
      <c r="I26" s="2"/>
      <c r="J26" s="7">
        <f t="shared" si="13"/>
        <v>3.1843735352763739E-3</v>
      </c>
      <c r="K26" s="2"/>
      <c r="L26" s="6">
        <f t="shared" si="14"/>
        <v>65.146189230768982</v>
      </c>
      <c r="M26" s="2"/>
      <c r="N26" s="7">
        <f t="shared" si="15"/>
        <v>0.21522141158160454</v>
      </c>
      <c r="O26" s="11"/>
      <c r="P26" s="6">
        <v>3555.66</v>
      </c>
      <c r="Q26" s="2"/>
      <c r="R26" s="7">
        <f t="shared" si="16"/>
        <v>7.3219736203766535E-3</v>
      </c>
      <c r="S26" s="2"/>
      <c r="T26" s="6">
        <v>2319.6434325000018</v>
      </c>
      <c r="U26" s="2"/>
      <c r="V26" s="7">
        <f t="shared" si="17"/>
        <v>4.4200522722942105E-3</v>
      </c>
      <c r="W26" s="2"/>
      <c r="X26" s="6">
        <f t="shared" si="18"/>
        <v>1236.016567499998</v>
      </c>
      <c r="Y26" s="2"/>
      <c r="Z26" s="7">
        <f t="shared" si="19"/>
        <v>0.53284765674863999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462.86</v>
      </c>
      <c r="E27" s="2"/>
      <c r="F27" s="7">
        <f t="shared" si="12"/>
        <v>6.5604441474264447E-3</v>
      </c>
      <c r="G27" s="2"/>
      <c r="H27" s="6">
        <v>320.448884615385</v>
      </c>
      <c r="I27" s="2"/>
      <c r="J27" s="7">
        <f t="shared" si="13"/>
        <v>3.3711589443631649E-3</v>
      </c>
      <c r="K27" s="2"/>
      <c r="L27" s="6">
        <f t="shared" si="14"/>
        <v>142.41111538461502</v>
      </c>
      <c r="M27" s="2"/>
      <c r="N27" s="7">
        <f t="shared" si="15"/>
        <v>0.44441133117234055</v>
      </c>
      <c r="O27" s="11"/>
      <c r="P27" s="6">
        <v>1737.45</v>
      </c>
      <c r="Q27" s="2"/>
      <c r="R27" s="7">
        <f t="shared" si="16"/>
        <v>3.5778345136271233E-3</v>
      </c>
      <c r="S27" s="2"/>
      <c r="T27" s="6">
        <v>1987.7277500000018</v>
      </c>
      <c r="U27" s="2"/>
      <c r="V27" s="7">
        <f t="shared" si="17"/>
        <v>3.7875909870426863E-3</v>
      </c>
      <c r="W27" s="2"/>
      <c r="X27" s="6">
        <f t="shared" si="18"/>
        <v>-250.27775000000179</v>
      </c>
      <c r="Y27" s="2"/>
      <c r="Z27" s="7">
        <f t="shared" si="19"/>
        <v>-0.12591148360232007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641.14</v>
      </c>
      <c r="E28" s="2"/>
      <c r="F28" s="7">
        <f t="shared" si="12"/>
        <v>9.0873334500302261E-3</v>
      </c>
      <c r="G28" s="2"/>
      <c r="H28" s="6">
        <v>663</v>
      </c>
      <c r="I28" s="2"/>
      <c r="J28" s="7">
        <f t="shared" si="13"/>
        <v>6.9748358862144417E-3</v>
      </c>
      <c r="K28" s="2"/>
      <c r="L28" s="6">
        <f t="shared" si="14"/>
        <v>-21.860000000000014</v>
      </c>
      <c r="M28" s="2"/>
      <c r="N28" s="7">
        <f t="shared" si="15"/>
        <v>-3.2971342383107109E-2</v>
      </c>
      <c r="O28" s="11"/>
      <c r="P28" s="6">
        <v>3846.84</v>
      </c>
      <c r="Q28" s="2"/>
      <c r="R28" s="7">
        <f t="shared" si="16"/>
        <v>7.921584460215467E-3</v>
      </c>
      <c r="S28" s="2"/>
      <c r="T28" s="6">
        <v>3978</v>
      </c>
      <c r="U28" s="2"/>
      <c r="V28" s="7">
        <f t="shared" si="17"/>
        <v>7.5800304878048778E-3</v>
      </c>
      <c r="W28" s="2"/>
      <c r="X28" s="6">
        <f t="shared" si="18"/>
        <v>-131.15999999999985</v>
      </c>
      <c r="Y28" s="2"/>
      <c r="Z28" s="7">
        <f t="shared" si="19"/>
        <v>-3.2971342383107054E-2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63.34</v>
      </c>
      <c r="E29" s="2"/>
      <c r="F29" s="7">
        <f t="shared" si="12"/>
        <v>8.9776289223089277E-4</v>
      </c>
      <c r="G29" s="2"/>
      <c r="H29" s="6">
        <v>43.850900000000003</v>
      </c>
      <c r="I29" s="2"/>
      <c r="J29" s="7">
        <f t="shared" si="13"/>
        <v>4.6131648712337991E-4</v>
      </c>
      <c r="K29" s="2"/>
      <c r="L29" s="6">
        <f t="shared" si="14"/>
        <v>19.489100000000001</v>
      </c>
      <c r="M29" s="2"/>
      <c r="N29" s="7">
        <f t="shared" si="15"/>
        <v>0.44444013691851247</v>
      </c>
      <c r="O29" s="11"/>
      <c r="P29" s="6">
        <v>282.93</v>
      </c>
      <c r="Q29" s="2"/>
      <c r="R29" s="7">
        <f t="shared" si="16"/>
        <v>5.8262207196783911E-4</v>
      </c>
      <c r="S29" s="2"/>
      <c r="T29" s="6">
        <v>272.00484999999998</v>
      </c>
      <c r="U29" s="2"/>
      <c r="V29" s="7">
        <f t="shared" si="17"/>
        <v>5.1830192454268285E-4</v>
      </c>
      <c r="W29" s="2"/>
      <c r="X29" s="6">
        <f t="shared" si="18"/>
        <v>10.925150000000031</v>
      </c>
      <c r="Y29" s="2"/>
      <c r="Z29" s="7">
        <f t="shared" si="19"/>
        <v>4.0165276464739622E-2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268.22000000000003</v>
      </c>
      <c r="E30" s="2"/>
      <c r="F30" s="7">
        <f t="shared" si="12"/>
        <v>3.8016729231791927E-3</v>
      </c>
      <c r="G30" s="2"/>
      <c r="H30" s="6">
        <v>340.149846153846</v>
      </c>
      <c r="I30" s="2"/>
      <c r="J30" s="7">
        <f t="shared" si="13"/>
        <v>3.5784153146970837E-3</v>
      </c>
      <c r="K30" s="2"/>
      <c r="L30" s="6">
        <f t="shared" si="14"/>
        <v>-71.929846153845972</v>
      </c>
      <c r="M30" s="2"/>
      <c r="N30" s="7">
        <f t="shared" si="15"/>
        <v>-0.21146517326752781</v>
      </c>
      <c r="O30" s="11"/>
      <c r="P30" s="6">
        <v>1475.21</v>
      </c>
      <c r="Q30" s="2"/>
      <c r="R30" s="7">
        <f t="shared" si="16"/>
        <v>3.0378182122350965E-3</v>
      </c>
      <c r="S30" s="2"/>
      <c r="T30" s="6">
        <v>2210.9740000000002</v>
      </c>
      <c r="U30" s="2"/>
      <c r="V30" s="7">
        <f t="shared" si="17"/>
        <v>4.2129839939024395E-3</v>
      </c>
      <c r="W30" s="2"/>
      <c r="X30" s="6">
        <f t="shared" si="18"/>
        <v>-735.76400000000012</v>
      </c>
      <c r="Y30" s="2"/>
      <c r="Z30" s="7">
        <f t="shared" si="19"/>
        <v>-0.33277822353406239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221.28</v>
      </c>
      <c r="E32" s="2"/>
      <c r="F32" s="7">
        <f t="shared" si="12"/>
        <v>3.1363589010554456E-3</v>
      </c>
      <c r="G32" s="2"/>
      <c r="H32" s="6">
        <v>118.65692307692301</v>
      </c>
      <c r="I32" s="2"/>
      <c r="J32" s="7">
        <f t="shared" si="13"/>
        <v>1.2482844121036337E-3</v>
      </c>
      <c r="K32" s="2"/>
      <c r="L32" s="6">
        <f t="shared" si="14"/>
        <v>102.62307692307699</v>
      </c>
      <c r="M32" s="2"/>
      <c r="N32" s="7">
        <f t="shared" si="15"/>
        <v>0.86487222373487993</v>
      </c>
      <c r="O32" s="11"/>
      <c r="P32" s="6">
        <v>1438.32</v>
      </c>
      <c r="Q32" s="2"/>
      <c r="R32" s="7">
        <f t="shared" si="16"/>
        <v>2.9618526792944623E-3</v>
      </c>
      <c r="S32" s="2"/>
      <c r="T32" s="6">
        <v>771.27</v>
      </c>
      <c r="U32" s="2"/>
      <c r="V32" s="7">
        <f t="shared" si="17"/>
        <v>1.4696455792682927E-3</v>
      </c>
      <c r="W32" s="2"/>
      <c r="X32" s="6">
        <f t="shared" si="18"/>
        <v>667.05</v>
      </c>
      <c r="Y32" s="2"/>
      <c r="Z32" s="7">
        <f t="shared" si="19"/>
        <v>0.86487222373487882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2.5104477971571791E-3</v>
      </c>
      <c r="G33" s="2"/>
      <c r="H33" s="6">
        <v>466.41961538461504</v>
      </c>
      <c r="I33" s="2"/>
      <c r="J33" s="7">
        <f t="shared" si="13"/>
        <v>4.906787739696758E-3</v>
      </c>
      <c r="K33" s="2"/>
      <c r="L33" s="6">
        <f t="shared" si="14"/>
        <v>-289.29961538461504</v>
      </c>
      <c r="M33" s="2"/>
      <c r="N33" s="7">
        <f t="shared" si="15"/>
        <v>-0.62025610810997989</v>
      </c>
      <c r="O33" s="11"/>
      <c r="P33" s="6">
        <v>1151.28</v>
      </c>
      <c r="Q33" s="2"/>
      <c r="R33" s="7">
        <f t="shared" si="16"/>
        <v>2.370767112059993E-3</v>
      </c>
      <c r="S33" s="2"/>
      <c r="T33" s="6">
        <v>2881.427499999998</v>
      </c>
      <c r="U33" s="2"/>
      <c r="V33" s="7">
        <f t="shared" si="17"/>
        <v>5.4905249618902403E-3</v>
      </c>
      <c r="W33" s="2"/>
      <c r="X33" s="6">
        <f t="shared" si="18"/>
        <v>-1730.147499999998</v>
      </c>
      <c r="Y33" s="2"/>
      <c r="Z33" s="7">
        <f t="shared" si="19"/>
        <v>-0.60044804181260825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174.66</v>
      </c>
      <c r="E34" s="2"/>
      <c r="F34" s="7">
        <f t="shared" si="12"/>
        <v>2.4755804666411071E-3</v>
      </c>
      <c r="G34" s="2"/>
      <c r="H34" s="6"/>
      <c r="I34" s="2"/>
      <c r="J34" s="7">
        <f t="shared" si="13"/>
        <v>0</v>
      </c>
      <c r="K34" s="2"/>
      <c r="L34" s="6">
        <f t="shared" si="14"/>
        <v>174.66</v>
      </c>
      <c r="M34" s="2"/>
      <c r="N34" s="7">
        <f t="shared" si="15"/>
        <v>0</v>
      </c>
      <c r="O34" s="11"/>
      <c r="P34" s="6">
        <v>956.59</v>
      </c>
      <c r="Q34" s="2"/>
      <c r="R34" s="7">
        <f t="shared" si="16"/>
        <v>1.9698527827509108E-3</v>
      </c>
      <c r="S34" s="2"/>
      <c r="T34" s="6"/>
      <c r="U34" s="2"/>
      <c r="V34" s="7">
        <f t="shared" si="17"/>
        <v>0</v>
      </c>
      <c r="W34" s="2"/>
      <c r="X34" s="6">
        <f t="shared" si="18"/>
        <v>956.59</v>
      </c>
      <c r="Y34" s="2"/>
      <c r="Z34" s="7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15140.29</v>
      </c>
      <c r="E35" s="1"/>
      <c r="F35" s="5">
        <f t="shared" ref="F35:F45" si="20">IF(D$12=0,0,D35/D$12)</f>
        <v>0.21459410387771491</v>
      </c>
      <c r="G35" s="1"/>
      <c r="H35" s="1">
        <f>SUM(OSRRefH22_1x_0)</f>
        <v>16667.969230769231</v>
      </c>
      <c r="I35" s="1"/>
      <c r="J35" s="5">
        <f t="shared" ref="J35:J45" si="21">IF(H$12=0,0,H35/H$12)</f>
        <v>0.17534894410420418</v>
      </c>
      <c r="K35" s="1"/>
      <c r="L35" s="1">
        <f t="shared" ref="L35:L45" si="22">+D35-H35</f>
        <v>-1527.6792307692303</v>
      </c>
      <c r="M35" s="1"/>
      <c r="N35" s="5">
        <f t="shared" ref="N35:N45" si="23">IF(H35=0,0,L35/H35)</f>
        <v>-9.1653590765521681E-2</v>
      </c>
      <c r="O35" s="13"/>
      <c r="P35" s="1">
        <f>SUM(OSRRefP22_1x_0)</f>
        <v>100402.89</v>
      </c>
      <c r="Q35" s="1"/>
      <c r="R35" s="5">
        <f t="shared" ref="R35:R45" si="24">IF(P$12=0,0,P35/P$12)</f>
        <v>0.20675410809514377</v>
      </c>
      <c r="S35" s="1"/>
      <c r="T35" s="1">
        <f>SUM(OSRRefT22_1x_0)</f>
        <v>103331.8</v>
      </c>
      <c r="U35" s="1"/>
      <c r="V35" s="5">
        <f t="shared" ref="V35:V45" si="25">IF(T$12=0,0,T35/T$12)</f>
        <v>0.19689748475609756</v>
      </c>
      <c r="W35" s="1"/>
      <c r="X35" s="1">
        <f t="shared" ref="X35:X45" si="26">+P35-T35</f>
        <v>-2928.9100000000035</v>
      </c>
      <c r="Y35" s="1"/>
      <c r="Z35" s="5">
        <f t="shared" ref="Z35:Z45" si="27">IF(T35=0,0,X35/T35)</f>
        <v>-2.8344710921516934E-2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3757.4692307692299</v>
      </c>
      <c r="I36" s="2"/>
      <c r="J36" s="7">
        <f t="shared" si="21"/>
        <v>3.9529006383281745E-2</v>
      </c>
      <c r="K36" s="2"/>
      <c r="L36" s="6">
        <f t="shared" si="22"/>
        <v>-3757.4692307692299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24423.550000000003</v>
      </c>
      <c r="U36" s="2"/>
      <c r="V36" s="7">
        <f t="shared" si="25"/>
        <v>4.6538776676829277E-2</v>
      </c>
      <c r="W36" s="2"/>
      <c r="X36" s="6">
        <f t="shared" si="26"/>
        <v>-24423.550000000003</v>
      </c>
      <c r="Y36" s="2"/>
      <c r="Z36" s="7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3264</v>
      </c>
      <c r="E37" s="2"/>
      <c r="F37" s="7">
        <f t="shared" si="20"/>
        <v>4.626299463595885E-2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3264</v>
      </c>
      <c r="M37" s="2"/>
      <c r="N37" s="7">
        <f t="shared" si="23"/>
        <v>0</v>
      </c>
      <c r="O37" s="11"/>
      <c r="P37" s="6">
        <v>22080</v>
      </c>
      <c r="Q37" s="2"/>
      <c r="R37" s="7">
        <f t="shared" si="24"/>
        <v>4.5468120556497675E-2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22080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969.5</v>
      </c>
      <c r="E40" s="2"/>
      <c r="F40" s="7">
        <f t="shared" si="20"/>
        <v>1.3741413388346235E-2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969.5</v>
      </c>
      <c r="M40" s="2"/>
      <c r="N40" s="7">
        <f t="shared" si="23"/>
        <v>0</v>
      </c>
      <c r="O40" s="11"/>
      <c r="P40" s="6">
        <v>7924</v>
      </c>
      <c r="Q40" s="2"/>
      <c r="R40" s="7">
        <f t="shared" si="24"/>
        <v>1.6317454134496718E-2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7924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10537.79</v>
      </c>
      <c r="E42" s="2"/>
      <c r="F42" s="7">
        <f t="shared" si="20"/>
        <v>0.14935959627599904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10537.79</v>
      </c>
      <c r="M42" s="2"/>
      <c r="N42" s="7">
        <f t="shared" si="23"/>
        <v>0</v>
      </c>
      <c r="O42" s="11"/>
      <c r="P42" s="6">
        <v>68553.89</v>
      </c>
      <c r="Q42" s="2"/>
      <c r="R42" s="7">
        <f t="shared" si="24"/>
        <v>0.14116922713482247</v>
      </c>
      <c r="S42" s="2"/>
      <c r="T42" s="6">
        <v>4601.25</v>
      </c>
      <c r="U42" s="2"/>
      <c r="V42" s="7">
        <f t="shared" si="25"/>
        <v>8.7676257621951224E-3</v>
      </c>
      <c r="W42" s="2"/>
      <c r="X42" s="6">
        <f t="shared" si="26"/>
        <v>63952.639999999999</v>
      </c>
      <c r="Y42" s="2"/>
      <c r="Z42" s="7">
        <f t="shared" si="27"/>
        <v>13.898970931812007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>
        <v>369</v>
      </c>
      <c r="E43" s="2"/>
      <c r="F43" s="7">
        <f t="shared" si="20"/>
        <v>5.2300995774107895E-3</v>
      </c>
      <c r="G43" s="2"/>
      <c r="H43" s="6">
        <v>12910.5</v>
      </c>
      <c r="I43" s="2"/>
      <c r="J43" s="7">
        <f t="shared" si="21"/>
        <v>0.13581993772092241</v>
      </c>
      <c r="K43" s="2"/>
      <c r="L43" s="6">
        <f t="shared" si="22"/>
        <v>-12541.5</v>
      </c>
      <c r="M43" s="2"/>
      <c r="N43" s="7">
        <f t="shared" si="23"/>
        <v>-0.97141861275705821</v>
      </c>
      <c r="O43" s="11"/>
      <c r="P43" s="6">
        <v>1845</v>
      </c>
      <c r="Q43" s="2"/>
      <c r="R43" s="7">
        <f t="shared" si="24"/>
        <v>3.7993062693269116E-3</v>
      </c>
      <c r="S43" s="2"/>
      <c r="T43" s="6">
        <v>74307</v>
      </c>
      <c r="U43" s="2"/>
      <c r="V43" s="7">
        <f t="shared" si="25"/>
        <v>0.14159108231707318</v>
      </c>
      <c r="W43" s="2"/>
      <c r="X43" s="6">
        <f t="shared" si="26"/>
        <v>-72462</v>
      </c>
      <c r="Y43" s="2"/>
      <c r="Z43" s="7">
        <f t="shared" si="27"/>
        <v>-0.97517057612337998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0</v>
      </c>
      <c r="M46" s="1"/>
      <c r="N46" s="5">
        <f t="shared" ref="N46:N54" si="31">IF(H46=0,0,L46/H46)</f>
        <v>0</v>
      </c>
      <c r="O46" s="13"/>
      <c r="P46" s="1">
        <f>SUM(OSRRefP22_2x_0)</f>
        <v>150</v>
      </c>
      <c r="Q46" s="1"/>
      <c r="R46" s="5">
        <f t="shared" ref="R46:R54" si="32">IF(P$12=0,0,P46/P$12)</f>
        <v>3.0888668856316354E-4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150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150</v>
      </c>
      <c r="Q47" s="2"/>
      <c r="R47" s="7">
        <f t="shared" si="32"/>
        <v>3.0888668856316354E-4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150</v>
      </c>
      <c r="Y47" s="2"/>
      <c r="Z47" s="7">
        <f t="shared" si="35"/>
        <v>0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16.18</v>
      </c>
      <c r="E48" s="1"/>
      <c r="F48" s="5">
        <f t="shared" si="28"/>
        <v>2.2933065355692839E-4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16.18</v>
      </c>
      <c r="M48" s="1"/>
      <c r="N48" s="5">
        <f t="shared" si="31"/>
        <v>0</v>
      </c>
      <c r="O48" s="13"/>
      <c r="P48" s="1">
        <f>SUM(OSRRefP22_3x_0)</f>
        <v>-21.9</v>
      </c>
      <c r="Q48" s="1"/>
      <c r="R48" s="5">
        <f t="shared" si="32"/>
        <v>-4.5097456530221875E-5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-21.9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16.18</v>
      </c>
      <c r="E49" s="2"/>
      <c r="F49" s="7">
        <f t="shared" si="28"/>
        <v>2.2933065355692839E-4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16.18</v>
      </c>
      <c r="M49" s="2"/>
      <c r="N49" s="7">
        <f t="shared" si="31"/>
        <v>0</v>
      </c>
      <c r="O49" s="11"/>
      <c r="P49" s="6">
        <v>-21.9</v>
      </c>
      <c r="Q49" s="2"/>
      <c r="R49" s="7">
        <f t="shared" si="32"/>
        <v>-4.5097456530221875E-5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-21.9</v>
      </c>
      <c r="Y49" s="2"/>
      <c r="Z49" s="7">
        <f t="shared" si="35"/>
        <v>0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2447.3200000000002</v>
      </c>
      <c r="E50" s="1"/>
      <c r="F50" s="5">
        <f t="shared" si="28"/>
        <v>3.4687607853086652E-2</v>
      </c>
      <c r="G50" s="1"/>
      <c r="H50" s="1">
        <f>SUM(OSRRefH22_4x_0)</f>
        <v>2883</v>
      </c>
      <c r="I50" s="1"/>
      <c r="J50" s="5">
        <f t="shared" si="29"/>
        <v>3.0329489984851035E-2</v>
      </c>
      <c r="K50" s="1"/>
      <c r="L50" s="1">
        <f t="shared" si="30"/>
        <v>-435.67999999999984</v>
      </c>
      <c r="M50" s="1"/>
      <c r="N50" s="5">
        <f t="shared" si="31"/>
        <v>-0.15112036073534507</v>
      </c>
      <c r="O50" s="13"/>
      <c r="P50" s="1">
        <f>SUM(OSRRefP22_4x_0)</f>
        <v>16783.560000000001</v>
      </c>
      <c r="Q50" s="1"/>
      <c r="R50" s="5">
        <f t="shared" si="32"/>
        <v>3.4561455138007798E-2</v>
      </c>
      <c r="S50" s="1"/>
      <c r="T50" s="1">
        <f>SUM(OSRRefT22_4x_0)</f>
        <v>15915</v>
      </c>
      <c r="U50" s="1"/>
      <c r="V50" s="5">
        <f t="shared" si="33"/>
        <v>3.0325838414634147E-2</v>
      </c>
      <c r="W50" s="1"/>
      <c r="X50" s="1">
        <f t="shared" si="34"/>
        <v>868.56000000000131</v>
      </c>
      <c r="Y50" s="1"/>
      <c r="Z50" s="5">
        <f t="shared" si="35"/>
        <v>5.4574929311969923E-2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2447.3200000000002</v>
      </c>
      <c r="E51" s="2"/>
      <c r="F51" s="7">
        <f t="shared" si="28"/>
        <v>3.4687607853086652E-2</v>
      </c>
      <c r="G51" s="2"/>
      <c r="H51" s="6">
        <v>2883</v>
      </c>
      <c r="I51" s="2"/>
      <c r="J51" s="7">
        <f t="shared" si="29"/>
        <v>3.0329489984851035E-2</v>
      </c>
      <c r="K51" s="2"/>
      <c r="L51" s="6">
        <f t="shared" si="30"/>
        <v>-435.67999999999984</v>
      </c>
      <c r="M51" s="2"/>
      <c r="N51" s="7">
        <f t="shared" si="31"/>
        <v>-0.15112036073534507</v>
      </c>
      <c r="O51" s="11"/>
      <c r="P51" s="6">
        <v>16783.560000000001</v>
      </c>
      <c r="Q51" s="2"/>
      <c r="R51" s="7">
        <f t="shared" si="32"/>
        <v>3.4561455138007798E-2</v>
      </c>
      <c r="S51" s="2"/>
      <c r="T51" s="6">
        <v>15915</v>
      </c>
      <c r="U51" s="2"/>
      <c r="V51" s="7">
        <f t="shared" si="33"/>
        <v>3.0325838414634147E-2</v>
      </c>
      <c r="W51" s="2"/>
      <c r="X51" s="6">
        <f t="shared" si="34"/>
        <v>868.56000000000131</v>
      </c>
      <c r="Y51" s="2"/>
      <c r="Z51" s="7">
        <f t="shared" si="35"/>
        <v>5.4574929311969923E-2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2.6328803178880037E-2</v>
      </c>
      <c r="G52" s="1"/>
      <c r="H52" s="1">
        <f>SUM(OSRRefH22_5x_0)</f>
        <v>1941</v>
      </c>
      <c r="I52" s="1"/>
      <c r="J52" s="5">
        <f t="shared" si="29"/>
        <v>2.0419542164618752E-2</v>
      </c>
      <c r="K52" s="1"/>
      <c r="L52" s="1">
        <f t="shared" si="30"/>
        <v>-83.420000000000073</v>
      </c>
      <c r="M52" s="1"/>
      <c r="N52" s="5">
        <f t="shared" si="31"/>
        <v>-4.2977846470891333E-2</v>
      </c>
      <c r="O52" s="13"/>
      <c r="P52" s="1">
        <f>SUM(OSRRefP22_5x_0)</f>
        <v>11145.48</v>
      </c>
      <c r="Q52" s="1"/>
      <c r="R52" s="5">
        <f t="shared" si="32"/>
        <v>2.2951269397646454E-2</v>
      </c>
      <c r="S52" s="1"/>
      <c r="T52" s="1">
        <f>SUM(OSRRefT22_5x_0)</f>
        <v>11397</v>
      </c>
      <c r="U52" s="1"/>
      <c r="V52" s="5">
        <f t="shared" si="33"/>
        <v>2.1716844512195122E-2</v>
      </c>
      <c r="W52" s="1"/>
      <c r="X52" s="1">
        <f t="shared" si="34"/>
        <v>-251.52000000000044</v>
      </c>
      <c r="Y52" s="1"/>
      <c r="Z52" s="5">
        <f t="shared" si="35"/>
        <v>-2.2068965517241419E-2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1857.58</v>
      </c>
      <c r="E53" s="2"/>
      <c r="F53" s="7">
        <f t="shared" si="28"/>
        <v>2.6328803178880037E-2</v>
      </c>
      <c r="G53" s="2"/>
      <c r="H53" s="6">
        <v>1858</v>
      </c>
      <c r="I53" s="2"/>
      <c r="J53" s="7">
        <f t="shared" si="29"/>
        <v>1.954637266453459E-2</v>
      </c>
      <c r="K53" s="2"/>
      <c r="L53" s="6">
        <f t="shared" si="30"/>
        <v>-0.42000000000007276</v>
      </c>
      <c r="M53" s="2"/>
      <c r="N53" s="7">
        <f t="shared" si="31"/>
        <v>-2.2604951560822E-4</v>
      </c>
      <c r="O53" s="11"/>
      <c r="P53" s="6">
        <v>11145.48</v>
      </c>
      <c r="Q53" s="2"/>
      <c r="R53" s="7">
        <f t="shared" si="32"/>
        <v>2.2951269397646454E-2</v>
      </c>
      <c r="S53" s="2"/>
      <c r="T53" s="6">
        <v>11148</v>
      </c>
      <c r="U53" s="2"/>
      <c r="V53" s="7">
        <f t="shared" si="33"/>
        <v>2.1242378048780489E-2</v>
      </c>
      <c r="W53" s="2"/>
      <c r="X53" s="6">
        <f t="shared" si="34"/>
        <v>-2.5200000000004366</v>
      </c>
      <c r="Y53" s="2"/>
      <c r="Z53" s="7">
        <f t="shared" si="35"/>
        <v>-2.2604951560822E-4</v>
      </c>
    </row>
    <row r="54" spans="1:26" s="24" customFormat="1" hidden="1" outlineLevel="2" x14ac:dyDescent="0.25">
      <c r="A54" s="26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83</v>
      </c>
      <c r="I54" s="2"/>
      <c r="J54" s="7">
        <f t="shared" si="29"/>
        <v>8.7316950008416096E-4</v>
      </c>
      <c r="K54" s="2"/>
      <c r="L54" s="6">
        <f t="shared" si="30"/>
        <v>-83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249</v>
      </c>
      <c r="U54" s="2"/>
      <c r="V54" s="7">
        <f t="shared" si="33"/>
        <v>4.7446646341463413E-4</v>
      </c>
      <c r="W54" s="2"/>
      <c r="X54" s="6">
        <f t="shared" si="34"/>
        <v>-249</v>
      </c>
      <c r="Y54" s="2"/>
      <c r="Z54" s="7">
        <f t="shared" si="35"/>
        <v>-1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187</v>
      </c>
      <c r="E57" s="1"/>
      <c r="F57" s="5">
        <f t="shared" si="36"/>
        <v>2.6504840676851425E-3</v>
      </c>
      <c r="G57" s="1"/>
      <c r="H57" s="1">
        <f>SUM(OSRRefH22_7x_0)</f>
        <v>262</v>
      </c>
      <c r="I57" s="1"/>
      <c r="J57" s="5">
        <f t="shared" si="37"/>
        <v>2.7562699882174718E-3</v>
      </c>
      <c r="K57" s="1"/>
      <c r="L57" s="1">
        <f t="shared" si="38"/>
        <v>-75</v>
      </c>
      <c r="M57" s="1"/>
      <c r="N57" s="5">
        <f t="shared" si="39"/>
        <v>-0.2862595419847328</v>
      </c>
      <c r="O57" s="13"/>
      <c r="P57" s="1">
        <f>SUM(OSRRefP22_7x_0)</f>
        <v>1193.53</v>
      </c>
      <c r="Q57" s="1"/>
      <c r="R57" s="5">
        <f t="shared" si="40"/>
        <v>2.4577701960052838E-3</v>
      </c>
      <c r="S57" s="1"/>
      <c r="T57" s="1">
        <f>SUM(OSRRefT22_7x_0)</f>
        <v>1448</v>
      </c>
      <c r="U57" s="1"/>
      <c r="V57" s="5">
        <f t="shared" si="41"/>
        <v>2.7591463414634145E-3</v>
      </c>
      <c r="W57" s="1"/>
      <c r="X57" s="1">
        <f t="shared" si="42"/>
        <v>-254.47000000000003</v>
      </c>
      <c r="Y57" s="1"/>
      <c r="Z57" s="5">
        <f t="shared" si="43"/>
        <v>-0.17573895027624312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>
        <v>187</v>
      </c>
      <c r="E58" s="2"/>
      <c r="F58" s="7">
        <f t="shared" si="36"/>
        <v>2.6504840676851425E-3</v>
      </c>
      <c r="G58" s="2"/>
      <c r="H58" s="6">
        <v>262</v>
      </c>
      <c r="I58" s="2"/>
      <c r="J58" s="7">
        <f t="shared" si="37"/>
        <v>2.7562699882174718E-3</v>
      </c>
      <c r="K58" s="2"/>
      <c r="L58" s="6">
        <f t="shared" si="38"/>
        <v>-75</v>
      </c>
      <c r="M58" s="2"/>
      <c r="N58" s="7">
        <f t="shared" si="39"/>
        <v>-0.2862595419847328</v>
      </c>
      <c r="O58" s="11"/>
      <c r="P58" s="6">
        <v>1193.53</v>
      </c>
      <c r="Q58" s="2"/>
      <c r="R58" s="7">
        <f t="shared" si="40"/>
        <v>2.4577701960052838E-3</v>
      </c>
      <c r="S58" s="2"/>
      <c r="T58" s="6">
        <v>1448</v>
      </c>
      <c r="U58" s="2"/>
      <c r="V58" s="7">
        <f t="shared" si="41"/>
        <v>2.7591463414634145E-3</v>
      </c>
      <c r="W58" s="2"/>
      <c r="X58" s="6">
        <f t="shared" si="42"/>
        <v>-254.47000000000003</v>
      </c>
      <c r="Y58" s="2"/>
      <c r="Z58" s="7">
        <f t="shared" si="43"/>
        <v>-0.17573895027624312</v>
      </c>
    </row>
    <row r="59" spans="1:26" s="25" customFormat="1" outlineLevel="1" collapsed="1" x14ac:dyDescent="0.25">
      <c r="A59" s="27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1.6299768330684031E-2</v>
      </c>
      <c r="G59" s="1"/>
      <c r="H59" s="1">
        <f>SUM(OSRRefH22_8x_0)</f>
        <v>1150</v>
      </c>
      <c r="I59" s="1"/>
      <c r="J59" s="5">
        <f t="shared" si="37"/>
        <v>1.2098131627672109E-2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6900</v>
      </c>
      <c r="Q59" s="1"/>
      <c r="R59" s="5">
        <f t="shared" si="40"/>
        <v>1.4208787673905524E-2</v>
      </c>
      <c r="S59" s="1"/>
      <c r="T59" s="1">
        <f>SUM(OSRRefT22_8x_0)</f>
        <v>6900</v>
      </c>
      <c r="U59" s="1"/>
      <c r="V59" s="5">
        <f t="shared" si="41"/>
        <v>1.3147865853658536E-2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6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6"/>
        <v>1.6299768330684031E-2</v>
      </c>
      <c r="G60" s="2"/>
      <c r="H60" s="6">
        <v>1150</v>
      </c>
      <c r="I60" s="2"/>
      <c r="J60" s="7">
        <f t="shared" si="37"/>
        <v>1.2098131627672109E-2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6900</v>
      </c>
      <c r="Q60" s="2"/>
      <c r="R60" s="7">
        <f t="shared" si="40"/>
        <v>1.4208787673905524E-2</v>
      </c>
      <c r="S60" s="2"/>
      <c r="T60" s="6">
        <v>6900</v>
      </c>
      <c r="U60" s="2"/>
      <c r="V60" s="7">
        <f t="shared" si="41"/>
        <v>1.3147865853658536E-2</v>
      </c>
      <c r="W60" s="2"/>
      <c r="X60" s="6">
        <f t="shared" si="42"/>
        <v>0</v>
      </c>
      <c r="Y60" s="2"/>
      <c r="Z60" s="7">
        <f t="shared" si="43"/>
        <v>0</v>
      </c>
    </row>
    <row r="61" spans="1:26" s="25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2651.96</v>
      </c>
      <c r="E61" s="1"/>
      <c r="F61" s="5">
        <f t="shared" si="36"/>
        <v>3.7588116193252891E-2</v>
      </c>
      <c r="G61" s="1"/>
      <c r="H61" s="1">
        <f>SUM(OSRRefH22_9x_0)</f>
        <v>437</v>
      </c>
      <c r="I61" s="1"/>
      <c r="J61" s="5">
        <f t="shared" si="37"/>
        <v>4.5972900185154014E-3</v>
      </c>
      <c r="K61" s="1"/>
      <c r="L61" s="1">
        <f t="shared" si="38"/>
        <v>2214.96</v>
      </c>
      <c r="M61" s="1"/>
      <c r="N61" s="5">
        <f t="shared" si="39"/>
        <v>5.0685583524027464</v>
      </c>
      <c r="O61" s="13"/>
      <c r="P61" s="1">
        <f>SUM(OSRRefP22_9x_0)</f>
        <v>5561.64</v>
      </c>
      <c r="Q61" s="1"/>
      <c r="R61" s="5">
        <f t="shared" si="40"/>
        <v>1.1452777083869553E-2</v>
      </c>
      <c r="S61" s="1"/>
      <c r="T61" s="1">
        <f>SUM(OSRRefT22_9x_0)</f>
        <v>2411</v>
      </c>
      <c r="U61" s="1"/>
      <c r="V61" s="5">
        <f t="shared" si="41"/>
        <v>4.5941310975609754E-3</v>
      </c>
      <c r="W61" s="1"/>
      <c r="X61" s="1">
        <f t="shared" si="42"/>
        <v>3150.6400000000003</v>
      </c>
      <c r="Y61" s="1"/>
      <c r="Z61" s="5">
        <f t="shared" si="43"/>
        <v>1.3067772708419745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>
        <v>71.349999999999994</v>
      </c>
      <c r="E63" s="2"/>
      <c r="F63" s="7">
        <f t="shared" si="36"/>
        <v>1.0112943220820048E-3</v>
      </c>
      <c r="G63" s="2"/>
      <c r="H63" s="6"/>
      <c r="I63" s="2"/>
      <c r="J63" s="7">
        <f t="shared" si="37"/>
        <v>0</v>
      </c>
      <c r="K63" s="2"/>
      <c r="L63" s="6">
        <f t="shared" si="38"/>
        <v>71.349999999999994</v>
      </c>
      <c r="M63" s="2"/>
      <c r="N63" s="7">
        <f t="shared" si="39"/>
        <v>0</v>
      </c>
      <c r="O63" s="11"/>
      <c r="P63" s="6">
        <v>139.83000000000001</v>
      </c>
      <c r="Q63" s="2"/>
      <c r="R63" s="7">
        <f t="shared" si="40"/>
        <v>2.8794417107858109E-4</v>
      </c>
      <c r="S63" s="2"/>
      <c r="T63" s="6"/>
      <c r="U63" s="2"/>
      <c r="V63" s="7">
        <f t="shared" si="41"/>
        <v>0</v>
      </c>
      <c r="W63" s="2"/>
      <c r="X63" s="6">
        <f t="shared" si="42"/>
        <v>139.83000000000001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2580.61</v>
      </c>
      <c r="E64" s="2"/>
      <c r="F64" s="7">
        <f t="shared" si="36"/>
        <v>3.6576821871170888E-2</v>
      </c>
      <c r="G64" s="2"/>
      <c r="H64" s="6">
        <v>437</v>
      </c>
      <c r="I64" s="2"/>
      <c r="J64" s="7">
        <f t="shared" si="37"/>
        <v>4.5972900185154014E-3</v>
      </c>
      <c r="K64" s="2"/>
      <c r="L64" s="6">
        <f t="shared" si="38"/>
        <v>2143.61</v>
      </c>
      <c r="M64" s="2"/>
      <c r="N64" s="7">
        <f t="shared" si="39"/>
        <v>4.9052860411899317</v>
      </c>
      <c r="O64" s="11"/>
      <c r="P64" s="6">
        <v>5421.81</v>
      </c>
      <c r="Q64" s="2"/>
      <c r="R64" s="7">
        <f t="shared" si="40"/>
        <v>1.1164832912790973E-2</v>
      </c>
      <c r="S64" s="2"/>
      <c r="T64" s="6">
        <v>2411</v>
      </c>
      <c r="U64" s="2"/>
      <c r="V64" s="7">
        <f t="shared" si="41"/>
        <v>4.5941310975609754E-3</v>
      </c>
      <c r="W64" s="2"/>
      <c r="X64" s="6">
        <f t="shared" si="42"/>
        <v>3010.8100000000004</v>
      </c>
      <c r="Y64" s="2"/>
      <c r="Z64" s="7">
        <f t="shared" si="43"/>
        <v>1.2487805889672337</v>
      </c>
    </row>
    <row r="65" spans="1:26" s="25" customFormat="1" outlineLevel="1" collapsed="1" x14ac:dyDescent="0.25">
      <c r="A65" s="27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425.26</v>
      </c>
      <c r="E65" s="1"/>
      <c r="F65" s="5">
        <f t="shared" ref="F65:F68" si="44">IF(D$12=0,0,D65/D$12)</f>
        <v>6.0275125915710357E-3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425.26</v>
      </c>
      <c r="M65" s="1"/>
      <c r="N65" s="5">
        <f t="shared" ref="N65:N68" si="47">IF(H65=0,0,L65/H65)</f>
        <v>0</v>
      </c>
      <c r="O65" s="13"/>
      <c r="P65" s="1">
        <f>SUM(OSRRefP22_10x_0)</f>
        <v>2927.8599999999997</v>
      </c>
      <c r="Q65" s="1"/>
      <c r="R65" s="5">
        <f t="shared" ref="R65:R68" si="48">IF(P$12=0,0,P65/P$12)</f>
        <v>6.0291798665102932E-3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2927.8599999999997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6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116.81</v>
      </c>
      <c r="E66" s="2"/>
      <c r="F66" s="7">
        <f t="shared" si="44"/>
        <v>1.6556312510497407E-3</v>
      </c>
      <c r="G66" s="2"/>
      <c r="H66" s="6"/>
      <c r="I66" s="2"/>
      <c r="J66" s="7">
        <f t="shared" si="45"/>
        <v>0</v>
      </c>
      <c r="K66" s="2"/>
      <c r="L66" s="6">
        <f t="shared" si="46"/>
        <v>116.81</v>
      </c>
      <c r="M66" s="2"/>
      <c r="N66" s="7">
        <f t="shared" si="47"/>
        <v>0</v>
      </c>
      <c r="O66" s="11"/>
      <c r="P66" s="6">
        <v>817.67</v>
      </c>
      <c r="Q66" s="2"/>
      <c r="R66" s="7">
        <f t="shared" si="48"/>
        <v>1.6837825242496129E-3</v>
      </c>
      <c r="S66" s="2"/>
      <c r="T66" s="6"/>
      <c r="U66" s="2"/>
      <c r="V66" s="7">
        <f t="shared" si="49"/>
        <v>0</v>
      </c>
      <c r="W66" s="2"/>
      <c r="X66" s="6">
        <f t="shared" si="50"/>
        <v>817.67</v>
      </c>
      <c r="Y66" s="2"/>
      <c r="Z66" s="7">
        <f t="shared" si="51"/>
        <v>0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6">
        <v>75.680000000000007</v>
      </c>
      <c r="E67" s="2"/>
      <c r="F67" s="7">
        <f t="shared" si="44"/>
        <v>1.0726664932749284E-3</v>
      </c>
      <c r="G67" s="2"/>
      <c r="H67" s="6"/>
      <c r="I67" s="2"/>
      <c r="J67" s="7">
        <f t="shared" si="45"/>
        <v>0</v>
      </c>
      <c r="K67" s="2"/>
      <c r="L67" s="6">
        <f t="shared" si="46"/>
        <v>75.680000000000007</v>
      </c>
      <c r="M67" s="2"/>
      <c r="N67" s="7">
        <f t="shared" si="47"/>
        <v>0</v>
      </c>
      <c r="O67" s="11"/>
      <c r="P67" s="6">
        <v>354.08</v>
      </c>
      <c r="Q67" s="2"/>
      <c r="R67" s="7">
        <f t="shared" si="48"/>
        <v>7.2913732457629958E-4</v>
      </c>
      <c r="S67" s="2"/>
      <c r="T67" s="6"/>
      <c r="U67" s="2"/>
      <c r="V67" s="7">
        <f t="shared" si="49"/>
        <v>0</v>
      </c>
      <c r="W67" s="2"/>
      <c r="X67" s="6">
        <f t="shared" si="50"/>
        <v>354.08</v>
      </c>
      <c r="Y67" s="2"/>
      <c r="Z67" s="7">
        <f t="shared" si="51"/>
        <v>0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>
        <v>232.77</v>
      </c>
      <c r="E68" s="2"/>
      <c r="F68" s="7">
        <f t="shared" si="44"/>
        <v>3.2992148472463672E-3</v>
      </c>
      <c r="G68" s="2"/>
      <c r="H68" s="6"/>
      <c r="I68" s="2"/>
      <c r="J68" s="7">
        <f t="shared" si="45"/>
        <v>0</v>
      </c>
      <c r="K68" s="2"/>
      <c r="L68" s="6">
        <f t="shared" si="46"/>
        <v>232.77</v>
      </c>
      <c r="M68" s="2"/>
      <c r="N68" s="7">
        <f t="shared" si="47"/>
        <v>0</v>
      </c>
      <c r="O68" s="11"/>
      <c r="P68" s="6">
        <v>1756.11</v>
      </c>
      <c r="Q68" s="2"/>
      <c r="R68" s="7">
        <f t="shared" si="48"/>
        <v>3.6162600176843805E-3</v>
      </c>
      <c r="S68" s="2"/>
      <c r="T68" s="6"/>
      <c r="U68" s="2"/>
      <c r="V68" s="7">
        <f t="shared" si="49"/>
        <v>0</v>
      </c>
      <c r="W68" s="2"/>
      <c r="X68" s="6">
        <f t="shared" si="50"/>
        <v>1756.11</v>
      </c>
      <c r="Y68" s="2"/>
      <c r="Z68" s="7">
        <f t="shared" si="51"/>
        <v>0</v>
      </c>
    </row>
    <row r="69" spans="1:26" s="25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1287.51</v>
      </c>
      <c r="E69" s="1"/>
      <c r="F69" s="5">
        <f t="shared" ref="F69:F74" si="52">IF(D$12=0,0,D69/D$12)</f>
        <v>1.8248795411686086E-2</v>
      </c>
      <c r="G69" s="1"/>
      <c r="H69" s="1">
        <f>SUM(OSRRefH22_11x_0)</f>
        <v>1834</v>
      </c>
      <c r="I69" s="1"/>
      <c r="J69" s="5">
        <f t="shared" ref="J69:J74" si="53">IF(H$12=0,0,H69/H$12)</f>
        <v>1.9293889917522303E-2</v>
      </c>
      <c r="K69" s="1"/>
      <c r="L69" s="1">
        <f t="shared" ref="L69:L74" si="54">+D69-H69</f>
        <v>-546.49</v>
      </c>
      <c r="M69" s="1"/>
      <c r="N69" s="5">
        <f t="shared" ref="N69:N74" si="55">IF(H69=0,0,L69/H69)</f>
        <v>-0.29797709923664123</v>
      </c>
      <c r="O69" s="13"/>
      <c r="P69" s="1">
        <f>SUM(OSRRefP22_11x_0)</f>
        <v>12068.64</v>
      </c>
      <c r="Q69" s="1"/>
      <c r="R69" s="5">
        <f t="shared" ref="R69:R74" si="56">IF(P$12=0,0,P69/P$12)</f>
        <v>2.4852281633739585E-2</v>
      </c>
      <c r="S69" s="1"/>
      <c r="T69" s="1">
        <f>SUM(OSRRefT22_11x_0)</f>
        <v>10126</v>
      </c>
      <c r="U69" s="1"/>
      <c r="V69" s="5">
        <f t="shared" ref="V69:V74" si="57">IF(T$12=0,0,T69/T$12)</f>
        <v>1.9294969512195122E-2</v>
      </c>
      <c r="W69" s="1"/>
      <c r="X69" s="1">
        <f t="shared" ref="X69:X74" si="58">+P69-T69</f>
        <v>1942.6399999999994</v>
      </c>
      <c r="Y69" s="1"/>
      <c r="Z69" s="5">
        <f t="shared" ref="Z69:Z74" si="59">IF(T69=0,0,X69/T69)</f>
        <v>0.19184673118704321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354.71</v>
      </c>
      <c r="Q70" s="2"/>
      <c r="R70" s="7">
        <f t="shared" si="56"/>
        <v>7.304346486682649E-4</v>
      </c>
      <c r="S70" s="2"/>
      <c r="T70" s="6"/>
      <c r="U70" s="2"/>
      <c r="V70" s="7">
        <f t="shared" si="57"/>
        <v>0</v>
      </c>
      <c r="W70" s="2"/>
      <c r="X70" s="6">
        <f t="shared" si="58"/>
        <v>354.71</v>
      </c>
      <c r="Y70" s="2"/>
      <c r="Z70" s="7">
        <f t="shared" si="59"/>
        <v>0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6">
        <v>57.1</v>
      </c>
      <c r="E71" s="2"/>
      <c r="F71" s="7">
        <f t="shared" si="52"/>
        <v>8.0931893189744198E-4</v>
      </c>
      <c r="G71" s="2"/>
      <c r="H71" s="6"/>
      <c r="I71" s="2"/>
      <c r="J71" s="7">
        <f t="shared" si="53"/>
        <v>0</v>
      </c>
      <c r="K71" s="2"/>
      <c r="L71" s="6">
        <f t="shared" si="54"/>
        <v>57.1</v>
      </c>
      <c r="M71" s="2"/>
      <c r="N71" s="7">
        <f t="shared" si="55"/>
        <v>0</v>
      </c>
      <c r="O71" s="11"/>
      <c r="P71" s="6">
        <v>1241.78</v>
      </c>
      <c r="Q71" s="2"/>
      <c r="R71" s="7">
        <f t="shared" si="56"/>
        <v>2.5571287474931014E-3</v>
      </c>
      <c r="S71" s="2"/>
      <c r="T71" s="6"/>
      <c r="U71" s="2"/>
      <c r="V71" s="7">
        <f t="shared" si="57"/>
        <v>0</v>
      </c>
      <c r="W71" s="2"/>
      <c r="X71" s="6">
        <f t="shared" si="58"/>
        <v>1241.78</v>
      </c>
      <c r="Y71" s="2"/>
      <c r="Z71" s="7">
        <f t="shared" si="59"/>
        <v>0</v>
      </c>
    </row>
    <row r="72" spans="1:26" s="24" customFormat="1" hidden="1" outlineLevel="2" x14ac:dyDescent="0.25">
      <c r="A72" s="26"/>
      <c r="B72" s="11" t="str">
        <f>CONCATENATE("          ", "6241", " - ", "OFFICE EXPENSE")</f>
        <v xml:space="preserve">          6241 - OFFICE EXPENSE</v>
      </c>
      <c r="C72" s="11"/>
      <c r="D72" s="6">
        <v>95</v>
      </c>
      <c r="E72" s="2"/>
      <c r="F72" s="7">
        <f t="shared" si="52"/>
        <v>1.3465026012304201E-3</v>
      </c>
      <c r="G72" s="2"/>
      <c r="H72" s="6"/>
      <c r="I72" s="2"/>
      <c r="J72" s="7">
        <f t="shared" si="53"/>
        <v>0</v>
      </c>
      <c r="K72" s="2"/>
      <c r="L72" s="6">
        <f t="shared" si="54"/>
        <v>95</v>
      </c>
      <c r="M72" s="2"/>
      <c r="N72" s="7">
        <f t="shared" si="55"/>
        <v>0</v>
      </c>
      <c r="O72" s="11"/>
      <c r="P72" s="6">
        <v>1102.25</v>
      </c>
      <c r="Q72" s="2"/>
      <c r="R72" s="7">
        <f t="shared" si="56"/>
        <v>2.2698023497916466E-3</v>
      </c>
      <c r="S72" s="2"/>
      <c r="T72" s="6"/>
      <c r="U72" s="2"/>
      <c r="V72" s="7">
        <f t="shared" si="57"/>
        <v>0</v>
      </c>
      <c r="W72" s="2"/>
      <c r="X72" s="6">
        <f t="shared" si="58"/>
        <v>1102.25</v>
      </c>
      <c r="Y72" s="2"/>
      <c r="Z72" s="7">
        <f t="shared" si="59"/>
        <v>0</v>
      </c>
    </row>
    <row r="73" spans="1:26" s="24" customFormat="1" hidden="1" outlineLevel="2" x14ac:dyDescent="0.25">
      <c r="A73" s="26"/>
      <c r="B73" s="11" t="str">
        <f>CONCATENATE("          ", "6243", " - ", "PAPER SUPPLIES")</f>
        <v xml:space="preserve">          6243 - PAPER SUPPLIES</v>
      </c>
      <c r="C73" s="11"/>
      <c r="D73" s="6">
        <v>334.75</v>
      </c>
      <c r="E73" s="2"/>
      <c r="F73" s="7">
        <f t="shared" si="52"/>
        <v>4.7446499553882434E-3</v>
      </c>
      <c r="G73" s="2"/>
      <c r="H73" s="6"/>
      <c r="I73" s="2"/>
      <c r="J73" s="7">
        <f t="shared" si="53"/>
        <v>0</v>
      </c>
      <c r="K73" s="2"/>
      <c r="L73" s="6">
        <f t="shared" si="54"/>
        <v>334.75</v>
      </c>
      <c r="M73" s="2"/>
      <c r="N73" s="7">
        <f t="shared" si="55"/>
        <v>0</v>
      </c>
      <c r="O73" s="11"/>
      <c r="P73" s="6">
        <v>1971.29</v>
      </c>
      <c r="Q73" s="2"/>
      <c r="R73" s="7">
        <f t="shared" si="56"/>
        <v>4.0593682686511914E-3</v>
      </c>
      <c r="S73" s="2"/>
      <c r="T73" s="6"/>
      <c r="U73" s="2"/>
      <c r="V73" s="7">
        <f t="shared" si="57"/>
        <v>0</v>
      </c>
      <c r="W73" s="2"/>
      <c r="X73" s="6">
        <f t="shared" si="58"/>
        <v>1971.29</v>
      </c>
      <c r="Y73" s="2"/>
      <c r="Z73" s="7">
        <f t="shared" si="59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>
        <v>800.66</v>
      </c>
      <c r="E74" s="2"/>
      <c r="F74" s="7">
        <f t="shared" si="52"/>
        <v>1.134832392316998E-2</v>
      </c>
      <c r="G74" s="2"/>
      <c r="H74" s="6">
        <v>1834</v>
      </c>
      <c r="I74" s="2"/>
      <c r="J74" s="7">
        <f t="shared" si="53"/>
        <v>1.9293889917522303E-2</v>
      </c>
      <c r="K74" s="2"/>
      <c r="L74" s="6">
        <f t="shared" si="54"/>
        <v>-1033.3400000000001</v>
      </c>
      <c r="M74" s="2"/>
      <c r="N74" s="7">
        <f t="shared" si="55"/>
        <v>-0.56343511450381689</v>
      </c>
      <c r="O74" s="11"/>
      <c r="P74" s="6">
        <v>7398.61</v>
      </c>
      <c r="Q74" s="2"/>
      <c r="R74" s="7">
        <f t="shared" si="56"/>
        <v>1.5235547619135382E-2</v>
      </c>
      <c r="S74" s="2"/>
      <c r="T74" s="6">
        <v>10126</v>
      </c>
      <c r="U74" s="2"/>
      <c r="V74" s="7">
        <f t="shared" si="57"/>
        <v>1.9294969512195122E-2</v>
      </c>
      <c r="W74" s="2"/>
      <c r="X74" s="6">
        <f t="shared" si="58"/>
        <v>-2727.3900000000003</v>
      </c>
      <c r="Y74" s="2"/>
      <c r="Z74" s="7">
        <f t="shared" si="59"/>
        <v>-0.26934524985186653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SUM(OSRRefD22_12x_0)</f>
        <v>36</v>
      </c>
      <c r="E75" s="1"/>
      <c r="F75" s="5">
        <f t="shared" ref="F75:F78" si="60">IF(D$12=0,0,D75/D$12)</f>
        <v>5.1025361730836969E-4</v>
      </c>
      <c r="G75" s="1"/>
      <c r="H75" s="1">
        <f>SUM(OSRRefH22_12x_0)</f>
        <v>75</v>
      </c>
      <c r="I75" s="1"/>
      <c r="J75" s="5">
        <f t="shared" ref="J75:J78" si="61">IF(H$12=0,0,H75/H$12)</f>
        <v>7.8900858441339843E-4</v>
      </c>
      <c r="K75" s="1"/>
      <c r="L75" s="1">
        <f t="shared" ref="L75:L78" si="62">+D75-H75</f>
        <v>-39</v>
      </c>
      <c r="M75" s="1"/>
      <c r="N75" s="5">
        <f t="shared" ref="N75:N78" si="63">IF(H75=0,0,L75/H75)</f>
        <v>-0.52</v>
      </c>
      <c r="O75" s="13"/>
      <c r="P75" s="1">
        <f>SUM(OSRRefP22_12x_0)</f>
        <v>231</v>
      </c>
      <c r="Q75" s="1"/>
      <c r="R75" s="5">
        <f t="shared" ref="R75:R78" si="64">IF(P$12=0,0,P75/P$12)</f>
        <v>4.7568550038727187E-4</v>
      </c>
      <c r="S75" s="1"/>
      <c r="T75" s="1">
        <f>SUM(OSRRefT22_12x_0)</f>
        <v>450</v>
      </c>
      <c r="U75" s="1"/>
      <c r="V75" s="5">
        <f t="shared" ref="V75:V78" si="65">IF(T$12=0,0,T75/T$12)</f>
        <v>8.5746951219512195E-4</v>
      </c>
      <c r="W75" s="1"/>
      <c r="X75" s="1">
        <f t="shared" ref="X75:X78" si="66">+P75-T75</f>
        <v>-219</v>
      </c>
      <c r="Y75" s="1"/>
      <c r="Z75" s="5">
        <f t="shared" ref="Z75:Z78" si="67">IF(T75=0,0,X75/T75)</f>
        <v>-0.48666666666666669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36</v>
      </c>
      <c r="E76" s="2"/>
      <c r="F76" s="7">
        <f t="shared" si="60"/>
        <v>5.1025361730836969E-4</v>
      </c>
      <c r="G76" s="2"/>
      <c r="H76" s="6">
        <v>75</v>
      </c>
      <c r="I76" s="2"/>
      <c r="J76" s="7">
        <f t="shared" si="61"/>
        <v>7.8900858441339843E-4</v>
      </c>
      <c r="K76" s="2"/>
      <c r="L76" s="6">
        <f t="shared" si="62"/>
        <v>-39</v>
      </c>
      <c r="M76" s="2"/>
      <c r="N76" s="7">
        <f t="shared" si="63"/>
        <v>-0.52</v>
      </c>
      <c r="O76" s="11"/>
      <c r="P76" s="6">
        <v>231</v>
      </c>
      <c r="Q76" s="2"/>
      <c r="R76" s="7">
        <f t="shared" si="64"/>
        <v>4.7568550038727187E-4</v>
      </c>
      <c r="S76" s="2"/>
      <c r="T76" s="6">
        <v>450</v>
      </c>
      <c r="U76" s="2"/>
      <c r="V76" s="7">
        <f t="shared" si="65"/>
        <v>8.5746951219512195E-4</v>
      </c>
      <c r="W76" s="2"/>
      <c r="X76" s="6">
        <f t="shared" si="66"/>
        <v>-219</v>
      </c>
      <c r="Y76" s="2"/>
      <c r="Z76" s="7">
        <f t="shared" si="67"/>
        <v>-0.48666666666666669</v>
      </c>
    </row>
    <row r="77" spans="1:26" s="25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SUM(OSRRefD22_13x_0)</f>
        <v>457</v>
      </c>
      <c r="E77" s="1"/>
      <c r="F77" s="5">
        <f t="shared" si="60"/>
        <v>6.4773861974979155E-3</v>
      </c>
      <c r="G77" s="1"/>
      <c r="H77" s="1">
        <f>SUM(OSRRefH22_13x_0)</f>
        <v>0</v>
      </c>
      <c r="I77" s="1"/>
      <c r="J77" s="5">
        <f t="shared" si="61"/>
        <v>0</v>
      </c>
      <c r="K77" s="1"/>
      <c r="L77" s="1">
        <f t="shared" si="62"/>
        <v>457</v>
      </c>
      <c r="M77" s="1"/>
      <c r="N77" s="5">
        <f t="shared" si="63"/>
        <v>0</v>
      </c>
      <c r="O77" s="13"/>
      <c r="P77" s="1">
        <f>SUM(OSRRefP22_13x_0)</f>
        <v>1185</v>
      </c>
      <c r="Q77" s="1"/>
      <c r="R77" s="5">
        <f t="shared" si="64"/>
        <v>2.4402048396489919E-3</v>
      </c>
      <c r="S77" s="1"/>
      <c r="T77" s="1">
        <f>SUM(OSRRefT22_13x_0)</f>
        <v>0</v>
      </c>
      <c r="U77" s="1"/>
      <c r="V77" s="5">
        <f t="shared" si="65"/>
        <v>0</v>
      </c>
      <c r="W77" s="1"/>
      <c r="X77" s="1">
        <f t="shared" si="66"/>
        <v>1185</v>
      </c>
      <c r="Y77" s="1"/>
      <c r="Z77" s="5">
        <f t="shared" si="67"/>
        <v>0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457</v>
      </c>
      <c r="E78" s="2"/>
      <c r="F78" s="7">
        <f t="shared" si="60"/>
        <v>6.4773861974979155E-3</v>
      </c>
      <c r="G78" s="2"/>
      <c r="H78" s="6"/>
      <c r="I78" s="2"/>
      <c r="J78" s="7">
        <f t="shared" si="61"/>
        <v>0</v>
      </c>
      <c r="K78" s="2"/>
      <c r="L78" s="6">
        <f t="shared" si="62"/>
        <v>457</v>
      </c>
      <c r="M78" s="2"/>
      <c r="N78" s="7">
        <f t="shared" si="63"/>
        <v>0</v>
      </c>
      <c r="O78" s="11"/>
      <c r="P78" s="6">
        <v>1185</v>
      </c>
      <c r="Q78" s="2"/>
      <c r="R78" s="7">
        <f t="shared" si="64"/>
        <v>2.4402048396489919E-3</v>
      </c>
      <c r="S78" s="2"/>
      <c r="T78" s="6"/>
      <c r="U78" s="2"/>
      <c r="V78" s="7">
        <f t="shared" si="65"/>
        <v>0</v>
      </c>
      <c r="W78" s="2"/>
      <c r="X78" s="6">
        <f t="shared" si="66"/>
        <v>1185</v>
      </c>
      <c r="Y78" s="2"/>
      <c r="Z78" s="7">
        <f t="shared" si="67"/>
        <v>0</v>
      </c>
    </row>
    <row r="79" spans="1:26" s="5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+D22-D24+D80</f>
        <v>6843.6299999999937</v>
      </c>
      <c r="E82" s="14"/>
      <c r="F82" s="20">
        <f>IF(D$12=0,0,D82/D$12)</f>
        <v>9.699963786166875E-2</v>
      </c>
      <c r="G82" s="14"/>
      <c r="H82" s="22">
        <f>+H22-H24+H80</f>
        <v>21923.810789230771</v>
      </c>
      <c r="I82" s="14"/>
      <c r="J82" s="20">
        <f>IF(H$12=0,0,H82/H$12)</f>
        <v>0.2306409988767755</v>
      </c>
      <c r="K82" s="16"/>
      <c r="L82" s="22">
        <f>+D82-H82</f>
        <v>-15080.180789230777</v>
      </c>
      <c r="M82" s="16"/>
      <c r="N82" s="20">
        <f>IF(H82=0,0,L82/H82)</f>
        <v>-0.68784487031964059</v>
      </c>
      <c r="O82" s="28"/>
      <c r="P82" s="22">
        <f>+P22-P24+P80</f>
        <v>65606.859999999986</v>
      </c>
      <c r="Q82" s="14"/>
      <c r="R82" s="20">
        <f>IF(P$12=0,0,P82/P$12)</f>
        <v>0.13510057154951377</v>
      </c>
      <c r="S82" s="14"/>
      <c r="T82" s="22">
        <f>+T22-T24+T80</f>
        <v>106496.15246750001</v>
      </c>
      <c r="U82" s="14"/>
      <c r="V82" s="20">
        <f>IF(T$12=0,0,T82/T$12)</f>
        <v>0.20292711979325459</v>
      </c>
      <c r="W82" s="16"/>
      <c r="X82" s="22">
        <f>+P82-T82</f>
        <v>-40889.292467500025</v>
      </c>
      <c r="Y82" s="16"/>
      <c r="Z82" s="20">
        <f>IF(T82=0,0,X82/T82)</f>
        <v>-0.38395088949319955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8497.92</v>
      </c>
      <c r="E84" s="4"/>
      <c r="F84" s="12">
        <f>IF(D$12=0,0,D84/D$12)</f>
        <v>0.1204470672110317</v>
      </c>
      <c r="G84" s="4"/>
      <c r="H84" s="4">
        <v>13140</v>
      </c>
      <c r="I84" s="4"/>
      <c r="J84" s="12">
        <f>IF(H$12=0,0,H84/H$12)</f>
        <v>0.1382343039892274</v>
      </c>
      <c r="K84" s="4"/>
      <c r="L84" s="4">
        <f>+D84-H84</f>
        <v>-4642.08</v>
      </c>
      <c r="M84" s="4"/>
      <c r="N84" s="12">
        <f>IF(H84=0,0,L84/H84)</f>
        <v>-0.35327853881278537</v>
      </c>
      <c r="O84" s="10"/>
      <c r="P84" s="4">
        <v>52450.16</v>
      </c>
      <c r="Q84" s="4"/>
      <c r="R84" s="12">
        <f>IF(P$12=0,0,P84/P$12)</f>
        <v>0.10800770824672067</v>
      </c>
      <c r="S84" s="4"/>
      <c r="T84" s="4">
        <v>67601</v>
      </c>
      <c r="U84" s="4"/>
      <c r="V84" s="12">
        <f>IF(T$12=0,0,T84/T$12)</f>
        <v>0.12881288109756098</v>
      </c>
      <c r="W84" s="4"/>
      <c r="X84" s="4">
        <f>+P84-T84</f>
        <v>-15150.839999999997</v>
      </c>
      <c r="Y84" s="4"/>
      <c r="Z84" s="12">
        <f>IF(T84=0,0,X84/T84)</f>
        <v>-0.22412153666365878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-1654.2900000000063</v>
      </c>
      <c r="E86" s="14"/>
      <c r="F86" s="32">
        <f>IF(D$12=0,0,D86/D$12)</f>
        <v>-2.3447429349362947E-2</v>
      </c>
      <c r="G86" s="14"/>
      <c r="H86" s="31">
        <f>+H82-H84</f>
        <v>8783.8107892307708</v>
      </c>
      <c r="I86" s="14"/>
      <c r="J86" s="32">
        <f>IF(H$12=0,0,H86/H$12)</f>
        <v>9.2406694887548088E-2</v>
      </c>
      <c r="K86" s="16"/>
      <c r="L86" s="31">
        <f>D86-H86</f>
        <v>-10438.100789230777</v>
      </c>
      <c r="M86" s="16"/>
      <c r="N86" s="32">
        <f>IF(H86=0,0,L86/H86)</f>
        <v>-1.188333974819701</v>
      </c>
      <c r="O86" s="28"/>
      <c r="P86" s="31">
        <f>+P82-P84</f>
        <v>13156.699999999983</v>
      </c>
      <c r="Q86" s="14"/>
      <c r="R86" s="32">
        <f>IF(P$12=0,0,P86/P$12)</f>
        <v>2.7092863302793122E-2</v>
      </c>
      <c r="S86" s="14"/>
      <c r="T86" s="31">
        <f>+T82-T84</f>
        <v>38895.152467500011</v>
      </c>
      <c r="U86" s="14"/>
      <c r="V86" s="32">
        <f>IF(T$12=0,0,T86/T$12)</f>
        <v>7.4114238695693613E-2</v>
      </c>
      <c r="W86" s="16"/>
      <c r="X86" s="31">
        <f>P86-T86</f>
        <v>-25738.452467500028</v>
      </c>
      <c r="Y86" s="16"/>
      <c r="Z86" s="32">
        <f>IF(T86=0,0,X86/T86)</f>
        <v>-0.66173933857198652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5">
        <f>SUM(D86:D88)</f>
        <v>-1654.2900000000063</v>
      </c>
      <c r="E89" s="14"/>
      <c r="F89" s="34">
        <f>IF(D$12=0,0,D89/D$12)</f>
        <v>-2.3447429349362947E-2</v>
      </c>
      <c r="G89" s="14"/>
      <c r="H89" s="35">
        <f>SUM(H86:H88)</f>
        <v>8783.8107892307708</v>
      </c>
      <c r="I89" s="14"/>
      <c r="J89" s="34">
        <f>IF(H$12=0,0,H89/H$12)</f>
        <v>9.2406694887548088E-2</v>
      </c>
      <c r="K89" s="16"/>
      <c r="L89" s="35">
        <f>+D89-H89</f>
        <v>-10438.100789230777</v>
      </c>
      <c r="M89" s="16"/>
      <c r="N89" s="34">
        <f>IF(H89=0,0,L89/H89)</f>
        <v>-1.188333974819701</v>
      </c>
      <c r="O89" s="28"/>
      <c r="P89" s="35">
        <f>SUM(P86:P88)</f>
        <v>13156.699999999983</v>
      </c>
      <c r="Q89" s="14"/>
      <c r="R89" s="34">
        <f>IF(P$12=0,0,P89/P$12)</f>
        <v>2.7092863302793122E-2</v>
      </c>
      <c r="S89" s="14"/>
      <c r="T89" s="35">
        <f>SUM(T86:T88)</f>
        <v>38895.152467500011</v>
      </c>
      <c r="U89" s="14"/>
      <c r="V89" s="34">
        <f>IF(T$12=0,0,T89/T$12)</f>
        <v>7.4114238695693613E-2</v>
      </c>
      <c r="W89" s="16"/>
      <c r="X89" s="35">
        <f>+P89-T89</f>
        <v>-25738.452467500028</v>
      </c>
      <c r="Y89" s="16"/>
      <c r="Z89" s="34">
        <f>IF(T89=0,0,X89/T89)</f>
        <v>-0.66173933857198652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63">
        <v>43847.446047800928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5" t="s">
        <v>314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6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49164.08</v>
      </c>
      <c r="E12" s="4"/>
      <c r="F12" s="12"/>
      <c r="G12" s="4"/>
      <c r="H12" s="4">
        <f>SUM(OSRRefH13x_0)</f>
        <v>54036</v>
      </c>
      <c r="I12" s="4"/>
      <c r="J12" s="12"/>
      <c r="K12" s="4"/>
      <c r="L12" s="4">
        <f t="shared" ref="L12:L15" si="0">+D12-H12</f>
        <v>-4871.9199999999983</v>
      </c>
      <c r="M12" s="4"/>
      <c r="N12" s="12">
        <f t="shared" ref="N12:N15" si="1">IF(H12=0,0,L12/H12)</f>
        <v>-9.0160633651639621E-2</v>
      </c>
      <c r="O12" s="10"/>
      <c r="P12" s="4">
        <f>SUM(OSRRefP13x_0)</f>
        <v>402676.04</v>
      </c>
      <c r="Q12" s="4"/>
      <c r="R12" s="12"/>
      <c r="S12" s="4"/>
      <c r="T12" s="4">
        <f>SUM(OSRRefT13x_0)</f>
        <v>380459.2</v>
      </c>
      <c r="U12" s="4"/>
      <c r="V12" s="12"/>
      <c r="W12" s="4"/>
      <c r="X12" s="4">
        <f t="shared" ref="X12:X15" si="2">+P12-T12</f>
        <v>22216.839999999967</v>
      </c>
      <c r="Y12" s="4"/>
      <c r="Z12" s="12">
        <f t="shared" ref="Z12:Z15" si="3">IF(T12=0,0,X12/T12)</f>
        <v>5.8394802911849591E-2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54036</v>
      </c>
      <c r="I13" s="2"/>
      <c r="J13" s="19"/>
      <c r="K13" s="2"/>
      <c r="L13" s="2">
        <f t="shared" si="0"/>
        <v>-54036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380459.2</v>
      </c>
      <c r="U13" s="2"/>
      <c r="V13" s="19"/>
      <c r="W13" s="2"/>
      <c r="X13" s="2">
        <f t="shared" si="2"/>
        <v>-380459.2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--10286.44</f>
        <v>10286.44</v>
      </c>
      <c r="E14" s="2"/>
      <c r="F14" s="19"/>
      <c r="G14" s="2"/>
      <c r="H14" s="2"/>
      <c r="I14" s="2"/>
      <c r="J14" s="19"/>
      <c r="K14" s="2"/>
      <c r="L14" s="2">
        <f t="shared" si="0"/>
        <v>10286.44</v>
      </c>
      <c r="M14" s="2"/>
      <c r="N14" s="19">
        <f t="shared" si="1"/>
        <v>0</v>
      </c>
      <c r="O14" s="11"/>
      <c r="P14" s="2">
        <f>--72901.99</f>
        <v>72901.990000000005</v>
      </c>
      <c r="Q14" s="2"/>
      <c r="R14" s="19"/>
      <c r="S14" s="2"/>
      <c r="T14" s="2"/>
      <c r="U14" s="2"/>
      <c r="V14" s="19"/>
      <c r="W14" s="2"/>
      <c r="X14" s="2">
        <f t="shared" si="2"/>
        <v>72901.990000000005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--38877.64</f>
        <v>38877.64</v>
      </c>
      <c r="E15" s="2"/>
      <c r="F15" s="19"/>
      <c r="G15" s="2"/>
      <c r="H15" s="2"/>
      <c r="I15" s="2"/>
      <c r="J15" s="19"/>
      <c r="K15" s="2"/>
      <c r="L15" s="2">
        <f t="shared" si="0"/>
        <v>38877.64</v>
      </c>
      <c r="M15" s="2"/>
      <c r="N15" s="19">
        <f t="shared" si="1"/>
        <v>0</v>
      </c>
      <c r="O15" s="11"/>
      <c r="P15" s="2">
        <f>--329774.05</f>
        <v>329774.05</v>
      </c>
      <c r="Q15" s="2"/>
      <c r="R15" s="19"/>
      <c r="S15" s="2"/>
      <c r="T15" s="2"/>
      <c r="U15" s="2"/>
      <c r="V15" s="19"/>
      <c r="W15" s="2"/>
      <c r="X15" s="2">
        <f t="shared" si="2"/>
        <v>329774.05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24297.27</v>
      </c>
      <c r="E17" s="4"/>
      <c r="F17" s="12">
        <f t="shared" ref="F17:F20" si="4">IF(D$12=0,0,D17/D$12)</f>
        <v>0.4942077630660433</v>
      </c>
      <c r="G17" s="4"/>
      <c r="H17" s="4">
        <f>SUM(OSRRefH16x_0)</f>
        <v>25940</v>
      </c>
      <c r="I17" s="4"/>
      <c r="J17" s="12">
        <f t="shared" ref="J17:J20" si="5">IF(H$12=0,0,H17/H$12)</f>
        <v>0.48005033681249537</v>
      </c>
      <c r="K17" s="4"/>
      <c r="L17" s="4">
        <f t="shared" ref="L17:L20" si="6">+D17-H17</f>
        <v>-1642.7299999999996</v>
      </c>
      <c r="M17" s="4"/>
      <c r="N17" s="12">
        <f t="shared" ref="N17:N20" si="7">IF(H17=0,0,L17/H17)</f>
        <v>-6.3328064764841929E-2</v>
      </c>
      <c r="O17" s="10"/>
      <c r="P17" s="4">
        <f>SUM(OSRRefP16x_0)</f>
        <v>183549.88</v>
      </c>
      <c r="Q17" s="4"/>
      <c r="R17" s="12">
        <f t="shared" ref="R17:R20" si="8">IF(P$12=0,0,P17/P$12)</f>
        <v>0.45582518393694349</v>
      </c>
      <c r="S17" s="4"/>
      <c r="T17" s="4">
        <f>SUM(OSRRefT16x_0)</f>
        <v>182620</v>
      </c>
      <c r="U17" s="4"/>
      <c r="V17" s="12">
        <f t="shared" ref="V17:V20" si="9">IF(T$12=0,0,T17/T$12)</f>
        <v>0.47999890658446426</v>
      </c>
      <c r="W17" s="4"/>
      <c r="X17" s="4">
        <f t="shared" ref="X17:X20" si="10">+P17-T17</f>
        <v>929.88000000000466</v>
      </c>
      <c r="Y17" s="4"/>
      <c r="Z17" s="12">
        <f t="shared" ref="Z17:Z20" si="11">IF(T17=0,0,X17/T17)</f>
        <v>5.0918847880845729E-3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25940</v>
      </c>
      <c r="I18" s="2"/>
      <c r="J18" s="19">
        <f t="shared" si="5"/>
        <v>0.48005033681249537</v>
      </c>
      <c r="K18" s="2"/>
      <c r="L18" s="2">
        <f t="shared" si="6"/>
        <v>-25940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182620</v>
      </c>
      <c r="U18" s="2"/>
      <c r="V18" s="19">
        <f t="shared" si="9"/>
        <v>0.47999890658446426</v>
      </c>
      <c r="W18" s="2"/>
      <c r="X18" s="2">
        <f t="shared" si="10"/>
        <v>-182620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17701.98</v>
      </c>
      <c r="E19" s="2"/>
      <c r="F19" s="19">
        <f t="shared" si="4"/>
        <v>0.36005921396271423</v>
      </c>
      <c r="G19" s="2"/>
      <c r="H19" s="2"/>
      <c r="I19" s="2"/>
      <c r="J19" s="19">
        <f t="shared" si="5"/>
        <v>0</v>
      </c>
      <c r="K19" s="2"/>
      <c r="L19" s="2">
        <f t="shared" si="6"/>
        <v>17701.98</v>
      </c>
      <c r="M19" s="2"/>
      <c r="N19" s="19">
        <f t="shared" si="7"/>
        <v>0</v>
      </c>
      <c r="O19" s="11"/>
      <c r="P19" s="2">
        <v>187179.32</v>
      </c>
      <c r="Q19" s="2"/>
      <c r="R19" s="19">
        <f t="shared" si="8"/>
        <v>0.46483848405780492</v>
      </c>
      <c r="S19" s="2"/>
      <c r="T19" s="2"/>
      <c r="U19" s="2"/>
      <c r="V19" s="19">
        <f t="shared" si="9"/>
        <v>0</v>
      </c>
      <c r="W19" s="2"/>
      <c r="X19" s="2">
        <f t="shared" si="10"/>
        <v>187179.32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6595.29</v>
      </c>
      <c r="E20" s="2"/>
      <c r="F20" s="19">
        <f t="shared" si="4"/>
        <v>0.1341485491033291</v>
      </c>
      <c r="G20" s="2"/>
      <c r="H20" s="2"/>
      <c r="I20" s="2"/>
      <c r="J20" s="19">
        <f t="shared" si="5"/>
        <v>0</v>
      </c>
      <c r="K20" s="2"/>
      <c r="L20" s="2">
        <f t="shared" si="6"/>
        <v>6595.29</v>
      </c>
      <c r="M20" s="2"/>
      <c r="N20" s="19">
        <f t="shared" si="7"/>
        <v>0</v>
      </c>
      <c r="O20" s="11"/>
      <c r="P20" s="2">
        <v>-3629.44</v>
      </c>
      <c r="Q20" s="2"/>
      <c r="R20" s="19">
        <f t="shared" si="8"/>
        <v>-9.0133001208614252E-3</v>
      </c>
      <c r="S20" s="2"/>
      <c r="T20" s="2"/>
      <c r="U20" s="2"/>
      <c r="V20" s="19">
        <f t="shared" si="9"/>
        <v>0</v>
      </c>
      <c r="W20" s="2"/>
      <c r="X20" s="2">
        <f t="shared" si="10"/>
        <v>-3629.44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24866.81</v>
      </c>
      <c r="E22" s="14"/>
      <c r="F22" s="20">
        <f>IF(D$12=0,0,D22/D$12)</f>
        <v>0.5057922369339567</v>
      </c>
      <c r="G22" s="14"/>
      <c r="H22" s="22">
        <f>H12-H17</f>
        <v>28096</v>
      </c>
      <c r="I22" s="14"/>
      <c r="J22" s="20">
        <f>IF(H$12=0,0,H22/H$12)</f>
        <v>0.51994966318750457</v>
      </c>
      <c r="K22" s="16"/>
      <c r="L22" s="22">
        <f>+D22-H22</f>
        <v>-3229.1899999999987</v>
      </c>
      <c r="M22" s="16"/>
      <c r="N22" s="20">
        <f>IF(H22=0,0,L22/H22)</f>
        <v>-0.11493415432801818</v>
      </c>
      <c r="O22" s="28"/>
      <c r="P22" s="22">
        <f>P12-P17</f>
        <v>219126.15999999997</v>
      </c>
      <c r="Q22" s="14"/>
      <c r="R22" s="20">
        <f>IF(P$12=0,0,P22/P$12)</f>
        <v>0.54417481606305651</v>
      </c>
      <c r="S22" s="14"/>
      <c r="T22" s="22">
        <f>T12-T17</f>
        <v>197839.2</v>
      </c>
      <c r="U22" s="14"/>
      <c r="V22" s="20">
        <f>IF(T$12=0,0,T22/T$12)</f>
        <v>0.5200010934155358</v>
      </c>
      <c r="W22" s="16"/>
      <c r="X22" s="22">
        <f>+P22-T22</f>
        <v>21286.959999999963</v>
      </c>
      <c r="Y22" s="16"/>
      <c r="Z22" s="20">
        <f>IF(T22=0,0,X22/T22)</f>
        <v>0.1075972810241851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29416.209999999995</v>
      </c>
      <c r="E24" s="21"/>
      <c r="F24" s="30">
        <f t="shared" ref="F24:F34" si="12">IF(D$12=0,0,D24/D$12)</f>
        <v>0.5983272747095032</v>
      </c>
      <c r="G24" s="21"/>
      <c r="H24" s="21">
        <f>SUM(OSRRefH22x_0)</f>
        <v>26535.827976</v>
      </c>
      <c r="I24" s="21"/>
      <c r="J24" s="30">
        <f t="shared" ref="J24:J34" si="13">IF(H$12=0,0,H24/H$12)</f>
        <v>0.49107683721963136</v>
      </c>
      <c r="K24" s="4"/>
      <c r="L24" s="21">
        <f t="shared" ref="L24:L34" si="14">+D24-H24</f>
        <v>2880.382023999995</v>
      </c>
      <c r="M24" s="4"/>
      <c r="N24" s="30">
        <f t="shared" ref="N24:N34" si="15">IF(H24=0,0,L24/H24)</f>
        <v>0.10854690596446136</v>
      </c>
      <c r="O24" s="10"/>
      <c r="P24" s="21">
        <f>SUM(OSRRefP22x_0)</f>
        <v>180618.15000000002</v>
      </c>
      <c r="Q24" s="21"/>
      <c r="R24" s="30">
        <f t="shared" ref="R24:R34" si="16">IF(P$12=0,0,P24/P$12)</f>
        <v>0.44854456699236445</v>
      </c>
      <c r="S24" s="21"/>
      <c r="T24" s="21">
        <f>SUM(OSRRefT22x_0)</f>
        <v>178464.08936275</v>
      </c>
      <c r="U24" s="21"/>
      <c r="V24" s="30">
        <f t="shared" ref="V24:V34" si="17">IF(T$12=0,0,T24/T$12)</f>
        <v>0.46907549971915519</v>
      </c>
      <c r="W24" s="4"/>
      <c r="X24" s="21">
        <f t="shared" ref="X24:X34" si="18">+P24-T24</f>
        <v>2154.0606372500188</v>
      </c>
      <c r="Y24" s="4"/>
      <c r="Z24" s="30">
        <f t="shared" ref="Z24:Z34" si="19">IF(T24=0,0,X24/T24)</f>
        <v>1.2069994837289804E-2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3660.7</v>
      </c>
      <c r="E25" s="1"/>
      <c r="F25" s="5">
        <f t="shared" si="12"/>
        <v>7.4458832546037676E-2</v>
      </c>
      <c r="G25" s="1"/>
      <c r="H25" s="1">
        <f>SUM(OSRRefH22_0x_0)</f>
        <v>3361.4354760000001</v>
      </c>
      <c r="I25" s="1"/>
      <c r="J25" s="5">
        <f t="shared" si="13"/>
        <v>6.2207333555407508E-2</v>
      </c>
      <c r="K25" s="1"/>
      <c r="L25" s="1">
        <f t="shared" si="14"/>
        <v>299.26452399999971</v>
      </c>
      <c r="M25" s="1"/>
      <c r="N25" s="5">
        <f t="shared" si="15"/>
        <v>8.9028787295395248E-2</v>
      </c>
      <c r="O25" s="13"/>
      <c r="P25" s="1">
        <f>SUM(OSRRefP22_0x_0)</f>
        <v>22709.360000000001</v>
      </c>
      <c r="Q25" s="1"/>
      <c r="R25" s="5">
        <f t="shared" si="16"/>
        <v>5.6396104421807668E-2</v>
      </c>
      <c r="S25" s="1"/>
      <c r="T25" s="1">
        <f>SUM(OSRRefT22_0x_0)</f>
        <v>21586.918112749998</v>
      </c>
      <c r="U25" s="1"/>
      <c r="V25" s="5">
        <f t="shared" si="17"/>
        <v>5.6739114503605109E-2</v>
      </c>
      <c r="W25" s="1"/>
      <c r="X25" s="1">
        <f t="shared" si="18"/>
        <v>1122.4418872500028</v>
      </c>
      <c r="Y25" s="1"/>
      <c r="Z25" s="5">
        <f t="shared" si="19"/>
        <v>5.1996393435478357E-2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498.19</v>
      </c>
      <c r="E26" s="2"/>
      <c r="F26" s="7">
        <f t="shared" si="12"/>
        <v>1.0133211076053899E-2</v>
      </c>
      <c r="G26" s="2"/>
      <c r="H26" s="6">
        <v>302.69145600000002</v>
      </c>
      <c r="I26" s="2"/>
      <c r="J26" s="7">
        <f t="shared" si="13"/>
        <v>5.6016628914057299E-3</v>
      </c>
      <c r="K26" s="2"/>
      <c r="L26" s="6">
        <f t="shared" si="14"/>
        <v>195.49854399999998</v>
      </c>
      <c r="M26" s="2"/>
      <c r="N26" s="7">
        <f t="shared" si="15"/>
        <v>0.64586740102766549</v>
      </c>
      <c r="O26" s="11"/>
      <c r="P26" s="6">
        <v>3522.33</v>
      </c>
      <c r="Q26" s="2"/>
      <c r="R26" s="7">
        <f t="shared" si="16"/>
        <v>8.7473046571134461E-3</v>
      </c>
      <c r="S26" s="2"/>
      <c r="T26" s="6">
        <v>2233.3883827499999</v>
      </c>
      <c r="U26" s="2"/>
      <c r="V26" s="7">
        <f t="shared" si="17"/>
        <v>5.8702441227600748E-3</v>
      </c>
      <c r="W26" s="2"/>
      <c r="X26" s="6">
        <f t="shared" si="18"/>
        <v>1288.94161725</v>
      </c>
      <c r="Y26" s="2"/>
      <c r="Z26" s="7">
        <f t="shared" si="19"/>
        <v>0.57712381205409047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283.2</v>
      </c>
      <c r="E27" s="2"/>
      <c r="F27" s="7">
        <f t="shared" si="12"/>
        <v>5.7603030505198102E-3</v>
      </c>
      <c r="G27" s="2"/>
      <c r="H27" s="6">
        <v>171.12254999999999</v>
      </c>
      <c r="I27" s="2"/>
      <c r="J27" s="7">
        <f t="shared" si="13"/>
        <v>3.1668248945147678E-3</v>
      </c>
      <c r="K27" s="2"/>
      <c r="L27" s="6">
        <f t="shared" si="14"/>
        <v>112.07745</v>
      </c>
      <c r="M27" s="2"/>
      <c r="N27" s="7">
        <f t="shared" si="15"/>
        <v>0.65495430029531476</v>
      </c>
      <c r="O27" s="11"/>
      <c r="P27" s="6">
        <v>1074.33</v>
      </c>
      <c r="Q27" s="2"/>
      <c r="R27" s="7">
        <f t="shared" si="16"/>
        <v>2.6679759739367658E-3</v>
      </c>
      <c r="S27" s="2"/>
      <c r="T27" s="6">
        <v>1235.7205750000001</v>
      </c>
      <c r="U27" s="2"/>
      <c r="V27" s="7">
        <f t="shared" si="17"/>
        <v>3.2479713330627832E-3</v>
      </c>
      <c r="W27" s="2"/>
      <c r="X27" s="6">
        <f t="shared" si="18"/>
        <v>-161.39057500000013</v>
      </c>
      <c r="Y27" s="2"/>
      <c r="Z27" s="7">
        <f t="shared" si="19"/>
        <v>-0.13060442487169893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1815.82</v>
      </c>
      <c r="E28" s="2"/>
      <c r="F28" s="7">
        <f t="shared" si="12"/>
        <v>3.693387530082938E-2</v>
      </c>
      <c r="G28" s="2"/>
      <c r="H28" s="6">
        <v>1977</v>
      </c>
      <c r="I28" s="2"/>
      <c r="J28" s="7">
        <f t="shared" si="13"/>
        <v>3.6586719964468134E-2</v>
      </c>
      <c r="K28" s="2"/>
      <c r="L28" s="6">
        <f t="shared" si="14"/>
        <v>-161.18000000000006</v>
      </c>
      <c r="M28" s="2"/>
      <c r="N28" s="7">
        <f t="shared" si="15"/>
        <v>-8.1527567020738531E-2</v>
      </c>
      <c r="O28" s="11"/>
      <c r="P28" s="6">
        <v>11362.57</v>
      </c>
      <c r="Q28" s="2"/>
      <c r="R28" s="7">
        <f t="shared" si="16"/>
        <v>2.8217646125654756E-2</v>
      </c>
      <c r="S28" s="2"/>
      <c r="T28" s="6">
        <v>11862</v>
      </c>
      <c r="U28" s="2"/>
      <c r="V28" s="7">
        <f t="shared" si="17"/>
        <v>3.1178113185329728E-2</v>
      </c>
      <c r="W28" s="2"/>
      <c r="X28" s="6">
        <f t="shared" si="18"/>
        <v>-499.43000000000029</v>
      </c>
      <c r="Y28" s="2"/>
      <c r="Z28" s="7">
        <f t="shared" si="19"/>
        <v>-4.2103355252065447E-2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38.75</v>
      </c>
      <c r="E29" s="2"/>
      <c r="F29" s="7">
        <f t="shared" si="12"/>
        <v>7.8817705934902064E-4</v>
      </c>
      <c r="G29" s="2"/>
      <c r="H29" s="6">
        <v>23.41677</v>
      </c>
      <c r="I29" s="2"/>
      <c r="J29" s="7">
        <f t="shared" si="13"/>
        <v>4.3335498556517878E-4</v>
      </c>
      <c r="K29" s="2"/>
      <c r="L29" s="6">
        <f t="shared" si="14"/>
        <v>15.33323</v>
      </c>
      <c r="M29" s="2"/>
      <c r="N29" s="7">
        <f t="shared" si="15"/>
        <v>0.65479696815572774</v>
      </c>
      <c r="O29" s="11"/>
      <c r="P29" s="6">
        <v>183.27</v>
      </c>
      <c r="Q29" s="2"/>
      <c r="R29" s="7">
        <f t="shared" si="16"/>
        <v>4.5513013389125419E-4</v>
      </c>
      <c r="S29" s="2"/>
      <c r="T29" s="6">
        <v>169.09860499999999</v>
      </c>
      <c r="U29" s="2"/>
      <c r="V29" s="7">
        <f t="shared" si="17"/>
        <v>4.4445923505069659E-4</v>
      </c>
      <c r="W29" s="2"/>
      <c r="X29" s="6">
        <f t="shared" si="18"/>
        <v>14.171395000000018</v>
      </c>
      <c r="Y29" s="2"/>
      <c r="Z29" s="7">
        <f t="shared" si="19"/>
        <v>8.380551099164904E-2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392.49</v>
      </c>
      <c r="E30" s="2"/>
      <c r="F30" s="7">
        <f t="shared" si="12"/>
        <v>7.9832674586812168E-3</v>
      </c>
      <c r="G30" s="2"/>
      <c r="H30" s="6">
        <v>340.1472</v>
      </c>
      <c r="I30" s="2"/>
      <c r="J30" s="7">
        <f t="shared" si="13"/>
        <v>6.2948256717743727E-3</v>
      </c>
      <c r="K30" s="2"/>
      <c r="L30" s="6">
        <f t="shared" si="14"/>
        <v>52.342800000000011</v>
      </c>
      <c r="M30" s="2"/>
      <c r="N30" s="7">
        <f t="shared" si="15"/>
        <v>0.15388278956875145</v>
      </c>
      <c r="O30" s="11"/>
      <c r="P30" s="6">
        <v>2635.56</v>
      </c>
      <c r="Q30" s="2"/>
      <c r="R30" s="7">
        <f t="shared" si="16"/>
        <v>6.5451125425788929E-3</v>
      </c>
      <c r="S30" s="2"/>
      <c r="T30" s="6">
        <v>2210.9567999999999</v>
      </c>
      <c r="U30" s="2"/>
      <c r="V30" s="7">
        <f t="shared" si="17"/>
        <v>5.8112848894178396E-3</v>
      </c>
      <c r="W30" s="2"/>
      <c r="X30" s="6">
        <f t="shared" si="18"/>
        <v>424.60320000000002</v>
      </c>
      <c r="Y30" s="2"/>
      <c r="Z30" s="7">
        <f t="shared" si="19"/>
        <v>0.19204500060788163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280.8</v>
      </c>
      <c r="E32" s="2"/>
      <c r="F32" s="7">
        <f t="shared" si="12"/>
        <v>5.7114869229730322E-3</v>
      </c>
      <c r="G32" s="2"/>
      <c r="H32" s="6">
        <v>197.76</v>
      </c>
      <c r="I32" s="2"/>
      <c r="J32" s="7">
        <f t="shared" si="13"/>
        <v>3.6597823673106817E-3</v>
      </c>
      <c r="K32" s="2"/>
      <c r="L32" s="6">
        <f t="shared" si="14"/>
        <v>83.04000000000002</v>
      </c>
      <c r="M32" s="2"/>
      <c r="N32" s="7">
        <f t="shared" si="15"/>
        <v>0.41990291262135937</v>
      </c>
      <c r="O32" s="11"/>
      <c r="P32" s="6">
        <v>1825.2</v>
      </c>
      <c r="Q32" s="2"/>
      <c r="R32" s="7">
        <f t="shared" si="16"/>
        <v>4.5326759446626128E-3</v>
      </c>
      <c r="S32" s="2"/>
      <c r="T32" s="6">
        <v>1285.44</v>
      </c>
      <c r="U32" s="2"/>
      <c r="V32" s="7">
        <f t="shared" si="17"/>
        <v>3.3786540054754886E-3</v>
      </c>
      <c r="W32" s="2"/>
      <c r="X32" s="6">
        <f t="shared" si="18"/>
        <v>539.76</v>
      </c>
      <c r="Y32" s="2"/>
      <c r="Z32" s="7">
        <f t="shared" si="19"/>
        <v>0.4199029126213592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3.6026302129522204E-3</v>
      </c>
      <c r="G33" s="2"/>
      <c r="H33" s="6">
        <v>349.29750000000001</v>
      </c>
      <c r="I33" s="2"/>
      <c r="J33" s="7">
        <f t="shared" si="13"/>
        <v>6.4641627803686437E-3</v>
      </c>
      <c r="K33" s="2"/>
      <c r="L33" s="6">
        <f t="shared" si="14"/>
        <v>-172.17750000000001</v>
      </c>
      <c r="M33" s="2"/>
      <c r="N33" s="7">
        <f t="shared" si="15"/>
        <v>-0.49292508534988083</v>
      </c>
      <c r="O33" s="11"/>
      <c r="P33" s="6">
        <v>1151.28</v>
      </c>
      <c r="Q33" s="2"/>
      <c r="R33" s="7">
        <f t="shared" si="16"/>
        <v>2.8590725189410328E-3</v>
      </c>
      <c r="S33" s="2"/>
      <c r="T33" s="6">
        <v>2465.3137500000003</v>
      </c>
      <c r="U33" s="2"/>
      <c r="V33" s="7">
        <f t="shared" si="17"/>
        <v>6.4798373912366954E-3</v>
      </c>
      <c r="W33" s="2"/>
      <c r="X33" s="6">
        <f t="shared" si="18"/>
        <v>-1314.0337500000003</v>
      </c>
      <c r="Y33" s="2"/>
      <c r="Z33" s="7">
        <f t="shared" si="19"/>
        <v>-0.53300872961910029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174.33</v>
      </c>
      <c r="E34" s="2"/>
      <c r="F34" s="7">
        <f t="shared" si="12"/>
        <v>3.5458814646790911E-3</v>
      </c>
      <c r="G34" s="2"/>
      <c r="H34" s="6"/>
      <c r="I34" s="2"/>
      <c r="J34" s="7">
        <f t="shared" si="13"/>
        <v>0</v>
      </c>
      <c r="K34" s="2"/>
      <c r="L34" s="6">
        <f t="shared" si="14"/>
        <v>174.33</v>
      </c>
      <c r="M34" s="2"/>
      <c r="N34" s="7">
        <f t="shared" si="15"/>
        <v>0</v>
      </c>
      <c r="O34" s="11"/>
      <c r="P34" s="6">
        <v>954.82</v>
      </c>
      <c r="Q34" s="2"/>
      <c r="R34" s="7">
        <f t="shared" si="16"/>
        <v>2.3711865250289044E-3</v>
      </c>
      <c r="S34" s="2"/>
      <c r="T34" s="6">
        <v>125</v>
      </c>
      <c r="U34" s="2"/>
      <c r="V34" s="7">
        <f t="shared" si="17"/>
        <v>3.285503412718105E-4</v>
      </c>
      <c r="W34" s="2"/>
      <c r="X34" s="6">
        <f t="shared" si="18"/>
        <v>829.82</v>
      </c>
      <c r="Y34" s="2"/>
      <c r="Z34" s="7">
        <f t="shared" si="19"/>
        <v>6.63856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9320.94</v>
      </c>
      <c r="E35" s="1"/>
      <c r="F35" s="5">
        <f t="shared" ref="F35:F45" si="20">IF(D$12=0,0,D35/D$12)</f>
        <v>0.18958841495661061</v>
      </c>
      <c r="G35" s="1"/>
      <c r="H35" s="1">
        <f>SUM(OSRRefH22_1x_0)</f>
        <v>8459.3924999999981</v>
      </c>
      <c r="I35" s="1"/>
      <c r="J35" s="5">
        <f t="shared" ref="J35:J45" si="21">IF(H$12=0,0,H35/H$12)</f>
        <v>0.15655104930046632</v>
      </c>
      <c r="K35" s="1"/>
      <c r="L35" s="1">
        <f t="shared" ref="L35:L45" si="22">+D35-H35</f>
        <v>861.5475000000024</v>
      </c>
      <c r="M35" s="1"/>
      <c r="N35" s="5">
        <f t="shared" ref="N35:N45" si="23">IF(H35=0,0,L35/H35)</f>
        <v>0.10184507930090755</v>
      </c>
      <c r="O35" s="13"/>
      <c r="P35" s="1">
        <f>SUM(OSRRefP22_1x_0)</f>
        <v>62491.570000000007</v>
      </c>
      <c r="Q35" s="1"/>
      <c r="R35" s="5">
        <f t="shared" ref="R35:R45" si="24">IF(P$12=0,0,P35/P$12)</f>
        <v>0.15519068380626772</v>
      </c>
      <c r="S35" s="1"/>
      <c r="T35" s="1">
        <f>SUM(OSRRefT22_1x_0)</f>
        <v>61287.171249999999</v>
      </c>
      <c r="U35" s="1"/>
      <c r="V35" s="5">
        <f t="shared" ref="V35:V45" si="25">IF(T$12=0,0,T35/T$12)</f>
        <v>0.16108736823817113</v>
      </c>
      <c r="W35" s="1"/>
      <c r="X35" s="1">
        <f t="shared" ref="X35:X45" si="26">+P35-T35</f>
        <v>1204.3987500000076</v>
      </c>
      <c r="Y35" s="1"/>
      <c r="Z35" s="5">
        <f t="shared" ref="Z35:Z45" si="27">IF(T35=0,0,X35/T35)</f>
        <v>1.965172686934882E-2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3648</v>
      </c>
      <c r="E37" s="2"/>
      <c r="F37" s="7">
        <f t="shared" si="20"/>
        <v>7.4200513871102644E-2</v>
      </c>
      <c r="G37" s="2"/>
      <c r="H37" s="6">
        <v>3559.68</v>
      </c>
      <c r="I37" s="2"/>
      <c r="J37" s="7">
        <f t="shared" si="21"/>
        <v>6.5876082611592265E-2</v>
      </c>
      <c r="K37" s="2"/>
      <c r="L37" s="6">
        <f t="shared" si="22"/>
        <v>88.320000000000164</v>
      </c>
      <c r="M37" s="2"/>
      <c r="N37" s="7">
        <f t="shared" si="23"/>
        <v>2.4811218985976314E-2</v>
      </c>
      <c r="O37" s="11"/>
      <c r="P37" s="6">
        <v>22080</v>
      </c>
      <c r="Q37" s="2"/>
      <c r="R37" s="7">
        <f t="shared" si="24"/>
        <v>5.4833160671789664E-2</v>
      </c>
      <c r="S37" s="2"/>
      <c r="T37" s="6">
        <v>23137.919999999998</v>
      </c>
      <c r="U37" s="2"/>
      <c r="V37" s="7">
        <f t="shared" si="25"/>
        <v>6.081577209855879E-2</v>
      </c>
      <c r="W37" s="2"/>
      <c r="X37" s="6">
        <f t="shared" si="26"/>
        <v>-1057.9199999999983</v>
      </c>
      <c r="Y37" s="2"/>
      <c r="Z37" s="7">
        <f t="shared" si="27"/>
        <v>-4.5722346693220409E-2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6.3236938557357418E-4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2672.19</v>
      </c>
      <c r="E40" s="2"/>
      <c r="F40" s="7">
        <f t="shared" si="20"/>
        <v>5.4352486612177023E-2</v>
      </c>
      <c r="G40" s="2"/>
      <c r="H40" s="6">
        <v>1181.46</v>
      </c>
      <c r="I40" s="2"/>
      <c r="J40" s="7">
        <f t="shared" si="21"/>
        <v>2.1864312680435267E-2</v>
      </c>
      <c r="K40" s="2"/>
      <c r="L40" s="6">
        <f t="shared" si="22"/>
        <v>1490.73</v>
      </c>
      <c r="M40" s="2"/>
      <c r="N40" s="7">
        <f t="shared" si="23"/>
        <v>1.2617693362449849</v>
      </c>
      <c r="O40" s="11"/>
      <c r="P40" s="6">
        <v>13975.54</v>
      </c>
      <c r="Q40" s="2"/>
      <c r="R40" s="7">
        <f t="shared" si="24"/>
        <v>3.4706658980752869E-2</v>
      </c>
      <c r="S40" s="2"/>
      <c r="T40" s="6">
        <v>6708.52</v>
      </c>
      <c r="U40" s="2"/>
      <c r="V40" s="7">
        <f t="shared" si="25"/>
        <v>1.7632692283430128E-2</v>
      </c>
      <c r="W40" s="2"/>
      <c r="X40" s="6">
        <f t="shared" si="26"/>
        <v>7267.02</v>
      </c>
      <c r="Y40" s="2"/>
      <c r="Z40" s="7">
        <f t="shared" si="27"/>
        <v>1.083252341798191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2688.75</v>
      </c>
      <c r="E42" s="2"/>
      <c r="F42" s="7">
        <f t="shared" si="20"/>
        <v>5.4689317892249789E-2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2688.75</v>
      </c>
      <c r="M42" s="2"/>
      <c r="N42" s="7">
        <f t="shared" si="23"/>
        <v>0</v>
      </c>
      <c r="O42" s="11"/>
      <c r="P42" s="6">
        <v>23862.390000000003</v>
      </c>
      <c r="Q42" s="2"/>
      <c r="R42" s="7">
        <f t="shared" si="24"/>
        <v>5.9259522866073694E-2</v>
      </c>
      <c r="S42" s="2"/>
      <c r="T42" s="6">
        <v>3370.1437500000002</v>
      </c>
      <c r="U42" s="2"/>
      <c r="V42" s="7">
        <f t="shared" si="25"/>
        <v>8.8580950335804733E-3</v>
      </c>
      <c r="W42" s="2"/>
      <c r="X42" s="6">
        <f t="shared" si="26"/>
        <v>20492.246250000004</v>
      </c>
      <c r="Y42" s="2"/>
      <c r="Z42" s="7">
        <f t="shared" si="27"/>
        <v>6.0805258677764122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>
        <v>312</v>
      </c>
      <c r="E43" s="2"/>
      <c r="F43" s="7">
        <f t="shared" si="20"/>
        <v>6.3460965810811466E-3</v>
      </c>
      <c r="G43" s="2"/>
      <c r="H43" s="6">
        <v>3718.2524999999996</v>
      </c>
      <c r="I43" s="2"/>
      <c r="J43" s="7">
        <f t="shared" si="21"/>
        <v>6.8810654008438818E-2</v>
      </c>
      <c r="K43" s="2"/>
      <c r="L43" s="6">
        <f t="shared" si="22"/>
        <v>-3406.2524999999996</v>
      </c>
      <c r="M43" s="2"/>
      <c r="N43" s="7">
        <f t="shared" si="23"/>
        <v>-0.91608961467786276</v>
      </c>
      <c r="O43" s="11"/>
      <c r="P43" s="6">
        <v>2319</v>
      </c>
      <c r="Q43" s="2"/>
      <c r="R43" s="7">
        <f t="shared" si="24"/>
        <v>5.7589719020779088E-3</v>
      </c>
      <c r="S43" s="2"/>
      <c r="T43" s="6">
        <v>28070.587499999998</v>
      </c>
      <c r="U43" s="2"/>
      <c r="V43" s="7">
        <f t="shared" si="25"/>
        <v>7.3780808822601726E-2</v>
      </c>
      <c r="W43" s="2"/>
      <c r="X43" s="6">
        <f t="shared" si="26"/>
        <v>-25751.587499999998</v>
      </c>
      <c r="Y43" s="2"/>
      <c r="Z43" s="7">
        <f t="shared" si="27"/>
        <v>-0.91738683773540541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77.06</v>
      </c>
      <c r="E46" s="1"/>
      <c r="F46" s="5">
        <f t="shared" ref="F46:F55" si="28">IF(D$12=0,0,D46/D$12)</f>
        <v>1.5674044953144653E-3</v>
      </c>
      <c r="G46" s="1"/>
      <c r="H46" s="1">
        <f>SUM(OSRRefH22_2x_0)</f>
        <v>150</v>
      </c>
      <c r="I46" s="1"/>
      <c r="J46" s="5">
        <f t="shared" ref="J46:J55" si="29">IF(H$12=0,0,H46/H$12)</f>
        <v>2.7759271596713301E-3</v>
      </c>
      <c r="K46" s="1"/>
      <c r="L46" s="1">
        <f t="shared" ref="L46:L55" si="30">+D46-H46</f>
        <v>-72.94</v>
      </c>
      <c r="M46" s="1"/>
      <c r="N46" s="5">
        <f t="shared" ref="N46:N55" si="31">IF(H46=0,0,L46/H46)</f>
        <v>-0.48626666666666662</v>
      </c>
      <c r="O46" s="13"/>
      <c r="P46" s="1">
        <f>SUM(OSRRefP22_2x_0)</f>
        <v>717.02</v>
      </c>
      <c r="Q46" s="1"/>
      <c r="R46" s="5">
        <f t="shared" ref="R46:R55" si="32">IF(P$12=0,0,P46/P$12)</f>
        <v>1.7806373580111696E-3</v>
      </c>
      <c r="S46" s="1"/>
      <c r="T46" s="1">
        <f>SUM(OSRRefT22_2x_0)</f>
        <v>675</v>
      </c>
      <c r="U46" s="1"/>
      <c r="V46" s="5">
        <f t="shared" ref="V46:V55" si="33">IF(T$12=0,0,T46/T$12)</f>
        <v>1.7741718428677766E-3</v>
      </c>
      <c r="W46" s="1"/>
      <c r="X46" s="1">
        <f t="shared" ref="X46:X55" si="34">+P46-T46</f>
        <v>42.019999999999982</v>
      </c>
      <c r="Y46" s="1"/>
      <c r="Z46" s="5">
        <f t="shared" ref="Z46:Z55" si="35">IF(T46=0,0,X46/T46)</f>
        <v>6.2251851851851822E-2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>
        <v>77.06</v>
      </c>
      <c r="E47" s="2"/>
      <c r="F47" s="7">
        <f t="shared" si="28"/>
        <v>1.5674044953144653E-3</v>
      </c>
      <c r="G47" s="2"/>
      <c r="H47" s="6">
        <v>150</v>
      </c>
      <c r="I47" s="2"/>
      <c r="J47" s="7">
        <f t="shared" si="29"/>
        <v>2.7759271596713301E-3</v>
      </c>
      <c r="K47" s="2"/>
      <c r="L47" s="6">
        <f t="shared" si="30"/>
        <v>-72.94</v>
      </c>
      <c r="M47" s="2"/>
      <c r="N47" s="7">
        <f t="shared" si="31"/>
        <v>-0.48626666666666662</v>
      </c>
      <c r="O47" s="11"/>
      <c r="P47" s="6">
        <v>717.02</v>
      </c>
      <c r="Q47" s="2"/>
      <c r="R47" s="7">
        <f t="shared" si="32"/>
        <v>1.7806373580111696E-3</v>
      </c>
      <c r="S47" s="2"/>
      <c r="T47" s="6">
        <v>675</v>
      </c>
      <c r="U47" s="2"/>
      <c r="V47" s="7">
        <f t="shared" si="33"/>
        <v>1.7741718428677766E-3</v>
      </c>
      <c r="W47" s="2"/>
      <c r="X47" s="6">
        <f t="shared" si="34"/>
        <v>42.019999999999982</v>
      </c>
      <c r="Y47" s="2"/>
      <c r="Z47" s="7">
        <f t="shared" si="35"/>
        <v>6.2251851851851822E-2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0.69</v>
      </c>
      <c r="E48" s="1"/>
      <c r="F48" s="5">
        <f t="shared" si="28"/>
        <v>1.403463666969869E-5</v>
      </c>
      <c r="G48" s="1"/>
      <c r="H48" s="1">
        <f>SUM(OSRRefH22_3x_0)</f>
        <v>10</v>
      </c>
      <c r="I48" s="1"/>
      <c r="J48" s="5">
        <f t="shared" si="29"/>
        <v>1.8506181064475535E-4</v>
      </c>
      <c r="K48" s="1"/>
      <c r="L48" s="1">
        <f t="shared" si="30"/>
        <v>-9.31</v>
      </c>
      <c r="M48" s="1"/>
      <c r="N48" s="5">
        <f t="shared" si="31"/>
        <v>-0.93100000000000005</v>
      </c>
      <c r="O48" s="13"/>
      <c r="P48" s="1">
        <f>SUM(OSRRefP22_3x_0)</f>
        <v>-52.08</v>
      </c>
      <c r="Q48" s="1"/>
      <c r="R48" s="5">
        <f t="shared" si="32"/>
        <v>-1.2933473767150387E-4</v>
      </c>
      <c r="S48" s="1"/>
      <c r="T48" s="1">
        <f>SUM(OSRRefT22_3x_0)</f>
        <v>60</v>
      </c>
      <c r="U48" s="1"/>
      <c r="V48" s="5">
        <f t="shared" si="33"/>
        <v>1.5770416381046903E-4</v>
      </c>
      <c r="W48" s="1"/>
      <c r="X48" s="1">
        <f t="shared" si="34"/>
        <v>-112.08</v>
      </c>
      <c r="Y48" s="1"/>
      <c r="Z48" s="5">
        <f t="shared" si="35"/>
        <v>-1.8679999999999999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0.69</v>
      </c>
      <c r="E49" s="2"/>
      <c r="F49" s="7">
        <f t="shared" si="28"/>
        <v>1.403463666969869E-5</v>
      </c>
      <c r="G49" s="2"/>
      <c r="H49" s="6">
        <v>10</v>
      </c>
      <c r="I49" s="2"/>
      <c r="J49" s="7">
        <f t="shared" si="29"/>
        <v>1.8506181064475535E-4</v>
      </c>
      <c r="K49" s="2"/>
      <c r="L49" s="6">
        <f t="shared" si="30"/>
        <v>-9.31</v>
      </c>
      <c r="M49" s="2"/>
      <c r="N49" s="7">
        <f t="shared" si="31"/>
        <v>-0.93100000000000005</v>
      </c>
      <c r="O49" s="11"/>
      <c r="P49" s="6">
        <v>-52.08</v>
      </c>
      <c r="Q49" s="2"/>
      <c r="R49" s="7">
        <f t="shared" si="32"/>
        <v>-1.2933473767150387E-4</v>
      </c>
      <c r="S49" s="2"/>
      <c r="T49" s="6">
        <v>60</v>
      </c>
      <c r="U49" s="2"/>
      <c r="V49" s="7">
        <f t="shared" si="33"/>
        <v>1.5770416381046903E-4</v>
      </c>
      <c r="W49" s="2"/>
      <c r="X49" s="6">
        <f t="shared" si="34"/>
        <v>-112.08</v>
      </c>
      <c r="Y49" s="2"/>
      <c r="Z49" s="7">
        <f t="shared" si="35"/>
        <v>-1.8679999999999999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1749.2</v>
      </c>
      <c r="E50" s="1"/>
      <c r="F50" s="5">
        <f t="shared" si="28"/>
        <v>3.5578820960343406E-2</v>
      </c>
      <c r="G50" s="1"/>
      <c r="H50" s="1">
        <f>SUM(OSRRefH22_4x_0)</f>
        <v>1999</v>
      </c>
      <c r="I50" s="1"/>
      <c r="J50" s="5">
        <f t="shared" si="29"/>
        <v>3.6993855947886595E-2</v>
      </c>
      <c r="K50" s="1"/>
      <c r="L50" s="1">
        <f t="shared" si="30"/>
        <v>-249.79999999999995</v>
      </c>
      <c r="M50" s="1"/>
      <c r="N50" s="5">
        <f t="shared" si="31"/>
        <v>-0.12496248124062029</v>
      </c>
      <c r="O50" s="13"/>
      <c r="P50" s="1">
        <f>SUM(OSRRefP22_4x_0)</f>
        <v>14336.16</v>
      </c>
      <c r="Q50" s="1"/>
      <c r="R50" s="5">
        <f t="shared" si="32"/>
        <v>3.5602217604007433E-2</v>
      </c>
      <c r="S50" s="1"/>
      <c r="T50" s="1">
        <f>SUM(OSRRefT22_4x_0)</f>
        <v>13150</v>
      </c>
      <c r="U50" s="1"/>
      <c r="V50" s="5">
        <f t="shared" si="33"/>
        <v>3.4563495901794465E-2</v>
      </c>
      <c r="W50" s="1"/>
      <c r="X50" s="1">
        <f t="shared" si="34"/>
        <v>1186.1599999999999</v>
      </c>
      <c r="Y50" s="1"/>
      <c r="Z50" s="5">
        <f t="shared" si="35"/>
        <v>9.0202281368821288E-2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1749.2</v>
      </c>
      <c r="E51" s="2"/>
      <c r="F51" s="7">
        <f t="shared" si="28"/>
        <v>3.5578820960343406E-2</v>
      </c>
      <c r="G51" s="2"/>
      <c r="H51" s="6">
        <v>1999</v>
      </c>
      <c r="I51" s="2"/>
      <c r="J51" s="7">
        <f t="shared" si="29"/>
        <v>3.6993855947886595E-2</v>
      </c>
      <c r="K51" s="2"/>
      <c r="L51" s="6">
        <f t="shared" si="30"/>
        <v>-249.79999999999995</v>
      </c>
      <c r="M51" s="2"/>
      <c r="N51" s="7">
        <f t="shared" si="31"/>
        <v>-0.12496248124062029</v>
      </c>
      <c r="O51" s="11"/>
      <c r="P51" s="6">
        <v>14336.16</v>
      </c>
      <c r="Q51" s="2"/>
      <c r="R51" s="7">
        <f t="shared" si="32"/>
        <v>3.5602217604007433E-2</v>
      </c>
      <c r="S51" s="2"/>
      <c r="T51" s="6">
        <v>13150</v>
      </c>
      <c r="U51" s="2"/>
      <c r="V51" s="7">
        <f t="shared" si="33"/>
        <v>3.4563495901794465E-2</v>
      </c>
      <c r="W51" s="2"/>
      <c r="X51" s="6">
        <f t="shared" si="34"/>
        <v>1186.1599999999999</v>
      </c>
      <c r="Y51" s="2"/>
      <c r="Z51" s="7">
        <f t="shared" si="35"/>
        <v>9.0202281368821288E-2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5564.79</v>
      </c>
      <c r="E52" s="1"/>
      <c r="F52" s="5">
        <f t="shared" si="28"/>
        <v>0.11318812433793127</v>
      </c>
      <c r="G52" s="1"/>
      <c r="H52" s="1">
        <f>SUM(OSRRefH22_5x_0)</f>
        <v>6026</v>
      </c>
      <c r="I52" s="1"/>
      <c r="J52" s="5">
        <f t="shared" si="29"/>
        <v>0.11151824709452958</v>
      </c>
      <c r="K52" s="1"/>
      <c r="L52" s="1">
        <f t="shared" si="30"/>
        <v>-461.21000000000004</v>
      </c>
      <c r="M52" s="1"/>
      <c r="N52" s="5">
        <f t="shared" si="31"/>
        <v>-7.6536674410886171E-2</v>
      </c>
      <c r="O52" s="13"/>
      <c r="P52" s="1">
        <f>SUM(OSRRefP22_5x_0)</f>
        <v>32671.64</v>
      </c>
      <c r="Q52" s="1"/>
      <c r="R52" s="5">
        <f t="shared" si="32"/>
        <v>8.1136290105564765E-2</v>
      </c>
      <c r="S52" s="1"/>
      <c r="T52" s="1">
        <f>SUM(OSRRefT22_5x_0)</f>
        <v>34545</v>
      </c>
      <c r="U52" s="1"/>
      <c r="V52" s="5">
        <f t="shared" si="33"/>
        <v>9.0798172313877545E-2</v>
      </c>
      <c r="W52" s="1"/>
      <c r="X52" s="1">
        <f t="shared" si="34"/>
        <v>-1873.3600000000006</v>
      </c>
      <c r="Y52" s="1"/>
      <c r="Z52" s="5">
        <f t="shared" si="35"/>
        <v>-5.4229555652048067E-2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0.10333784340111724</v>
      </c>
      <c r="G53" s="2"/>
      <c r="H53" s="6">
        <v>5081</v>
      </c>
      <c r="I53" s="2"/>
      <c r="J53" s="7">
        <f t="shared" si="29"/>
        <v>9.4029905988600199E-2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30483.059999999998</v>
      </c>
      <c r="Q53" s="2"/>
      <c r="R53" s="7">
        <f t="shared" si="32"/>
        <v>7.5701201392563602E-2</v>
      </c>
      <c r="S53" s="2"/>
      <c r="T53" s="6">
        <v>30486</v>
      </c>
      <c r="U53" s="2"/>
      <c r="V53" s="7">
        <f t="shared" si="33"/>
        <v>8.0129485632099318E-2</v>
      </c>
      <c r="W53" s="2"/>
      <c r="X53" s="6">
        <f t="shared" si="34"/>
        <v>-2.9400000000023283</v>
      </c>
      <c r="Y53" s="2"/>
      <c r="Z53" s="7">
        <f t="shared" si="35"/>
        <v>-9.6437709112455832E-5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484.28</v>
      </c>
      <c r="E54" s="2"/>
      <c r="F54" s="7">
        <f t="shared" si="28"/>
        <v>9.8502809368140303E-3</v>
      </c>
      <c r="G54" s="2"/>
      <c r="H54" s="6">
        <v>348</v>
      </c>
      <c r="I54" s="2"/>
      <c r="J54" s="7">
        <f t="shared" si="29"/>
        <v>6.4401510104374858E-3</v>
      </c>
      <c r="K54" s="2"/>
      <c r="L54" s="6">
        <f t="shared" si="30"/>
        <v>136.27999999999997</v>
      </c>
      <c r="M54" s="2"/>
      <c r="N54" s="7">
        <f t="shared" si="31"/>
        <v>0.39160919540229877</v>
      </c>
      <c r="O54" s="11"/>
      <c r="P54" s="6">
        <v>2188.58</v>
      </c>
      <c r="Q54" s="2"/>
      <c r="R54" s="7">
        <f t="shared" si="32"/>
        <v>5.4350887130011514E-3</v>
      </c>
      <c r="S54" s="2"/>
      <c r="T54" s="6">
        <v>2088</v>
      </c>
      <c r="U54" s="2"/>
      <c r="V54" s="7">
        <f t="shared" si="33"/>
        <v>5.4881049006043226E-3</v>
      </c>
      <c r="W54" s="2"/>
      <c r="X54" s="6">
        <f t="shared" si="34"/>
        <v>100.57999999999993</v>
      </c>
      <c r="Y54" s="2"/>
      <c r="Z54" s="7">
        <f t="shared" si="35"/>
        <v>4.817049808429115E-2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597</v>
      </c>
      <c r="I55" s="2"/>
      <c r="J55" s="7">
        <f t="shared" si="29"/>
        <v>1.1048190095491895E-2</v>
      </c>
      <c r="K55" s="2"/>
      <c r="L55" s="6">
        <f t="shared" si="30"/>
        <v>-597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1971</v>
      </c>
      <c r="U55" s="2"/>
      <c r="V55" s="7">
        <f t="shared" si="33"/>
        <v>5.1805817811739078E-3</v>
      </c>
      <c r="W55" s="2"/>
      <c r="X55" s="6">
        <f t="shared" si="34"/>
        <v>-1971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12.63</v>
      </c>
      <c r="E56" s="1"/>
      <c r="F56" s="5">
        <f t="shared" ref="F56:F69" si="36">IF(D$12=0,0,D56/D$12)</f>
        <v>2.5689487121491951E-4</v>
      </c>
      <c r="G56" s="1"/>
      <c r="H56" s="1">
        <f>SUM(OSRRefH22_6x_0)</f>
        <v>25</v>
      </c>
      <c r="I56" s="1"/>
      <c r="J56" s="5">
        <f t="shared" ref="J56:J69" si="37">IF(H$12=0,0,H56/H$12)</f>
        <v>4.6265452661188838E-4</v>
      </c>
      <c r="K56" s="1"/>
      <c r="L56" s="1">
        <f t="shared" ref="L56:L69" si="38">+D56-H56</f>
        <v>-12.37</v>
      </c>
      <c r="M56" s="1"/>
      <c r="N56" s="5">
        <f t="shared" ref="N56:N69" si="39">IF(H56=0,0,L56/H56)</f>
        <v>-0.49479999999999996</v>
      </c>
      <c r="O56" s="13"/>
      <c r="P56" s="1">
        <f>SUM(OSRRefP22_6x_0)</f>
        <v>74.569999999999993</v>
      </c>
      <c r="Q56" s="1"/>
      <c r="R56" s="5">
        <f t="shared" ref="R56:R69" si="40">IF(P$12=0,0,P56/P$12)</f>
        <v>1.8518608656228962E-4</v>
      </c>
      <c r="S56" s="1"/>
      <c r="T56" s="1">
        <f>SUM(OSRRefT22_6x_0)</f>
        <v>150</v>
      </c>
      <c r="U56" s="1"/>
      <c r="V56" s="5">
        <f t="shared" ref="V56:V69" si="41">IF(T$12=0,0,T56/T$12)</f>
        <v>3.9426040952617259E-4</v>
      </c>
      <c r="W56" s="1"/>
      <c r="X56" s="1">
        <f t="shared" ref="X56:X69" si="42">+P56-T56</f>
        <v>-75.430000000000007</v>
      </c>
      <c r="Y56" s="1"/>
      <c r="Z56" s="5">
        <f t="shared" ref="Z56:Z69" si="43">IF(T56=0,0,X56/T56)</f>
        <v>-0.50286666666666668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12.63</v>
      </c>
      <c r="E57" s="2"/>
      <c r="F57" s="7">
        <f t="shared" si="36"/>
        <v>2.5689487121491951E-4</v>
      </c>
      <c r="G57" s="2"/>
      <c r="H57" s="6">
        <v>25</v>
      </c>
      <c r="I57" s="2"/>
      <c r="J57" s="7">
        <f t="shared" si="37"/>
        <v>4.6265452661188838E-4</v>
      </c>
      <c r="K57" s="2"/>
      <c r="L57" s="6">
        <f t="shared" si="38"/>
        <v>-12.37</v>
      </c>
      <c r="M57" s="2"/>
      <c r="N57" s="7">
        <f t="shared" si="39"/>
        <v>-0.49479999999999996</v>
      </c>
      <c r="O57" s="11"/>
      <c r="P57" s="6">
        <v>74.569999999999993</v>
      </c>
      <c r="Q57" s="2"/>
      <c r="R57" s="7">
        <f t="shared" si="40"/>
        <v>1.8518608656228962E-4</v>
      </c>
      <c r="S57" s="2"/>
      <c r="T57" s="6">
        <v>150</v>
      </c>
      <c r="U57" s="2"/>
      <c r="V57" s="7">
        <f t="shared" si="41"/>
        <v>3.9426040952617259E-4</v>
      </c>
      <c r="W57" s="2"/>
      <c r="X57" s="6">
        <f t="shared" si="42"/>
        <v>-75.430000000000007</v>
      </c>
      <c r="Y57" s="2"/>
      <c r="Z57" s="7">
        <f t="shared" si="43"/>
        <v>-0.50286666666666668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95.04</v>
      </c>
      <c r="E58" s="1"/>
      <c r="F58" s="5">
        <f t="shared" si="36"/>
        <v>1.933118650852411E-3</v>
      </c>
      <c r="G58" s="1"/>
      <c r="H58" s="1">
        <f>SUM(OSRRefH22_7x_0)</f>
        <v>80</v>
      </c>
      <c r="I58" s="1"/>
      <c r="J58" s="5">
        <f t="shared" si="37"/>
        <v>1.4804944851580428E-3</v>
      </c>
      <c r="K58" s="1"/>
      <c r="L58" s="1">
        <f t="shared" si="38"/>
        <v>15.040000000000006</v>
      </c>
      <c r="M58" s="1"/>
      <c r="N58" s="5">
        <f t="shared" si="39"/>
        <v>0.18800000000000008</v>
      </c>
      <c r="O58" s="13"/>
      <c r="P58" s="1">
        <f>SUM(OSRRefP22_7x_0)</f>
        <v>668.97</v>
      </c>
      <c r="Q58" s="1"/>
      <c r="R58" s="5">
        <f t="shared" si="40"/>
        <v>1.6613106655166273E-3</v>
      </c>
      <c r="S58" s="1"/>
      <c r="T58" s="1">
        <f>SUM(OSRRefT22_7x_0)</f>
        <v>480</v>
      </c>
      <c r="U58" s="1"/>
      <c r="V58" s="5">
        <f t="shared" si="41"/>
        <v>1.2616333104837523E-3</v>
      </c>
      <c r="W58" s="1"/>
      <c r="X58" s="1">
        <f t="shared" si="42"/>
        <v>188.97000000000003</v>
      </c>
      <c r="Y58" s="1"/>
      <c r="Z58" s="5">
        <f t="shared" si="43"/>
        <v>0.39368750000000008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95.04</v>
      </c>
      <c r="E59" s="2"/>
      <c r="F59" s="7">
        <f t="shared" si="36"/>
        <v>1.933118650852411E-3</v>
      </c>
      <c r="G59" s="2"/>
      <c r="H59" s="6">
        <v>80</v>
      </c>
      <c r="I59" s="2"/>
      <c r="J59" s="7">
        <f t="shared" si="37"/>
        <v>1.4804944851580428E-3</v>
      </c>
      <c r="K59" s="2"/>
      <c r="L59" s="6">
        <f t="shared" si="38"/>
        <v>15.040000000000006</v>
      </c>
      <c r="M59" s="2"/>
      <c r="N59" s="7">
        <f t="shared" si="39"/>
        <v>0.18800000000000008</v>
      </c>
      <c r="O59" s="11"/>
      <c r="P59" s="6">
        <v>668.97</v>
      </c>
      <c r="Q59" s="2"/>
      <c r="R59" s="7">
        <f t="shared" si="40"/>
        <v>1.6613106655166273E-3</v>
      </c>
      <c r="S59" s="2"/>
      <c r="T59" s="6">
        <v>480</v>
      </c>
      <c r="U59" s="2"/>
      <c r="V59" s="7">
        <f t="shared" si="41"/>
        <v>1.2616333104837523E-3</v>
      </c>
      <c r="W59" s="2"/>
      <c r="X59" s="6">
        <f t="shared" si="42"/>
        <v>188.97000000000003</v>
      </c>
      <c r="Y59" s="2"/>
      <c r="Z59" s="7">
        <f t="shared" si="43"/>
        <v>0.39368750000000008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187</v>
      </c>
      <c r="E60" s="1"/>
      <c r="F60" s="5">
        <f t="shared" si="36"/>
        <v>3.8035899380197899E-3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187</v>
      </c>
      <c r="M60" s="1"/>
      <c r="N60" s="5">
        <f t="shared" si="39"/>
        <v>0</v>
      </c>
      <c r="O60" s="13"/>
      <c r="P60" s="1">
        <f>SUM(OSRRefP22_8x_0)</f>
        <v>1241.23</v>
      </c>
      <c r="Q60" s="1"/>
      <c r="R60" s="5">
        <f t="shared" si="40"/>
        <v>3.0824530806451761E-3</v>
      </c>
      <c r="S60" s="1"/>
      <c r="T60" s="1">
        <f>SUM(OSRRefT22_8x_0)</f>
        <v>400</v>
      </c>
      <c r="U60" s="1"/>
      <c r="V60" s="5">
        <f t="shared" si="41"/>
        <v>1.0513610920697934E-3</v>
      </c>
      <c r="W60" s="1"/>
      <c r="X60" s="1">
        <f t="shared" si="42"/>
        <v>841.23</v>
      </c>
      <c r="Y60" s="1"/>
      <c r="Z60" s="5">
        <f t="shared" si="43"/>
        <v>2.103075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187</v>
      </c>
      <c r="E61" s="2"/>
      <c r="F61" s="7">
        <f t="shared" si="36"/>
        <v>3.8035899380197899E-3</v>
      </c>
      <c r="G61" s="2"/>
      <c r="H61" s="6"/>
      <c r="I61" s="2"/>
      <c r="J61" s="7">
        <f t="shared" si="37"/>
        <v>0</v>
      </c>
      <c r="K61" s="2"/>
      <c r="L61" s="6">
        <f t="shared" si="38"/>
        <v>187</v>
      </c>
      <c r="M61" s="2"/>
      <c r="N61" s="7">
        <f t="shared" si="39"/>
        <v>0</v>
      </c>
      <c r="O61" s="11"/>
      <c r="P61" s="6">
        <v>1241.23</v>
      </c>
      <c r="Q61" s="2"/>
      <c r="R61" s="7">
        <f t="shared" si="40"/>
        <v>3.0824530806451761E-3</v>
      </c>
      <c r="S61" s="2"/>
      <c r="T61" s="6">
        <v>400</v>
      </c>
      <c r="U61" s="2"/>
      <c r="V61" s="7">
        <f t="shared" si="41"/>
        <v>1.0513610920697934E-3</v>
      </c>
      <c r="W61" s="2"/>
      <c r="X61" s="6">
        <f t="shared" si="42"/>
        <v>841.23</v>
      </c>
      <c r="Y61" s="2"/>
      <c r="Z61" s="7">
        <f t="shared" si="43"/>
        <v>2.103075</v>
      </c>
    </row>
    <row r="62" spans="1:26" s="25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4.9536165428093028E-3</v>
      </c>
      <c r="G62" s="1"/>
      <c r="H62" s="1">
        <f>SUM(OSRRefH22_9x_0)</f>
        <v>230</v>
      </c>
      <c r="I62" s="1"/>
      <c r="J62" s="5">
        <f t="shared" si="37"/>
        <v>4.2564216448293729E-3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1461.24</v>
      </c>
      <c r="Q62" s="1"/>
      <c r="R62" s="5">
        <f t="shared" si="40"/>
        <v>3.6288228125020802E-3</v>
      </c>
      <c r="S62" s="1"/>
      <c r="T62" s="1">
        <f>SUM(OSRRefT22_9x_0)</f>
        <v>1380</v>
      </c>
      <c r="U62" s="1"/>
      <c r="V62" s="5">
        <f t="shared" si="41"/>
        <v>3.6271957676407875E-3</v>
      </c>
      <c r="W62" s="1"/>
      <c r="X62" s="1">
        <f t="shared" si="42"/>
        <v>81.240000000000009</v>
      </c>
      <c r="Y62" s="1"/>
      <c r="Z62" s="5">
        <f t="shared" si="43"/>
        <v>5.8869565217391312E-2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6"/>
        <v>4.9536165428093028E-3</v>
      </c>
      <c r="G63" s="2"/>
      <c r="H63" s="6">
        <v>230</v>
      </c>
      <c r="I63" s="2"/>
      <c r="J63" s="7">
        <f t="shared" si="37"/>
        <v>4.2564216448293729E-3</v>
      </c>
      <c r="K63" s="2"/>
      <c r="L63" s="6">
        <f t="shared" si="38"/>
        <v>13.539999999999992</v>
      </c>
      <c r="M63" s="2"/>
      <c r="N63" s="7">
        <f t="shared" si="39"/>
        <v>5.886956521739127E-2</v>
      </c>
      <c r="O63" s="11"/>
      <c r="P63" s="6">
        <v>1461.24</v>
      </c>
      <c r="Q63" s="2"/>
      <c r="R63" s="7">
        <f t="shared" si="40"/>
        <v>3.6288228125020802E-3</v>
      </c>
      <c r="S63" s="2"/>
      <c r="T63" s="6">
        <v>1380</v>
      </c>
      <c r="U63" s="2"/>
      <c r="V63" s="7">
        <f t="shared" si="41"/>
        <v>3.6271957676407875E-3</v>
      </c>
      <c r="W63" s="2"/>
      <c r="X63" s="6">
        <f t="shared" si="42"/>
        <v>81.240000000000009</v>
      </c>
      <c r="Y63" s="2"/>
      <c r="Z63" s="7">
        <f t="shared" si="43"/>
        <v>5.8869565217391312E-2</v>
      </c>
    </row>
    <row r="64" spans="1:26" s="25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4175</v>
      </c>
      <c r="E64" s="1"/>
      <c r="F64" s="5">
        <f t="shared" si="36"/>
        <v>8.4919721878249324E-2</v>
      </c>
      <c r="G64" s="1"/>
      <c r="H64" s="1">
        <f>SUM(OSRRefH22_10x_0)</f>
        <v>4175</v>
      </c>
      <c r="I64" s="1"/>
      <c r="J64" s="5">
        <f t="shared" si="37"/>
        <v>7.7263305944185359E-2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24843.95</v>
      </c>
      <c r="Q64" s="1"/>
      <c r="R64" s="5">
        <f t="shared" si="40"/>
        <v>6.1697115130068335E-2</v>
      </c>
      <c r="S64" s="1"/>
      <c r="T64" s="1">
        <f>SUM(OSRRefT22_10x_0)</f>
        <v>25050</v>
      </c>
      <c r="U64" s="1"/>
      <c r="V64" s="5">
        <f t="shared" si="41"/>
        <v>6.5841488390870825E-2</v>
      </c>
      <c r="W64" s="1"/>
      <c r="X64" s="1">
        <f t="shared" si="42"/>
        <v>-206.04999999999927</v>
      </c>
      <c r="Y64" s="1"/>
      <c r="Z64" s="5">
        <f t="shared" si="43"/>
        <v>-8.2255489021955796E-3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6">
        <v>4175</v>
      </c>
      <c r="E65" s="2"/>
      <c r="F65" s="7">
        <f t="shared" si="36"/>
        <v>8.4919721878249324E-2</v>
      </c>
      <c r="G65" s="2"/>
      <c r="H65" s="6">
        <v>4175</v>
      </c>
      <c r="I65" s="2"/>
      <c r="J65" s="7">
        <f t="shared" si="37"/>
        <v>7.7263305944185359E-2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24843.95</v>
      </c>
      <c r="Q65" s="2"/>
      <c r="R65" s="7">
        <f t="shared" si="40"/>
        <v>6.1697115130068335E-2</v>
      </c>
      <c r="S65" s="2"/>
      <c r="T65" s="6">
        <v>25050</v>
      </c>
      <c r="U65" s="2"/>
      <c r="V65" s="7">
        <f t="shared" si="41"/>
        <v>6.5841488390870825E-2</v>
      </c>
      <c r="W65" s="2"/>
      <c r="X65" s="6">
        <f t="shared" si="42"/>
        <v>-206.04999999999927</v>
      </c>
      <c r="Y65" s="2"/>
      <c r="Z65" s="7">
        <f t="shared" si="43"/>
        <v>-8.2255489021955796E-3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292.89999999999998</v>
      </c>
      <c r="E66" s="1"/>
      <c r="F66" s="5">
        <f t="shared" si="36"/>
        <v>5.9576015660213711E-3</v>
      </c>
      <c r="G66" s="1"/>
      <c r="H66" s="1">
        <f>SUM(OSRRefH22_11x_0)</f>
        <v>200</v>
      </c>
      <c r="I66" s="1"/>
      <c r="J66" s="5">
        <f t="shared" si="37"/>
        <v>3.701236212895107E-3</v>
      </c>
      <c r="K66" s="1"/>
      <c r="L66" s="1">
        <f t="shared" si="38"/>
        <v>92.899999999999977</v>
      </c>
      <c r="M66" s="1"/>
      <c r="N66" s="5">
        <f t="shared" si="39"/>
        <v>0.46449999999999991</v>
      </c>
      <c r="O66" s="13"/>
      <c r="P66" s="1">
        <f>SUM(OSRRefP22_11x_0)</f>
        <v>916.99</v>
      </c>
      <c r="Q66" s="1"/>
      <c r="R66" s="5">
        <f t="shared" si="40"/>
        <v>2.2772400364322646E-3</v>
      </c>
      <c r="S66" s="1"/>
      <c r="T66" s="1">
        <f>SUM(OSRRefT22_11x_0)</f>
        <v>4000</v>
      </c>
      <c r="U66" s="1"/>
      <c r="V66" s="5">
        <f t="shared" si="41"/>
        <v>1.0513610920697936E-2</v>
      </c>
      <c r="W66" s="1"/>
      <c r="X66" s="1">
        <f t="shared" si="42"/>
        <v>-3083.01</v>
      </c>
      <c r="Y66" s="1"/>
      <c r="Z66" s="5">
        <f t="shared" si="43"/>
        <v>-0.77075250000000006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437.31</v>
      </c>
      <c r="Q67" s="2"/>
      <c r="R67" s="7">
        <f t="shared" si="40"/>
        <v>1.0860094879248342E-3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437.31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107.03</v>
      </c>
      <c r="E68" s="2"/>
      <c r="F68" s="7">
        <f t="shared" si="36"/>
        <v>2.1769958880548564E-3</v>
      </c>
      <c r="G68" s="2"/>
      <c r="H68" s="6"/>
      <c r="I68" s="2"/>
      <c r="J68" s="7">
        <f t="shared" si="37"/>
        <v>0</v>
      </c>
      <c r="K68" s="2"/>
      <c r="L68" s="6">
        <f t="shared" si="38"/>
        <v>107.03</v>
      </c>
      <c r="M68" s="2"/>
      <c r="N68" s="7">
        <f t="shared" si="39"/>
        <v>0</v>
      </c>
      <c r="O68" s="11"/>
      <c r="P68" s="6">
        <v>209.74</v>
      </c>
      <c r="Q68" s="2"/>
      <c r="R68" s="7">
        <f t="shared" si="40"/>
        <v>5.2086535866400206E-4</v>
      </c>
      <c r="S68" s="2"/>
      <c r="T68" s="6"/>
      <c r="U68" s="2"/>
      <c r="V68" s="7">
        <f t="shared" si="41"/>
        <v>0</v>
      </c>
      <c r="W68" s="2"/>
      <c r="X68" s="6">
        <f t="shared" si="42"/>
        <v>209.74</v>
      </c>
      <c r="Y68" s="2"/>
      <c r="Z68" s="7">
        <f t="shared" si="43"/>
        <v>0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185.87</v>
      </c>
      <c r="E69" s="2"/>
      <c r="F69" s="7">
        <f t="shared" si="36"/>
        <v>3.7806056779665152E-3</v>
      </c>
      <c r="G69" s="2"/>
      <c r="H69" s="6">
        <v>200</v>
      </c>
      <c r="I69" s="2"/>
      <c r="J69" s="7">
        <f t="shared" si="37"/>
        <v>3.701236212895107E-3</v>
      </c>
      <c r="K69" s="2"/>
      <c r="L69" s="6">
        <f t="shared" si="38"/>
        <v>-14.129999999999995</v>
      </c>
      <c r="M69" s="2"/>
      <c r="N69" s="7">
        <f t="shared" si="39"/>
        <v>-7.0649999999999977E-2</v>
      </c>
      <c r="O69" s="11"/>
      <c r="P69" s="6">
        <v>269.94</v>
      </c>
      <c r="Q69" s="2"/>
      <c r="R69" s="7">
        <f t="shared" si="40"/>
        <v>6.7036518984342854E-4</v>
      </c>
      <c r="S69" s="2"/>
      <c r="T69" s="6">
        <v>4000</v>
      </c>
      <c r="U69" s="2"/>
      <c r="V69" s="7">
        <f t="shared" si="41"/>
        <v>1.0513610920697936E-2</v>
      </c>
      <c r="W69" s="2"/>
      <c r="X69" s="6">
        <f t="shared" si="42"/>
        <v>-3730.06</v>
      </c>
      <c r="Y69" s="2"/>
      <c r="Z69" s="7">
        <f t="shared" si="43"/>
        <v>-0.93251499999999998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1675.63</v>
      </c>
      <c r="E70" s="1"/>
      <c r="F70" s="5">
        <f t="shared" ref="F70:F74" si="44">IF(D$12=0,0,D70/D$12)</f>
        <v>3.4082403250503213E-2</v>
      </c>
      <c r="G70" s="1"/>
      <c r="H70" s="1">
        <f>SUM(OSRRefH22_12x_0)</f>
        <v>400</v>
      </c>
      <c r="I70" s="1"/>
      <c r="J70" s="5">
        <f t="shared" ref="J70:J74" si="45">IF(H$12=0,0,H70/H$12)</f>
        <v>7.4024724257902141E-3</v>
      </c>
      <c r="K70" s="1"/>
      <c r="L70" s="1">
        <f t="shared" ref="L70:L74" si="46">+D70-H70</f>
        <v>1275.6300000000001</v>
      </c>
      <c r="M70" s="1"/>
      <c r="N70" s="5">
        <f t="shared" ref="N70:N74" si="47">IF(H70=0,0,L70/H70)</f>
        <v>3.1890750000000003</v>
      </c>
      <c r="O70" s="13"/>
      <c r="P70" s="1">
        <f>SUM(OSRRefP22_12x_0)</f>
        <v>3418.99</v>
      </c>
      <c r="Q70" s="1"/>
      <c r="R70" s="5">
        <f t="shared" ref="R70:R74" si="48">IF(P$12=0,0,P70/P$12)</f>
        <v>8.4906715582084291E-3</v>
      </c>
      <c r="S70" s="1"/>
      <c r="T70" s="1">
        <f>SUM(OSRRefT22_12x_0)</f>
        <v>2310</v>
      </c>
      <c r="U70" s="1"/>
      <c r="V70" s="5">
        <f t="shared" ref="V70:V74" si="49">IF(T$12=0,0,T70/T$12)</f>
        <v>6.0716103067030578E-3</v>
      </c>
      <c r="W70" s="1"/>
      <c r="X70" s="1">
        <f t="shared" ref="X70:X74" si="50">+P70-T70</f>
        <v>1108.9899999999998</v>
      </c>
      <c r="Y70" s="1"/>
      <c r="Z70" s="5">
        <f t="shared" ref="Z70:Z74" si="51">IF(T70=0,0,X70/T70)</f>
        <v>0.480082251082251</v>
      </c>
    </row>
    <row r="71" spans="1:26" s="24" customFormat="1" hidden="1" outlineLevel="2" x14ac:dyDescent="0.25">
      <c r="A71" s="26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0</v>
      </c>
      <c r="U71" s="2"/>
      <c r="V71" s="7">
        <f t="shared" si="49"/>
        <v>0</v>
      </c>
      <c r="W71" s="2"/>
      <c r="X71" s="6">
        <f t="shared" si="50"/>
        <v>0</v>
      </c>
      <c r="Y71" s="2"/>
      <c r="Z71" s="7">
        <f t="shared" si="51"/>
        <v>0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786.75</v>
      </c>
      <c r="E72" s="2"/>
      <c r="F72" s="7">
        <f t="shared" si="44"/>
        <v>1.6002536811428179E-2</v>
      </c>
      <c r="G72" s="2"/>
      <c r="H72" s="6">
        <v>160</v>
      </c>
      <c r="I72" s="2"/>
      <c r="J72" s="7">
        <f t="shared" si="45"/>
        <v>2.9609889703160856E-3</v>
      </c>
      <c r="K72" s="2"/>
      <c r="L72" s="6">
        <f t="shared" si="46"/>
        <v>626.75</v>
      </c>
      <c r="M72" s="2"/>
      <c r="N72" s="7">
        <f t="shared" si="47"/>
        <v>3.9171874999999998</v>
      </c>
      <c r="O72" s="11"/>
      <c r="P72" s="6">
        <v>1101.45</v>
      </c>
      <c r="Q72" s="2"/>
      <c r="R72" s="7">
        <f t="shared" si="48"/>
        <v>2.7353253995445075E-3</v>
      </c>
      <c r="S72" s="2"/>
      <c r="T72" s="6">
        <v>960</v>
      </c>
      <c r="U72" s="2"/>
      <c r="V72" s="7">
        <f t="shared" si="49"/>
        <v>2.5232666209675046E-3</v>
      </c>
      <c r="W72" s="2"/>
      <c r="X72" s="6">
        <f t="shared" si="50"/>
        <v>141.45000000000005</v>
      </c>
      <c r="Y72" s="2"/>
      <c r="Z72" s="7">
        <f t="shared" si="51"/>
        <v>0.14734375000000005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6">
        <v>785</v>
      </c>
      <c r="E73" s="2"/>
      <c r="F73" s="7">
        <f t="shared" si="44"/>
        <v>1.5966941718425321E-2</v>
      </c>
      <c r="G73" s="2"/>
      <c r="H73" s="6">
        <v>150</v>
      </c>
      <c r="I73" s="2"/>
      <c r="J73" s="7">
        <f t="shared" si="45"/>
        <v>2.7759271596713301E-3</v>
      </c>
      <c r="K73" s="2"/>
      <c r="L73" s="6">
        <f t="shared" si="46"/>
        <v>635</v>
      </c>
      <c r="M73" s="2"/>
      <c r="N73" s="7">
        <f t="shared" si="47"/>
        <v>4.2333333333333334</v>
      </c>
      <c r="O73" s="11"/>
      <c r="P73" s="6">
        <v>1733</v>
      </c>
      <c r="Q73" s="2"/>
      <c r="R73" s="7">
        <f t="shared" si="48"/>
        <v>4.3037077646834914E-3</v>
      </c>
      <c r="S73" s="2"/>
      <c r="T73" s="6">
        <v>900</v>
      </c>
      <c r="U73" s="2"/>
      <c r="V73" s="7">
        <f t="shared" si="49"/>
        <v>2.3655624571570356E-3</v>
      </c>
      <c r="W73" s="2"/>
      <c r="X73" s="6">
        <f t="shared" si="50"/>
        <v>833</v>
      </c>
      <c r="Y73" s="2"/>
      <c r="Z73" s="7">
        <f t="shared" si="51"/>
        <v>0.92555555555555558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6">
        <v>103.88</v>
      </c>
      <c r="E74" s="2"/>
      <c r="F74" s="7">
        <f t="shared" si="44"/>
        <v>2.11292472064971E-3</v>
      </c>
      <c r="G74" s="2"/>
      <c r="H74" s="6">
        <v>90</v>
      </c>
      <c r="I74" s="2"/>
      <c r="J74" s="7">
        <f t="shared" si="45"/>
        <v>1.6655562958027982E-3</v>
      </c>
      <c r="K74" s="2"/>
      <c r="L74" s="6">
        <f t="shared" si="46"/>
        <v>13.879999999999995</v>
      </c>
      <c r="M74" s="2"/>
      <c r="N74" s="7">
        <f t="shared" si="47"/>
        <v>0.15422222222222218</v>
      </c>
      <c r="O74" s="11"/>
      <c r="P74" s="6">
        <v>584.54</v>
      </c>
      <c r="Q74" s="2"/>
      <c r="R74" s="7">
        <f t="shared" si="48"/>
        <v>1.4516383939804315E-3</v>
      </c>
      <c r="S74" s="2"/>
      <c r="T74" s="6">
        <v>450</v>
      </c>
      <c r="U74" s="2"/>
      <c r="V74" s="7">
        <f t="shared" si="49"/>
        <v>1.1827812285785178E-3</v>
      </c>
      <c r="W74" s="2"/>
      <c r="X74" s="6">
        <f t="shared" si="50"/>
        <v>134.53999999999996</v>
      </c>
      <c r="Y74" s="2"/>
      <c r="Z74" s="7">
        <f t="shared" si="51"/>
        <v>0.29897777777777768</v>
      </c>
    </row>
    <row r="75" spans="1:26" s="25" customFormat="1" outlineLevel="1" collapsed="1" x14ac:dyDescent="0.25">
      <c r="A75" s="27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352.8</v>
      </c>
      <c r="E75" s="1"/>
      <c r="F75" s="5">
        <f t="shared" ref="F75:F84" si="52">IF(D$12=0,0,D75/D$12)</f>
        <v>7.1759707493763737E-3</v>
      </c>
      <c r="G75" s="1"/>
      <c r="H75" s="1">
        <f>SUM(OSRRefH22_13x_0)</f>
        <v>180</v>
      </c>
      <c r="I75" s="1"/>
      <c r="J75" s="5">
        <f t="shared" ref="J75:J84" si="53">IF(H$12=0,0,H75/H$12)</f>
        <v>3.3311125916055963E-3</v>
      </c>
      <c r="K75" s="1"/>
      <c r="L75" s="1">
        <f t="shared" ref="L75:L84" si="54">+D75-H75</f>
        <v>172.8</v>
      </c>
      <c r="M75" s="1"/>
      <c r="N75" s="5">
        <f t="shared" ref="N75:N84" si="55">IF(H75=0,0,L75/H75)</f>
        <v>0.96000000000000008</v>
      </c>
      <c r="O75" s="13"/>
      <c r="P75" s="1">
        <f>SUM(OSRRefP22_13x_0)</f>
        <v>1058.4000000000001</v>
      </c>
      <c r="Q75" s="1"/>
      <c r="R75" s="5">
        <f t="shared" ref="R75:R84" si="56">IF(P$12=0,0,P75/P$12)</f>
        <v>2.6284156365499176E-3</v>
      </c>
      <c r="S75" s="1"/>
      <c r="T75" s="1">
        <f>SUM(OSRRefT22_13x_0)</f>
        <v>1080</v>
      </c>
      <c r="U75" s="1"/>
      <c r="V75" s="5">
        <f t="shared" ref="V75:V84" si="57">IF(T$12=0,0,T75/T$12)</f>
        <v>2.8386749485884424E-3</v>
      </c>
      <c r="W75" s="1"/>
      <c r="X75" s="1">
        <f t="shared" ref="X75:X84" si="58">+P75-T75</f>
        <v>-21.599999999999909</v>
      </c>
      <c r="Y75" s="1"/>
      <c r="Z75" s="5">
        <f t="shared" ref="Z75:Z84" si="59">IF(T75=0,0,X75/T75)</f>
        <v>-1.9999999999999917E-2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6">
        <v>352.8</v>
      </c>
      <c r="E76" s="2"/>
      <c r="F76" s="7">
        <f t="shared" si="52"/>
        <v>7.1759707493763737E-3</v>
      </c>
      <c r="G76" s="2"/>
      <c r="H76" s="6">
        <v>180</v>
      </c>
      <c r="I76" s="2"/>
      <c r="J76" s="7">
        <f t="shared" si="53"/>
        <v>3.3311125916055963E-3</v>
      </c>
      <c r="K76" s="2"/>
      <c r="L76" s="6">
        <f t="shared" si="54"/>
        <v>172.8</v>
      </c>
      <c r="M76" s="2"/>
      <c r="N76" s="7">
        <f t="shared" si="55"/>
        <v>0.96000000000000008</v>
      </c>
      <c r="O76" s="11"/>
      <c r="P76" s="6">
        <v>1058.4000000000001</v>
      </c>
      <c r="Q76" s="2"/>
      <c r="R76" s="7">
        <f t="shared" si="56"/>
        <v>2.6284156365499176E-3</v>
      </c>
      <c r="S76" s="2"/>
      <c r="T76" s="6">
        <v>1080</v>
      </c>
      <c r="U76" s="2"/>
      <c r="V76" s="7">
        <f t="shared" si="57"/>
        <v>2.8386749485884424E-3</v>
      </c>
      <c r="W76" s="2"/>
      <c r="X76" s="6">
        <f t="shared" si="58"/>
        <v>-21.599999999999909</v>
      </c>
      <c r="Y76" s="2"/>
      <c r="Z76" s="7">
        <f t="shared" si="59"/>
        <v>-1.9999999999999917E-2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37.94</v>
      </c>
      <c r="E77" s="1"/>
      <c r="F77" s="5">
        <f t="shared" si="52"/>
        <v>7.7170161630198304E-4</v>
      </c>
      <c r="G77" s="1"/>
      <c r="H77" s="1">
        <f>SUM(OSRRefH22_14x_0)</f>
        <v>100</v>
      </c>
      <c r="I77" s="1"/>
      <c r="J77" s="5">
        <f t="shared" si="53"/>
        <v>1.8506181064475535E-3</v>
      </c>
      <c r="K77" s="1"/>
      <c r="L77" s="1">
        <f t="shared" si="54"/>
        <v>-62.06</v>
      </c>
      <c r="M77" s="1"/>
      <c r="N77" s="5">
        <f t="shared" si="55"/>
        <v>-0.62060000000000004</v>
      </c>
      <c r="O77" s="13"/>
      <c r="P77" s="1">
        <f>SUM(OSRRefP22_14x_0)</f>
        <v>8810.5399999999991</v>
      </c>
      <c r="Q77" s="1"/>
      <c r="R77" s="5">
        <f t="shared" si="56"/>
        <v>2.1879970807302068E-2</v>
      </c>
      <c r="S77" s="1"/>
      <c r="T77" s="1">
        <f>SUM(OSRRefT22_14x_0)</f>
        <v>4370</v>
      </c>
      <c r="U77" s="1"/>
      <c r="V77" s="5">
        <f t="shared" si="57"/>
        <v>1.1486119930862494E-2</v>
      </c>
      <c r="W77" s="1"/>
      <c r="X77" s="1">
        <f t="shared" si="58"/>
        <v>4440.5399999999991</v>
      </c>
      <c r="Y77" s="1"/>
      <c r="Z77" s="5">
        <f t="shared" si="59"/>
        <v>1.0161418764302057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28.22</v>
      </c>
      <c r="Q78" s="2"/>
      <c r="R78" s="7">
        <f t="shared" si="56"/>
        <v>7.0081150097731169E-5</v>
      </c>
      <c r="S78" s="2"/>
      <c r="T78" s="6">
        <v>3000</v>
      </c>
      <c r="U78" s="2"/>
      <c r="V78" s="7">
        <f t="shared" si="57"/>
        <v>7.8852081905234506E-3</v>
      </c>
      <c r="W78" s="2"/>
      <c r="X78" s="6">
        <f t="shared" si="58"/>
        <v>-2971.78</v>
      </c>
      <c r="Y78" s="2"/>
      <c r="Z78" s="7">
        <f t="shared" si="59"/>
        <v>-0.99059333333333344</v>
      </c>
    </row>
    <row r="79" spans="1:26" s="24" customFormat="1" hidden="1" outlineLevel="2" x14ac:dyDescent="0.25">
      <c r="A79" s="26"/>
      <c r="B79" s="11" t="str">
        <f>CONCATENATE("          ", "6237", " - ", "JANITORIAL SUPPLIES")</f>
        <v xml:space="preserve">          6237 - JANITORIAL SUPPLIES</v>
      </c>
      <c r="C79" s="11"/>
      <c r="D79" s="6"/>
      <c r="E79" s="2"/>
      <c r="F79" s="7">
        <f t="shared" si="52"/>
        <v>0</v>
      </c>
      <c r="G79" s="2"/>
      <c r="H79" s="6">
        <v>100</v>
      </c>
      <c r="I79" s="2"/>
      <c r="J79" s="7">
        <f t="shared" si="53"/>
        <v>1.8506181064475535E-3</v>
      </c>
      <c r="K79" s="2"/>
      <c r="L79" s="6">
        <f t="shared" si="54"/>
        <v>-100</v>
      </c>
      <c r="M79" s="2"/>
      <c r="N79" s="7">
        <f t="shared" si="55"/>
        <v>-1</v>
      </c>
      <c r="O79" s="11"/>
      <c r="P79" s="6">
        <v>690.05</v>
      </c>
      <c r="Q79" s="2"/>
      <c r="R79" s="7">
        <f t="shared" si="56"/>
        <v>1.7136604402884265E-3</v>
      </c>
      <c r="S79" s="2"/>
      <c r="T79" s="6">
        <v>800</v>
      </c>
      <c r="U79" s="2"/>
      <c r="V79" s="7">
        <f t="shared" si="57"/>
        <v>2.1027221841395868E-3</v>
      </c>
      <c r="W79" s="2"/>
      <c r="X79" s="6">
        <f t="shared" si="58"/>
        <v>-109.95000000000005</v>
      </c>
      <c r="Y79" s="2"/>
      <c r="Z79" s="7">
        <f t="shared" si="59"/>
        <v>-0.13743750000000005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117.94</v>
      </c>
      <c r="E80" s="2"/>
      <c r="F80" s="7">
        <f t="shared" si="52"/>
        <v>2.3989058678612514E-3</v>
      </c>
      <c r="G80" s="2"/>
      <c r="H80" s="6"/>
      <c r="I80" s="2"/>
      <c r="J80" s="7">
        <f t="shared" si="53"/>
        <v>0</v>
      </c>
      <c r="K80" s="2"/>
      <c r="L80" s="6">
        <f t="shared" si="54"/>
        <v>117.94</v>
      </c>
      <c r="M80" s="2"/>
      <c r="N80" s="7">
        <f t="shared" si="55"/>
        <v>0</v>
      </c>
      <c r="O80" s="11"/>
      <c r="P80" s="6">
        <v>446.07</v>
      </c>
      <c r="Q80" s="2"/>
      <c r="R80" s="7">
        <f t="shared" si="56"/>
        <v>1.1077639484087507E-3</v>
      </c>
      <c r="S80" s="2"/>
      <c r="T80" s="6">
        <v>240</v>
      </c>
      <c r="U80" s="2"/>
      <c r="V80" s="7">
        <f t="shared" si="57"/>
        <v>6.3081665524187614E-4</v>
      </c>
      <c r="W80" s="2"/>
      <c r="X80" s="6">
        <f t="shared" si="58"/>
        <v>206.07</v>
      </c>
      <c r="Y80" s="2"/>
      <c r="Z80" s="7">
        <f t="shared" si="59"/>
        <v>0.85862499999999997</v>
      </c>
    </row>
    <row r="81" spans="1:26" s="24" customFormat="1" hidden="1" outlineLevel="2" x14ac:dyDescent="0.25">
      <c r="A81" s="26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676.55</v>
      </c>
      <c r="Q81" s="2"/>
      <c r="R81" s="7">
        <f t="shared" si="56"/>
        <v>1.6801347306385549E-3</v>
      </c>
      <c r="S81" s="2"/>
      <c r="T81" s="6"/>
      <c r="U81" s="2"/>
      <c r="V81" s="7">
        <f t="shared" si="57"/>
        <v>0</v>
      </c>
      <c r="W81" s="2"/>
      <c r="X81" s="6">
        <f t="shared" si="58"/>
        <v>676.55</v>
      </c>
      <c r="Y81" s="2"/>
      <c r="Z81" s="7">
        <f t="shared" si="59"/>
        <v>0</v>
      </c>
    </row>
    <row r="82" spans="1:26" s="24" customFormat="1" hidden="1" outlineLevel="2" x14ac:dyDescent="0.25">
      <c r="A82" s="26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</v>
      </c>
      <c r="U82" s="2"/>
      <c r="V82" s="7">
        <f t="shared" si="57"/>
        <v>7.8852081905234517E-5</v>
      </c>
      <c r="W82" s="2"/>
      <c r="X82" s="6">
        <f t="shared" si="58"/>
        <v>-30</v>
      </c>
      <c r="Y82" s="2"/>
      <c r="Z82" s="7">
        <f t="shared" si="59"/>
        <v>-1</v>
      </c>
    </row>
    <row r="83" spans="1:26" s="24" customFormat="1" hidden="1" outlineLevel="2" x14ac:dyDescent="0.25">
      <c r="A83" s="26"/>
      <c r="B83" s="11" t="str">
        <f>CONCATENATE("          ", "6247", " - ", "STORE SUPPLIES")</f>
        <v xml:space="preserve">          6247 - STORE SUPPLIES</v>
      </c>
      <c r="C83" s="11"/>
      <c r="D83" s="6">
        <v>-80</v>
      </c>
      <c r="E83" s="2"/>
      <c r="F83" s="7">
        <f t="shared" si="52"/>
        <v>-1.6272042515592684E-3</v>
      </c>
      <c r="G83" s="2"/>
      <c r="H83" s="6"/>
      <c r="I83" s="2"/>
      <c r="J83" s="7">
        <f t="shared" si="53"/>
        <v>0</v>
      </c>
      <c r="K83" s="2"/>
      <c r="L83" s="6">
        <f t="shared" si="54"/>
        <v>-80</v>
      </c>
      <c r="M83" s="2"/>
      <c r="N83" s="7">
        <f t="shared" si="55"/>
        <v>0</v>
      </c>
      <c r="O83" s="11"/>
      <c r="P83" s="6">
        <v>6969.65</v>
      </c>
      <c r="Q83" s="2"/>
      <c r="R83" s="7">
        <f t="shared" si="56"/>
        <v>1.7308330537868604E-2</v>
      </c>
      <c r="S83" s="2"/>
      <c r="T83" s="6"/>
      <c r="U83" s="2"/>
      <c r="V83" s="7">
        <f t="shared" si="57"/>
        <v>0</v>
      </c>
      <c r="W83" s="2"/>
      <c r="X83" s="6">
        <f t="shared" si="58"/>
        <v>6969.65</v>
      </c>
      <c r="Y83" s="2"/>
      <c r="Z83" s="7">
        <f t="shared" si="59"/>
        <v>0</v>
      </c>
    </row>
    <row r="84" spans="1:26" s="24" customFormat="1" hidden="1" outlineLevel="2" x14ac:dyDescent="0.25">
      <c r="A84" s="26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300</v>
      </c>
      <c r="U84" s="2"/>
      <c r="V84" s="7">
        <f t="shared" si="57"/>
        <v>7.8852081905234517E-4</v>
      </c>
      <c r="W84" s="2"/>
      <c r="X84" s="6">
        <f t="shared" si="58"/>
        <v>-300</v>
      </c>
      <c r="Y84" s="2"/>
      <c r="Z84" s="7">
        <f t="shared" si="59"/>
        <v>-1</v>
      </c>
    </row>
    <row r="85" spans="1:26" s="25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38.35</v>
      </c>
      <c r="E85" s="1"/>
      <c r="F85" s="5">
        <f t="shared" ref="F85:F92" si="60">IF(D$12=0,0,D85/D$12)</f>
        <v>7.8004103809122427E-4</v>
      </c>
      <c r="G85" s="1"/>
      <c r="H85" s="1">
        <f>SUM(OSRRefH22_15x_0)</f>
        <v>40</v>
      </c>
      <c r="I85" s="1"/>
      <c r="J85" s="5">
        <f t="shared" ref="J85:J92" si="61">IF(H$12=0,0,H85/H$12)</f>
        <v>7.4024724257902141E-4</v>
      </c>
      <c r="K85" s="1"/>
      <c r="L85" s="1">
        <f t="shared" ref="L85:L92" si="62">+D85-H85</f>
        <v>-1.6499999999999986</v>
      </c>
      <c r="M85" s="1"/>
      <c r="N85" s="5">
        <f t="shared" ref="N85:N92" si="63">IF(H85=0,0,L85/H85)</f>
        <v>-4.1249999999999967E-2</v>
      </c>
      <c r="O85" s="13"/>
      <c r="P85" s="1">
        <f>SUM(OSRRefP22_15x_0)</f>
        <v>233.6</v>
      </c>
      <c r="Q85" s="1"/>
      <c r="R85" s="5">
        <f t="shared" ref="R85:R92" si="64">IF(P$12=0,0,P85/P$12)</f>
        <v>5.8011894623777468E-4</v>
      </c>
      <c r="S85" s="1"/>
      <c r="T85" s="1">
        <f>SUM(OSRRefT22_15x_0)</f>
        <v>240</v>
      </c>
      <c r="U85" s="1"/>
      <c r="V85" s="5">
        <f t="shared" ref="V85:V92" si="65">IF(T$12=0,0,T85/T$12)</f>
        <v>6.3081665524187614E-4</v>
      </c>
      <c r="W85" s="1"/>
      <c r="X85" s="1">
        <f t="shared" ref="X85:X92" si="66">+P85-T85</f>
        <v>-6.4000000000000057</v>
      </c>
      <c r="Y85" s="1"/>
      <c r="Z85" s="5">
        <f t="shared" ref="Z85:Z92" si="67">IF(T85=0,0,X85/T85)</f>
        <v>-2.6666666666666689E-2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6">
        <v>38.35</v>
      </c>
      <c r="E86" s="2"/>
      <c r="F86" s="7">
        <f t="shared" si="60"/>
        <v>7.8004103809122427E-4</v>
      </c>
      <c r="G86" s="2"/>
      <c r="H86" s="6">
        <v>40</v>
      </c>
      <c r="I86" s="2"/>
      <c r="J86" s="7">
        <f t="shared" si="61"/>
        <v>7.4024724257902141E-4</v>
      </c>
      <c r="K86" s="2"/>
      <c r="L86" s="6">
        <f t="shared" si="62"/>
        <v>-1.6499999999999986</v>
      </c>
      <c r="M86" s="2"/>
      <c r="N86" s="7">
        <f t="shared" si="63"/>
        <v>-4.1249999999999967E-2</v>
      </c>
      <c r="O86" s="11"/>
      <c r="P86" s="6">
        <v>233.6</v>
      </c>
      <c r="Q86" s="2"/>
      <c r="R86" s="7">
        <f t="shared" si="64"/>
        <v>5.8011894623777468E-4</v>
      </c>
      <c r="S86" s="2"/>
      <c r="T86" s="6">
        <v>240</v>
      </c>
      <c r="U86" s="2"/>
      <c r="V86" s="7">
        <f t="shared" si="65"/>
        <v>6.3081665524187614E-4</v>
      </c>
      <c r="W86" s="2"/>
      <c r="X86" s="6">
        <f t="shared" si="66"/>
        <v>-6.4000000000000057</v>
      </c>
      <c r="Y86" s="2"/>
      <c r="Z86" s="7">
        <f t="shared" si="67"/>
        <v>-2.6666666666666689E-2</v>
      </c>
    </row>
    <row r="87" spans="1:26" s="25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0</v>
      </c>
      <c r="M87" s="1"/>
      <c r="N87" s="5">
        <f t="shared" si="63"/>
        <v>0</v>
      </c>
      <c r="O87" s="13"/>
      <c r="P87" s="1">
        <f>SUM(OSRRefP22_16x_0)</f>
        <v>0</v>
      </c>
      <c r="Q87" s="1"/>
      <c r="R87" s="5">
        <f t="shared" si="64"/>
        <v>0</v>
      </c>
      <c r="S87" s="1"/>
      <c r="T87" s="1">
        <f>SUM(OSRRefT22_16x_0)</f>
        <v>100</v>
      </c>
      <c r="U87" s="1"/>
      <c r="V87" s="5">
        <f t="shared" si="65"/>
        <v>2.6284027301744835E-4</v>
      </c>
      <c r="W87" s="1"/>
      <c r="X87" s="1">
        <f t="shared" si="66"/>
        <v>-100</v>
      </c>
      <c r="Y87" s="1"/>
      <c r="Z87" s="5">
        <f t="shared" si="67"/>
        <v>-1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/>
      <c r="Q88" s="2"/>
      <c r="R88" s="7">
        <f t="shared" si="64"/>
        <v>0</v>
      </c>
      <c r="S88" s="2"/>
      <c r="T88" s="6">
        <v>100</v>
      </c>
      <c r="U88" s="2"/>
      <c r="V88" s="7">
        <f t="shared" si="65"/>
        <v>2.6284027301744835E-4</v>
      </c>
      <c r="W88" s="2"/>
      <c r="X88" s="6">
        <f t="shared" si="66"/>
        <v>-100</v>
      </c>
      <c r="Y88" s="2"/>
      <c r="Z88" s="7">
        <f t="shared" si="67"/>
        <v>-1</v>
      </c>
    </row>
    <row r="89" spans="1:26" s="25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2.628402730174484E-3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/>
      <c r="Q90" s="2"/>
      <c r="R90" s="7">
        <f t="shared" si="64"/>
        <v>0</v>
      </c>
      <c r="S90" s="2"/>
      <c r="T90" s="6">
        <v>1000</v>
      </c>
      <c r="U90" s="2"/>
      <c r="V90" s="7">
        <f t="shared" si="65"/>
        <v>2.628402730174484E-3</v>
      </c>
      <c r="W90" s="2"/>
      <c r="X90" s="6">
        <f t="shared" si="66"/>
        <v>-1000</v>
      </c>
      <c r="Y90" s="2"/>
      <c r="Z90" s="7">
        <f t="shared" si="67"/>
        <v>-1</v>
      </c>
    </row>
    <row r="91" spans="1:26" s="25" customFormat="1" outlineLevel="1" collapsed="1" x14ac:dyDescent="0.25">
      <c r="A91" s="27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1932</v>
      </c>
      <c r="E91" s="1"/>
      <c r="F91" s="5">
        <f t="shared" si="60"/>
        <v>3.9296982675156335E-2</v>
      </c>
      <c r="G91" s="1"/>
      <c r="H91" s="1">
        <f>SUM(OSRRefH22_18x_0)</f>
        <v>1100</v>
      </c>
      <c r="I91" s="1"/>
      <c r="J91" s="5">
        <f t="shared" si="61"/>
        <v>2.035679917092309E-2</v>
      </c>
      <c r="K91" s="1"/>
      <c r="L91" s="1">
        <f t="shared" si="62"/>
        <v>832</v>
      </c>
      <c r="M91" s="1"/>
      <c r="N91" s="5">
        <f t="shared" si="63"/>
        <v>0.75636363636363635</v>
      </c>
      <c r="O91" s="13"/>
      <c r="P91" s="1">
        <f>SUM(OSRRefP22_18x_0)</f>
        <v>5016</v>
      </c>
      <c r="Q91" s="1"/>
      <c r="R91" s="5">
        <f t="shared" si="64"/>
        <v>1.2456663674352216E-2</v>
      </c>
      <c r="S91" s="1"/>
      <c r="T91" s="1">
        <f>SUM(OSRRefT22_18x_0)</f>
        <v>6600</v>
      </c>
      <c r="U91" s="1"/>
      <c r="V91" s="5">
        <f t="shared" si="65"/>
        <v>1.7347458019151593E-2</v>
      </c>
      <c r="W91" s="1"/>
      <c r="X91" s="1">
        <f t="shared" si="66"/>
        <v>-1584</v>
      </c>
      <c r="Y91" s="1"/>
      <c r="Z91" s="5">
        <f t="shared" si="67"/>
        <v>-0.24</v>
      </c>
    </row>
    <row r="92" spans="1:26" s="24" customFormat="1" hidden="1" outlineLevel="2" x14ac:dyDescent="0.25">
      <c r="A92" s="26"/>
      <c r="B92" s="11" t="str">
        <f>CONCATENATE("          ", "6274", " - ", "UTILITIES")</f>
        <v xml:space="preserve">          6274 - UTILITIES</v>
      </c>
      <c r="C92" s="11"/>
      <c r="D92" s="6">
        <v>1932</v>
      </c>
      <c r="E92" s="2"/>
      <c r="F92" s="7">
        <f t="shared" si="60"/>
        <v>3.9296982675156335E-2</v>
      </c>
      <c r="G92" s="2"/>
      <c r="H92" s="6">
        <v>1100</v>
      </c>
      <c r="I92" s="2"/>
      <c r="J92" s="7">
        <f t="shared" si="61"/>
        <v>2.035679917092309E-2</v>
      </c>
      <c r="K92" s="2"/>
      <c r="L92" s="6">
        <f t="shared" si="62"/>
        <v>832</v>
      </c>
      <c r="M92" s="2"/>
      <c r="N92" s="7">
        <f t="shared" si="63"/>
        <v>0.75636363636363635</v>
      </c>
      <c r="O92" s="11"/>
      <c r="P92" s="6">
        <v>5016</v>
      </c>
      <c r="Q92" s="2"/>
      <c r="R92" s="7">
        <f t="shared" si="64"/>
        <v>1.2456663674352216E-2</v>
      </c>
      <c r="S92" s="2"/>
      <c r="T92" s="6">
        <v>6600</v>
      </c>
      <c r="U92" s="2"/>
      <c r="V92" s="7">
        <f t="shared" si="65"/>
        <v>1.7347458019151593E-2</v>
      </c>
      <c r="W92" s="2"/>
      <c r="X92" s="6">
        <f t="shared" si="66"/>
        <v>-1584</v>
      </c>
      <c r="Y92" s="2"/>
      <c r="Z92" s="7">
        <f t="shared" si="67"/>
        <v>-0.24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3</v>
      </c>
      <c r="C96" s="29"/>
      <c r="D96" s="22">
        <f>+D22-D24+D94</f>
        <v>-4549.3999999999942</v>
      </c>
      <c r="E96" s="14"/>
      <c r="F96" s="20">
        <f>IF(D$12=0,0,D96/D$12)</f>
        <v>-9.2535037775546572E-2</v>
      </c>
      <c r="G96" s="14"/>
      <c r="H96" s="22">
        <f>+H22-H24+H94</f>
        <v>1560.1720239999995</v>
      </c>
      <c r="I96" s="14"/>
      <c r="J96" s="20">
        <f>IF(H$12=0,0,H96/H$12)</f>
        <v>2.8872825967873262E-2</v>
      </c>
      <c r="K96" s="16"/>
      <c r="L96" s="22">
        <f>+D96-H96</f>
        <v>-6109.5720239999937</v>
      </c>
      <c r="M96" s="16"/>
      <c r="N96" s="20">
        <f>IF(H96=0,0,L96/H96)</f>
        <v>-3.915960503083598</v>
      </c>
      <c r="O96" s="28"/>
      <c r="P96" s="22">
        <f>+P22-P24+P94</f>
        <v>38508.009999999951</v>
      </c>
      <c r="Q96" s="14"/>
      <c r="R96" s="20">
        <f>IF(P$12=0,0,P96/P$12)</f>
        <v>9.563024907069205E-2</v>
      </c>
      <c r="S96" s="14"/>
      <c r="T96" s="22">
        <f>+T22-T24+T94</f>
        <v>19375.110637250007</v>
      </c>
      <c r="U96" s="14"/>
      <c r="V96" s="20">
        <f>IF(T$12=0,0,T96/T$12)</f>
        <v>5.0925593696380604E-2</v>
      </c>
      <c r="W96" s="16"/>
      <c r="X96" s="22">
        <f>+P96-T96</f>
        <v>19132.899362749944</v>
      </c>
      <c r="Y96" s="16"/>
      <c r="Z96" s="20">
        <f>IF(T96=0,0,X96/T96)</f>
        <v>0.9874988443144993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6057.58</v>
      </c>
      <c r="E98" s="4"/>
      <c r="F98" s="12">
        <f>IF(D$12=0,0,D98/D$12)</f>
        <v>0.12321149912700491</v>
      </c>
      <c r="G98" s="4"/>
      <c r="H98" s="4">
        <v>7641</v>
      </c>
      <c r="I98" s="4"/>
      <c r="J98" s="12">
        <f>IF(H$12=0,0,H98/H$12)</f>
        <v>0.14140572951365757</v>
      </c>
      <c r="K98" s="4"/>
      <c r="L98" s="4">
        <f>+D98-H98</f>
        <v>-1583.42</v>
      </c>
      <c r="M98" s="4"/>
      <c r="N98" s="12">
        <f>IF(H98=0,0,L98/H98)</f>
        <v>-0.20722680277450597</v>
      </c>
      <c r="O98" s="10"/>
      <c r="P98" s="4">
        <v>43492.11</v>
      </c>
      <c r="Q98" s="4"/>
      <c r="R98" s="12">
        <f>IF(P$12=0,0,P98/P$12)</f>
        <v>0.1080076927348347</v>
      </c>
      <c r="S98" s="4"/>
      <c r="T98" s="4">
        <v>49010</v>
      </c>
      <c r="U98" s="4"/>
      <c r="V98" s="12">
        <f>IF(T$12=0,0,T98/T$12)</f>
        <v>0.12881801780585145</v>
      </c>
      <c r="W98" s="4"/>
      <c r="X98" s="4">
        <f>+P98-T98</f>
        <v>-5517.8899999999994</v>
      </c>
      <c r="Y98" s="4"/>
      <c r="Z98" s="12">
        <f>IF(T98=0,0,X98/T98)</f>
        <v>-0.11258702305651906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4</v>
      </c>
      <c r="C100" s="29"/>
      <c r="D100" s="31">
        <f>+D96-D98</f>
        <v>-10606.979999999994</v>
      </c>
      <c r="E100" s="14"/>
      <c r="F100" s="32">
        <f>IF(D$12=0,0,D100/D$12)</f>
        <v>-0.21574653690255149</v>
      </c>
      <c r="G100" s="14"/>
      <c r="H100" s="31">
        <f>+H96-H98</f>
        <v>-6080.8279760000005</v>
      </c>
      <c r="I100" s="14"/>
      <c r="J100" s="32">
        <f>IF(H$12=0,0,H100/H$12)</f>
        <v>-0.1125329035457843</v>
      </c>
      <c r="K100" s="16"/>
      <c r="L100" s="31">
        <f>D100-H100</f>
        <v>-4526.1520239999936</v>
      </c>
      <c r="M100" s="16"/>
      <c r="N100" s="32">
        <f>IF(H100=0,0,L100/H100)</f>
        <v>0.74433153541983921</v>
      </c>
      <c r="O100" s="28"/>
      <c r="P100" s="31">
        <f>+P96-P98</f>
        <v>-4984.1000000000495</v>
      </c>
      <c r="Q100" s="14"/>
      <c r="R100" s="32">
        <f>IF(P$12=0,0,P100/P$12)</f>
        <v>-1.2377443664142644E-2</v>
      </c>
      <c r="S100" s="14"/>
      <c r="T100" s="31">
        <f>+T96-T98</f>
        <v>-29634.889362749993</v>
      </c>
      <c r="U100" s="14"/>
      <c r="V100" s="32">
        <f>IF(T$12=0,0,T100/T$12)</f>
        <v>-7.7892424109470851E-2</v>
      </c>
      <c r="W100" s="16"/>
      <c r="X100" s="31">
        <f>P100-T100</f>
        <v>24650.789362749943</v>
      </c>
      <c r="Y100" s="16"/>
      <c r="Z100" s="32">
        <f>IF(T100=0,0,X100/T100)</f>
        <v>-0.83181648026447885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5</v>
      </c>
      <c r="C103" s="29"/>
      <c r="D103" s="35">
        <f>SUM(D100:D102)</f>
        <v>-10606.979999999994</v>
      </c>
      <c r="E103" s="14"/>
      <c r="F103" s="34">
        <f>IF(D$12=0,0,D103/D$12)</f>
        <v>-0.21574653690255149</v>
      </c>
      <c r="G103" s="14"/>
      <c r="H103" s="35">
        <f>SUM(H100:H102)</f>
        <v>-6080.8279760000005</v>
      </c>
      <c r="I103" s="14"/>
      <c r="J103" s="34">
        <f>IF(H$12=0,0,H103/H$12)</f>
        <v>-0.1125329035457843</v>
      </c>
      <c r="K103" s="16"/>
      <c r="L103" s="35">
        <f>+D103-H103</f>
        <v>-4526.1520239999936</v>
      </c>
      <c r="M103" s="16"/>
      <c r="N103" s="34">
        <f>IF(H103=0,0,L103/H103)</f>
        <v>0.74433153541983921</v>
      </c>
      <c r="O103" s="28"/>
      <c r="P103" s="35">
        <f>SUM(P100:P102)</f>
        <v>-4984.1000000000495</v>
      </c>
      <c r="Q103" s="14"/>
      <c r="R103" s="34">
        <f>IF(P$12=0,0,P103/P$12)</f>
        <v>-1.2377443664142644E-2</v>
      </c>
      <c r="S103" s="14"/>
      <c r="T103" s="35">
        <f>SUM(T100:T102)</f>
        <v>-29634.889362749993</v>
      </c>
      <c r="U103" s="14"/>
      <c r="V103" s="34">
        <f>IF(T$12=0,0,T103/T$12)</f>
        <v>-7.7892424109470851E-2</v>
      </c>
      <c r="W103" s="16"/>
      <c r="X103" s="35">
        <f>+P103-T103</f>
        <v>24650.789362749943</v>
      </c>
      <c r="Y103" s="16"/>
      <c r="Z103" s="34">
        <f>IF(T103=0,0,X103/T103)</f>
        <v>-0.83181648026447885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63">
        <v>43847.446092442129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5" t="s">
        <v>314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6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2733</v>
      </c>
      <c r="E12" s="4"/>
      <c r="F12" s="12"/>
      <c r="G12" s="4"/>
      <c r="H12" s="4">
        <f>SUM(OSRRefH13x_0)</f>
        <v>1781</v>
      </c>
      <c r="I12" s="4"/>
      <c r="J12" s="12"/>
      <c r="K12" s="4"/>
      <c r="L12" s="4">
        <f t="shared" ref="L12:L14" si="0">+D12-H12</f>
        <v>952</v>
      </c>
      <c r="M12" s="4"/>
      <c r="N12" s="12">
        <f t="shared" ref="N12:N14" si="1">IF(H12=0,0,L12/H12)</f>
        <v>0.53453116226838859</v>
      </c>
      <c r="O12" s="10"/>
      <c r="P12" s="4">
        <f>SUM(OSRRefP13x_0)</f>
        <v>9560</v>
      </c>
      <c r="Q12" s="4"/>
      <c r="R12" s="12"/>
      <c r="S12" s="4"/>
      <c r="T12" s="4">
        <f>SUM(OSRRefT13x_0)</f>
        <v>7318</v>
      </c>
      <c r="U12" s="4"/>
      <c r="V12" s="12"/>
      <c r="W12" s="4"/>
      <c r="X12" s="4">
        <f t="shared" ref="X12:X14" si="2">+P12-T12</f>
        <v>2242</v>
      </c>
      <c r="Y12" s="4"/>
      <c r="Z12" s="12">
        <f t="shared" ref="Z12:Z14" si="3">IF(T12=0,0,X12/T12)</f>
        <v>0.30636786007105765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1781</v>
      </c>
      <c r="I13" s="2"/>
      <c r="J13" s="19"/>
      <c r="K13" s="2"/>
      <c r="L13" s="2">
        <f t="shared" si="0"/>
        <v>-1781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7318</v>
      </c>
      <c r="U13" s="2"/>
      <c r="V13" s="19"/>
      <c r="W13" s="2"/>
      <c r="X13" s="2">
        <f t="shared" si="2"/>
        <v>-7318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--2733</f>
        <v>2733</v>
      </c>
      <c r="E14" s="2"/>
      <c r="F14" s="19"/>
      <c r="G14" s="2"/>
      <c r="H14" s="2"/>
      <c r="I14" s="2"/>
      <c r="J14" s="19"/>
      <c r="K14" s="2"/>
      <c r="L14" s="2">
        <f t="shared" si="0"/>
        <v>2733</v>
      </c>
      <c r="M14" s="2"/>
      <c r="N14" s="19">
        <f t="shared" si="1"/>
        <v>0</v>
      </c>
      <c r="O14" s="11"/>
      <c r="P14" s="2">
        <f>--9560</f>
        <v>9560</v>
      </c>
      <c r="Q14" s="2"/>
      <c r="R14" s="19"/>
      <c r="S14" s="2"/>
      <c r="T14" s="2"/>
      <c r="U14" s="2"/>
      <c r="V14" s="19"/>
      <c r="W14" s="2"/>
      <c r="X14" s="2">
        <f t="shared" si="2"/>
        <v>9560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-2508.02</v>
      </c>
      <c r="E16" s="4"/>
      <c r="F16" s="12">
        <f t="shared" ref="F16:F18" si="4">IF(D$12=0,0,D16/D$12)</f>
        <v>-0.91768020490303692</v>
      </c>
      <c r="G16" s="4"/>
      <c r="H16" s="4">
        <f>SUM(OSRRefH16x_0)</f>
        <v>890</v>
      </c>
      <c r="I16" s="4"/>
      <c r="J16" s="12">
        <f t="shared" ref="J16:J18" si="5">IF(H$12=0,0,H16/H$12)</f>
        <v>0.49971925884334645</v>
      </c>
      <c r="K16" s="4"/>
      <c r="L16" s="4">
        <f t="shared" ref="L16:L18" si="6">+D16-H16</f>
        <v>-3398.02</v>
      </c>
      <c r="M16" s="4"/>
      <c r="N16" s="12">
        <f t="shared" ref="N16:N18" si="7">IF(H16=0,0,L16/H16)</f>
        <v>-3.8180000000000001</v>
      </c>
      <c r="O16" s="10"/>
      <c r="P16" s="4">
        <f>SUM(OSRRefP16x_0)</f>
        <v>913.94</v>
      </c>
      <c r="Q16" s="4"/>
      <c r="R16" s="12">
        <f t="shared" ref="R16:R18" si="8">IF(P$12=0,0,P16/P$12)</f>
        <v>9.560041841004184E-2</v>
      </c>
      <c r="S16" s="4"/>
      <c r="T16" s="4">
        <f>SUM(OSRRefT16x_0)</f>
        <v>3658</v>
      </c>
      <c r="U16" s="4"/>
      <c r="V16" s="12">
        <f t="shared" ref="V16:V18" si="9">IF(T$12=0,0,T16/T$12)</f>
        <v>0.49986335064225196</v>
      </c>
      <c r="W16" s="4"/>
      <c r="X16" s="4">
        <f t="shared" ref="X16:X18" si="10">+P16-T16</f>
        <v>-2744.06</v>
      </c>
      <c r="Y16" s="4"/>
      <c r="Z16" s="12">
        <f t="shared" ref="Z16:Z18" si="11">IF(T16=0,0,X16/T16)</f>
        <v>-0.75015308911973755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890</v>
      </c>
      <c r="I17" s="2"/>
      <c r="J17" s="19">
        <f t="shared" si="5"/>
        <v>0.49971925884334645</v>
      </c>
      <c r="K17" s="2"/>
      <c r="L17" s="2">
        <f t="shared" si="6"/>
        <v>-890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3658</v>
      </c>
      <c r="U17" s="2"/>
      <c r="V17" s="19">
        <f t="shared" si="9"/>
        <v>0.49986335064225196</v>
      </c>
      <c r="W17" s="2"/>
      <c r="X17" s="2">
        <f t="shared" si="10"/>
        <v>-3658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-2508.02</v>
      </c>
      <c r="E18" s="2"/>
      <c r="F18" s="19">
        <f t="shared" si="4"/>
        <v>-0.91768020490303692</v>
      </c>
      <c r="G18" s="2"/>
      <c r="H18" s="2"/>
      <c r="I18" s="2"/>
      <c r="J18" s="19">
        <f t="shared" si="5"/>
        <v>0</v>
      </c>
      <c r="K18" s="2"/>
      <c r="L18" s="2">
        <f t="shared" si="6"/>
        <v>-2508.02</v>
      </c>
      <c r="M18" s="2"/>
      <c r="N18" s="19">
        <f t="shared" si="7"/>
        <v>0</v>
      </c>
      <c r="O18" s="11"/>
      <c r="P18" s="2">
        <v>913.94</v>
      </c>
      <c r="Q18" s="2"/>
      <c r="R18" s="19">
        <f t="shared" si="8"/>
        <v>9.560041841004184E-2</v>
      </c>
      <c r="S18" s="2"/>
      <c r="T18" s="2"/>
      <c r="U18" s="2"/>
      <c r="V18" s="19">
        <f t="shared" si="9"/>
        <v>0</v>
      </c>
      <c r="W18" s="2"/>
      <c r="X18" s="2">
        <f t="shared" si="10"/>
        <v>913.94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5241.0200000000004</v>
      </c>
      <c r="E20" s="14"/>
      <c r="F20" s="20">
        <f>IF(D$12=0,0,D20/D$12)</f>
        <v>1.917680204903037</v>
      </c>
      <c r="G20" s="14"/>
      <c r="H20" s="22">
        <f>H12-H16</f>
        <v>891</v>
      </c>
      <c r="I20" s="14"/>
      <c r="J20" s="20">
        <f>IF(H$12=0,0,H20/H$12)</f>
        <v>0.50028074115665355</v>
      </c>
      <c r="K20" s="16"/>
      <c r="L20" s="22">
        <f>+D20-H20</f>
        <v>4350.0200000000004</v>
      </c>
      <c r="M20" s="16"/>
      <c r="N20" s="20">
        <f>IF(H20=0,0,L20/H20)</f>
        <v>4.882177328843996</v>
      </c>
      <c r="O20" s="28"/>
      <c r="P20" s="22">
        <f>P12-P16</f>
        <v>8646.06</v>
      </c>
      <c r="Q20" s="14"/>
      <c r="R20" s="20">
        <f>IF(P$12=0,0,P20/P$12)</f>
        <v>0.90439958158995815</v>
      </c>
      <c r="S20" s="14"/>
      <c r="T20" s="22">
        <f>T12-T16</f>
        <v>3660</v>
      </c>
      <c r="U20" s="14"/>
      <c r="V20" s="20">
        <f>IF(T$12=0,0,T20/T$12)</f>
        <v>0.50013664935774804</v>
      </c>
      <c r="W20" s="16"/>
      <c r="X20" s="22">
        <f>+P20-T20</f>
        <v>4986.0599999999995</v>
      </c>
      <c r="Y20" s="16"/>
      <c r="Z20" s="20">
        <f>IF(T20=0,0,X20/T20)</f>
        <v>1.362311475409836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211.96</v>
      </c>
      <c r="E22" s="21"/>
      <c r="F22" s="30">
        <f t="shared" ref="F22:F28" si="12">IF(D$12=0,0,D22/D$12)</f>
        <v>7.7555799487742411E-2</v>
      </c>
      <c r="G22" s="21"/>
      <c r="H22" s="21">
        <f>SUM(OSRRefH22x_0)</f>
        <v>153</v>
      </c>
      <c r="I22" s="21"/>
      <c r="J22" s="30">
        <f t="shared" ref="J22:J28" si="13">IF(H$12=0,0,H22/H$12)</f>
        <v>8.5906793935991016E-2</v>
      </c>
      <c r="K22" s="4"/>
      <c r="L22" s="21">
        <f t="shared" ref="L22:L28" si="14">+D22-H22</f>
        <v>58.960000000000008</v>
      </c>
      <c r="M22" s="4"/>
      <c r="N22" s="30">
        <f t="shared" ref="N22:N28" si="15">IF(H22=0,0,L22/H22)</f>
        <v>0.38535947712418306</v>
      </c>
      <c r="O22" s="10"/>
      <c r="P22" s="21">
        <f>SUM(OSRRefP22x_0)</f>
        <v>1185.93</v>
      </c>
      <c r="Q22" s="21"/>
      <c r="R22" s="30">
        <f t="shared" ref="R22:R28" si="16">IF(P$12=0,0,P22/P$12)</f>
        <v>0.12405125523012553</v>
      </c>
      <c r="S22" s="21"/>
      <c r="T22" s="21">
        <f>SUM(OSRRefT22x_0)</f>
        <v>629</v>
      </c>
      <c r="U22" s="21"/>
      <c r="V22" s="30">
        <f t="shared" ref="V22:V28" si="17">IF(T$12=0,0,T22/T$12)</f>
        <v>8.5952446023503687E-2</v>
      </c>
      <c r="W22" s="4"/>
      <c r="X22" s="21">
        <f t="shared" ref="X22:X28" si="18">+P22-T22</f>
        <v>556.93000000000006</v>
      </c>
      <c r="Y22" s="4"/>
      <c r="Z22" s="30">
        <f t="shared" ref="Z22:Z28" si="19">IF(T22=0,0,X22/T22)</f>
        <v>0.88542130365659788</v>
      </c>
    </row>
    <row r="23" spans="1:26" s="25" customFormat="1" outlineLevel="1" collapsed="1" x14ac:dyDescent="0.25">
      <c r="A23" s="27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211.96</v>
      </c>
      <c r="E23" s="1"/>
      <c r="F23" s="5">
        <f t="shared" si="12"/>
        <v>7.7555799487742411E-2</v>
      </c>
      <c r="G23" s="1"/>
      <c r="H23" s="1">
        <f>SUM(OSRRefH22_0x_0)</f>
        <v>153</v>
      </c>
      <c r="I23" s="1"/>
      <c r="J23" s="5">
        <f t="shared" si="13"/>
        <v>8.5906793935991016E-2</v>
      </c>
      <c r="K23" s="1"/>
      <c r="L23" s="1">
        <f t="shared" si="14"/>
        <v>58.960000000000008</v>
      </c>
      <c r="M23" s="1"/>
      <c r="N23" s="5">
        <f t="shared" si="15"/>
        <v>0.38535947712418306</v>
      </c>
      <c r="O23" s="13"/>
      <c r="P23" s="1">
        <f>SUM(OSRRefP22_0x_0)</f>
        <v>865.48</v>
      </c>
      <c r="Q23" s="1"/>
      <c r="R23" s="5">
        <f t="shared" si="16"/>
        <v>9.0531380753138074E-2</v>
      </c>
      <c r="S23" s="1"/>
      <c r="T23" s="1">
        <f>SUM(OSRRefT22_0x_0)</f>
        <v>629</v>
      </c>
      <c r="U23" s="1"/>
      <c r="V23" s="5">
        <f t="shared" si="17"/>
        <v>8.5952446023503687E-2</v>
      </c>
      <c r="W23" s="1"/>
      <c r="X23" s="1">
        <f t="shared" si="18"/>
        <v>236.48000000000002</v>
      </c>
      <c r="Y23" s="1"/>
      <c r="Z23" s="5">
        <f t="shared" si="19"/>
        <v>0.37596184419713835</v>
      </c>
    </row>
    <row r="24" spans="1:26" s="24" customFormat="1" hidden="1" outlineLevel="2" x14ac:dyDescent="0.25">
      <c r="A24" s="26"/>
      <c r="B24" s="11" t="str">
        <f>CONCATENATE("          ", "6381", " - ", "BANK/CREDIT CARD FEES")</f>
        <v xml:space="preserve">          6381 - BANK/CREDIT CARD FEES</v>
      </c>
      <c r="C24" s="11"/>
      <c r="D24" s="6">
        <v>211.96</v>
      </c>
      <c r="E24" s="2"/>
      <c r="F24" s="7">
        <f t="shared" si="12"/>
        <v>7.7555799487742411E-2</v>
      </c>
      <c r="G24" s="2"/>
      <c r="H24" s="6">
        <v>153</v>
      </c>
      <c r="I24" s="2"/>
      <c r="J24" s="7">
        <f t="shared" si="13"/>
        <v>8.5906793935991016E-2</v>
      </c>
      <c r="K24" s="2"/>
      <c r="L24" s="6">
        <f t="shared" si="14"/>
        <v>58.960000000000008</v>
      </c>
      <c r="M24" s="2"/>
      <c r="N24" s="7">
        <f t="shared" si="15"/>
        <v>0.38535947712418306</v>
      </c>
      <c r="O24" s="11"/>
      <c r="P24" s="6">
        <v>865.48</v>
      </c>
      <c r="Q24" s="2"/>
      <c r="R24" s="7">
        <f t="shared" si="16"/>
        <v>9.0531380753138074E-2</v>
      </c>
      <c r="S24" s="2"/>
      <c r="T24" s="6">
        <v>629</v>
      </c>
      <c r="U24" s="2"/>
      <c r="V24" s="7">
        <f t="shared" si="17"/>
        <v>8.5952446023503687E-2</v>
      </c>
      <c r="W24" s="2"/>
      <c r="X24" s="6">
        <f t="shared" si="18"/>
        <v>236.48000000000002</v>
      </c>
      <c r="Y24" s="2"/>
      <c r="Z24" s="7">
        <f t="shared" si="19"/>
        <v>0.37596184419713835</v>
      </c>
    </row>
    <row r="25" spans="1:26" s="25" customFormat="1" outlineLevel="1" collapsed="1" x14ac:dyDescent="0.25">
      <c r="A25" s="27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2"/>
        <v>0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SUM(OSRRefP22_1x_0)</f>
        <v>23.45</v>
      </c>
      <c r="Q25" s="1"/>
      <c r="R25" s="5">
        <f t="shared" si="16"/>
        <v>2.4529288702928869E-3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23.45</v>
      </c>
      <c r="Y25" s="1"/>
      <c r="Z25" s="5">
        <f t="shared" si="19"/>
        <v>0</v>
      </c>
    </row>
    <row r="26" spans="1:26" s="24" customFormat="1" hidden="1" outlineLevel="2" x14ac:dyDescent="0.25">
      <c r="A26" s="26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23.45</v>
      </c>
      <c r="Q26" s="2"/>
      <c r="R26" s="7">
        <f t="shared" si="16"/>
        <v>2.4529288702928869E-3</v>
      </c>
      <c r="S26" s="2"/>
      <c r="T26" s="6"/>
      <c r="U26" s="2"/>
      <c r="V26" s="7">
        <f t="shared" si="17"/>
        <v>0</v>
      </c>
      <c r="W26" s="2"/>
      <c r="X26" s="6">
        <f t="shared" si="18"/>
        <v>23.45</v>
      </c>
      <c r="Y26" s="2"/>
      <c r="Z26" s="7">
        <f t="shared" si="19"/>
        <v>0</v>
      </c>
    </row>
    <row r="27" spans="1:26" s="25" customFormat="1" outlineLevel="1" collapsed="1" x14ac:dyDescent="0.25">
      <c r="A27" s="27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2"/>
        <v>0</v>
      </c>
      <c r="G27" s="1"/>
      <c r="H27" s="1">
        <f>SUM(OSRRefH22_2x_0)</f>
        <v>0</v>
      </c>
      <c r="I27" s="1"/>
      <c r="J27" s="5">
        <f t="shared" si="13"/>
        <v>0</v>
      </c>
      <c r="K27" s="1"/>
      <c r="L27" s="1">
        <f t="shared" si="14"/>
        <v>0</v>
      </c>
      <c r="M27" s="1"/>
      <c r="N27" s="5">
        <f t="shared" si="15"/>
        <v>0</v>
      </c>
      <c r="O27" s="13"/>
      <c r="P27" s="1">
        <f>SUM(OSRRefP22_2x_0)</f>
        <v>297</v>
      </c>
      <c r="Q27" s="1"/>
      <c r="R27" s="5">
        <f t="shared" si="16"/>
        <v>3.1066945606694561E-2</v>
      </c>
      <c r="S27" s="1"/>
      <c r="T27" s="1">
        <f>SUM(OSRRefT22_2x_0)</f>
        <v>0</v>
      </c>
      <c r="U27" s="1"/>
      <c r="V27" s="5">
        <f t="shared" si="17"/>
        <v>0</v>
      </c>
      <c r="W27" s="1"/>
      <c r="X27" s="1">
        <f t="shared" si="18"/>
        <v>297</v>
      </c>
      <c r="Y27" s="1"/>
      <c r="Z27" s="5">
        <f t="shared" si="19"/>
        <v>0</v>
      </c>
    </row>
    <row r="28" spans="1:26" s="24" customFormat="1" hidden="1" outlineLevel="2" x14ac:dyDescent="0.25">
      <c r="A28" s="26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297</v>
      </c>
      <c r="Q28" s="2"/>
      <c r="R28" s="7">
        <f t="shared" si="16"/>
        <v>3.1066945606694561E-2</v>
      </c>
      <c r="S28" s="2"/>
      <c r="T28" s="6"/>
      <c r="U28" s="2"/>
      <c r="V28" s="7">
        <f t="shared" si="17"/>
        <v>0</v>
      </c>
      <c r="W28" s="2"/>
      <c r="X28" s="6">
        <f t="shared" si="18"/>
        <v>297</v>
      </c>
      <c r="Y28" s="2"/>
      <c r="Z28" s="7">
        <f t="shared" si="19"/>
        <v>0</v>
      </c>
    </row>
    <row r="29" spans="1:26" s="53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3</v>
      </c>
      <c r="C32" s="29"/>
      <c r="D32" s="22">
        <f>+D20-D22+D30</f>
        <v>5029.0600000000004</v>
      </c>
      <c r="E32" s="14"/>
      <c r="F32" s="20">
        <f>IF(D$12=0,0,D32/D$12)</f>
        <v>1.8401244054152948</v>
      </c>
      <c r="G32" s="14"/>
      <c r="H32" s="22">
        <f>+H20-H22+H30</f>
        <v>738</v>
      </c>
      <c r="I32" s="14"/>
      <c r="J32" s="20">
        <f>IF(H$12=0,0,H32/H$12)</f>
        <v>0.41437394722066256</v>
      </c>
      <c r="K32" s="16"/>
      <c r="L32" s="22">
        <f>+D32-H32</f>
        <v>4291.0600000000004</v>
      </c>
      <c r="M32" s="16"/>
      <c r="N32" s="20">
        <f>IF(H32=0,0,L32/H32)</f>
        <v>5.8144444444444447</v>
      </c>
      <c r="O32" s="28"/>
      <c r="P32" s="22">
        <f>+P20-P22+P30</f>
        <v>7460.1299999999992</v>
      </c>
      <c r="Q32" s="14"/>
      <c r="R32" s="20">
        <f>IF(P$12=0,0,P32/P$12)</f>
        <v>0.78034832635983253</v>
      </c>
      <c r="S32" s="14"/>
      <c r="T32" s="22">
        <f>+T20-T22+T30</f>
        <v>3031</v>
      </c>
      <c r="U32" s="14"/>
      <c r="V32" s="20">
        <f>IF(T$12=0,0,T32/T$12)</f>
        <v>0.41418420333424433</v>
      </c>
      <c r="W32" s="16"/>
      <c r="X32" s="22">
        <f>+P32-T32</f>
        <v>4429.1299999999992</v>
      </c>
      <c r="Y32" s="16"/>
      <c r="Z32" s="20">
        <f>IF(T32=0,0,X32/T32)</f>
        <v>1.4612768063345427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309.62</v>
      </c>
      <c r="E34" s="4"/>
      <c r="F34" s="12">
        <f>IF(D$12=0,0,D34/D$12)</f>
        <v>0.11328942553969996</v>
      </c>
      <c r="G34" s="4"/>
      <c r="H34" s="4">
        <v>241</v>
      </c>
      <c r="I34" s="4"/>
      <c r="J34" s="12">
        <f>IF(H$12=0,0,H34/H$12)</f>
        <v>0.13531723750701852</v>
      </c>
      <c r="K34" s="4"/>
      <c r="L34" s="4">
        <f>+D34-H34</f>
        <v>68.62</v>
      </c>
      <c r="M34" s="4"/>
      <c r="N34" s="12">
        <f>IF(H34=0,0,L34/H34)</f>
        <v>0.28473029045643156</v>
      </c>
      <c r="O34" s="10"/>
      <c r="P34" s="4">
        <v>1032.55</v>
      </c>
      <c r="Q34" s="4"/>
      <c r="R34" s="12">
        <f>IF(P$12=0,0,P34/P$12)</f>
        <v>0.10800732217573221</v>
      </c>
      <c r="S34" s="4"/>
      <c r="T34" s="4">
        <v>943</v>
      </c>
      <c r="U34" s="4"/>
      <c r="V34" s="12">
        <f>IF(T$12=0,0,T34/T$12)</f>
        <v>0.12886034435638152</v>
      </c>
      <c r="W34" s="4"/>
      <c r="X34" s="4">
        <f>+P34-T34</f>
        <v>89.549999999999955</v>
      </c>
      <c r="Y34" s="4"/>
      <c r="Z34" s="12">
        <f>IF(T34=0,0,X34/T34)</f>
        <v>9.4962884411452758E-2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4</v>
      </c>
      <c r="C36" s="29"/>
      <c r="D36" s="31">
        <f>+D32-D34</f>
        <v>4719.4400000000005</v>
      </c>
      <c r="E36" s="14"/>
      <c r="F36" s="32">
        <f>IF(D$12=0,0,D36/D$12)</f>
        <v>1.7268349798755949</v>
      </c>
      <c r="G36" s="14"/>
      <c r="H36" s="31">
        <f>+H32-H34</f>
        <v>497</v>
      </c>
      <c r="I36" s="14"/>
      <c r="J36" s="32">
        <f>IF(H$12=0,0,H36/H$12)</f>
        <v>0.27905670971364405</v>
      </c>
      <c r="K36" s="16"/>
      <c r="L36" s="31">
        <f>D36-H36</f>
        <v>4222.4400000000005</v>
      </c>
      <c r="M36" s="16"/>
      <c r="N36" s="32">
        <f>IF(H36=0,0,L36/H36)</f>
        <v>8.4958551307847099</v>
      </c>
      <c r="O36" s="28"/>
      <c r="P36" s="31">
        <f>+P32-P34</f>
        <v>6427.579999999999</v>
      </c>
      <c r="Q36" s="14"/>
      <c r="R36" s="32">
        <f>IF(P$12=0,0,P36/P$12)</f>
        <v>0.67234100418410037</v>
      </c>
      <c r="S36" s="14"/>
      <c r="T36" s="31">
        <f>+T32-T34</f>
        <v>2088</v>
      </c>
      <c r="U36" s="14"/>
      <c r="V36" s="32">
        <f>IF(T$12=0,0,T36/T$12)</f>
        <v>0.28532385897786278</v>
      </c>
      <c r="W36" s="16"/>
      <c r="X36" s="31">
        <f>P36-T36</f>
        <v>4339.579999999999</v>
      </c>
      <c r="Y36" s="16"/>
      <c r="Z36" s="32">
        <f>IF(T36=0,0,X36/T36)</f>
        <v>2.0783429118773942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5</v>
      </c>
      <c r="C39" s="29"/>
      <c r="D39" s="35">
        <f>SUM(D36:D38)</f>
        <v>4719.4400000000005</v>
      </c>
      <c r="E39" s="14"/>
      <c r="F39" s="34">
        <f>IF(D$12=0,0,D39/D$12)</f>
        <v>1.7268349798755949</v>
      </c>
      <c r="G39" s="14"/>
      <c r="H39" s="35">
        <f>SUM(H36:H38)</f>
        <v>497</v>
      </c>
      <c r="I39" s="14"/>
      <c r="J39" s="34">
        <f>IF(H$12=0,0,H39/H$12)</f>
        <v>0.27905670971364405</v>
      </c>
      <c r="K39" s="16"/>
      <c r="L39" s="35">
        <f>+D39-H39</f>
        <v>4222.4400000000005</v>
      </c>
      <c r="M39" s="16"/>
      <c r="N39" s="34">
        <f>IF(H39=0,0,L39/H39)</f>
        <v>8.4958551307847099</v>
      </c>
      <c r="O39" s="28"/>
      <c r="P39" s="35">
        <f>SUM(P36:P38)</f>
        <v>6427.579999999999</v>
      </c>
      <c r="Q39" s="14"/>
      <c r="R39" s="34">
        <f>IF(P$12=0,0,P39/P$12)</f>
        <v>0.67234100418410037</v>
      </c>
      <c r="S39" s="14"/>
      <c r="T39" s="35">
        <f>SUM(T36:T38)</f>
        <v>2088</v>
      </c>
      <c r="U39" s="14"/>
      <c r="V39" s="34">
        <f>IF(T$12=0,0,T39/T$12)</f>
        <v>0.28532385897786278</v>
      </c>
      <c r="W39" s="16"/>
      <c r="X39" s="35">
        <f>+P39-T39</f>
        <v>4339.579999999999</v>
      </c>
      <c r="Y39" s="16"/>
      <c r="Z39" s="34">
        <f>IF(T39=0,0,X39/T39)</f>
        <v>2.0783429118773942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63">
        <v>43847.446122303241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5" t="s">
        <v>314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6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1225601.8</v>
      </c>
      <c r="E12" s="4"/>
      <c r="F12" s="12"/>
      <c r="G12" s="4"/>
      <c r="H12" s="4">
        <f>SUM(OSRRefH13x_0)</f>
        <v>1448957</v>
      </c>
      <c r="I12" s="4"/>
      <c r="J12" s="12"/>
      <c r="K12" s="4"/>
      <c r="L12" s="4">
        <f t="shared" ref="L12:L24" si="0">+D12-H12</f>
        <v>-223355.19999999995</v>
      </c>
      <c r="M12" s="4"/>
      <c r="N12" s="12">
        <f t="shared" ref="N12:N24" si="1">IF(H12=0,0,L12/H12)</f>
        <v>-0.15414894989982447</v>
      </c>
      <c r="O12" s="10"/>
      <c r="P12" s="4">
        <f>SUM(OSRRefP13x_0)</f>
        <v>9185671.1799999997</v>
      </c>
      <c r="Q12" s="4"/>
      <c r="R12" s="12"/>
      <c r="S12" s="4"/>
      <c r="T12" s="4">
        <f>SUM(OSRRefT13x_0)</f>
        <v>9706710</v>
      </c>
      <c r="U12" s="4"/>
      <c r="V12" s="12"/>
      <c r="W12" s="4"/>
      <c r="X12" s="4">
        <f t="shared" ref="X12:X24" si="2">+P12-T12</f>
        <v>-521038.8200000003</v>
      </c>
      <c r="Y12" s="4"/>
      <c r="Z12" s="12">
        <f t="shared" ref="Z12:Z24" si="3">IF(T12=0,0,X12/T12)</f>
        <v>-5.3678210227770307E-2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279850</v>
      </c>
      <c r="I13" s="2"/>
      <c r="J13" s="19"/>
      <c r="K13" s="2"/>
      <c r="L13" s="2">
        <f t="shared" si="0"/>
        <v>-279850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1834149</v>
      </c>
      <c r="U13" s="2"/>
      <c r="V13" s="19"/>
      <c r="W13" s="2"/>
      <c r="X13" s="2">
        <f t="shared" si="2"/>
        <v>-1834149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--40718.26</f>
        <v>40718.26</v>
      </c>
      <c r="E14" s="2"/>
      <c r="F14" s="19"/>
      <c r="G14" s="2"/>
      <c r="H14" s="2"/>
      <c r="I14" s="2"/>
      <c r="J14" s="19"/>
      <c r="K14" s="2"/>
      <c r="L14" s="2">
        <f t="shared" si="0"/>
        <v>40718.26</v>
      </c>
      <c r="M14" s="2"/>
      <c r="N14" s="19">
        <f t="shared" si="1"/>
        <v>0</v>
      </c>
      <c r="O14" s="11"/>
      <c r="P14" s="2">
        <f>--323725.59</f>
        <v>323725.59000000003</v>
      </c>
      <c r="Q14" s="2"/>
      <c r="R14" s="19"/>
      <c r="S14" s="2"/>
      <c r="T14" s="2"/>
      <c r="U14" s="2"/>
      <c r="V14" s="19"/>
      <c r="W14" s="2"/>
      <c r="X14" s="2">
        <f t="shared" si="2"/>
        <v>323725.59000000003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--82451.12</f>
        <v>82451.12</v>
      </c>
      <c r="E15" s="2"/>
      <c r="F15" s="19"/>
      <c r="G15" s="2"/>
      <c r="H15" s="2"/>
      <c r="I15" s="2"/>
      <c r="J15" s="19"/>
      <c r="K15" s="2"/>
      <c r="L15" s="2">
        <f t="shared" si="0"/>
        <v>82451.12</v>
      </c>
      <c r="M15" s="2"/>
      <c r="N15" s="19">
        <f t="shared" si="1"/>
        <v>0</v>
      </c>
      <c r="O15" s="11"/>
      <c r="P15" s="2">
        <f>--536296.65</f>
        <v>536296.65</v>
      </c>
      <c r="Q15" s="2"/>
      <c r="R15" s="19"/>
      <c r="S15" s="2"/>
      <c r="T15" s="2"/>
      <c r="U15" s="2"/>
      <c r="V15" s="19"/>
      <c r="W15" s="2"/>
      <c r="X15" s="2">
        <f t="shared" si="2"/>
        <v>536296.65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--16599.9</f>
        <v>16599.900000000001</v>
      </c>
      <c r="E16" s="2"/>
      <c r="F16" s="19"/>
      <c r="G16" s="2"/>
      <c r="H16" s="2"/>
      <c r="I16" s="2"/>
      <c r="J16" s="19"/>
      <c r="K16" s="2"/>
      <c r="L16" s="2">
        <f t="shared" si="0"/>
        <v>16599.900000000001</v>
      </c>
      <c r="M16" s="2"/>
      <c r="N16" s="19">
        <f t="shared" si="1"/>
        <v>0</v>
      </c>
      <c r="O16" s="11"/>
      <c r="P16" s="2">
        <f>--106770.83</f>
        <v>106770.83</v>
      </c>
      <c r="Q16" s="2"/>
      <c r="R16" s="19"/>
      <c r="S16" s="2"/>
      <c r="T16" s="2"/>
      <c r="U16" s="2"/>
      <c r="V16" s="19"/>
      <c r="W16" s="2"/>
      <c r="X16" s="2">
        <f t="shared" si="2"/>
        <v>106770.83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--36915.55</f>
        <v>36915.550000000003</v>
      </c>
      <c r="E17" s="2"/>
      <c r="F17" s="19"/>
      <c r="G17" s="2"/>
      <c r="H17" s="2"/>
      <c r="I17" s="2"/>
      <c r="J17" s="19"/>
      <c r="K17" s="2"/>
      <c r="L17" s="2">
        <f t="shared" si="0"/>
        <v>36915.550000000003</v>
      </c>
      <c r="M17" s="2"/>
      <c r="N17" s="19">
        <f t="shared" si="1"/>
        <v>0</v>
      </c>
      <c r="O17" s="11"/>
      <c r="P17" s="2">
        <f>--272827.44</f>
        <v>272827.44</v>
      </c>
      <c r="Q17" s="2"/>
      <c r="R17" s="19"/>
      <c r="S17" s="2"/>
      <c r="T17" s="2"/>
      <c r="U17" s="2"/>
      <c r="V17" s="19"/>
      <c r="W17" s="2"/>
      <c r="X17" s="2">
        <f t="shared" si="2"/>
        <v>272827.44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--9096.8</f>
        <v>9096.7999999999993</v>
      </c>
      <c r="E18" s="2"/>
      <c r="F18" s="19"/>
      <c r="G18" s="2"/>
      <c r="H18" s="2"/>
      <c r="I18" s="2"/>
      <c r="J18" s="19"/>
      <c r="K18" s="2"/>
      <c r="L18" s="2">
        <f t="shared" si="0"/>
        <v>9096.7999999999993</v>
      </c>
      <c r="M18" s="2"/>
      <c r="N18" s="19">
        <f t="shared" si="1"/>
        <v>0</v>
      </c>
      <c r="O18" s="11"/>
      <c r="P18" s="2">
        <f>--87899.21</f>
        <v>87899.21</v>
      </c>
      <c r="Q18" s="2"/>
      <c r="R18" s="19"/>
      <c r="S18" s="2"/>
      <c r="T18" s="2"/>
      <c r="U18" s="2"/>
      <c r="V18" s="19"/>
      <c r="W18" s="2"/>
      <c r="X18" s="2">
        <f t="shared" si="2"/>
        <v>87899.21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1169107</v>
      </c>
      <c r="I19" s="2"/>
      <c r="J19" s="19"/>
      <c r="K19" s="2"/>
      <c r="L19" s="2">
        <f t="shared" si="0"/>
        <v>-1169107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7872561</v>
      </c>
      <c r="U19" s="2"/>
      <c r="V19" s="19"/>
      <c r="W19" s="2"/>
      <c r="X19" s="2">
        <f t="shared" si="2"/>
        <v>-7872561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--915080.41</f>
        <v>915080.41</v>
      </c>
      <c r="E20" s="2"/>
      <c r="F20" s="19"/>
      <c r="G20" s="2"/>
      <c r="H20" s="2"/>
      <c r="I20" s="2"/>
      <c r="J20" s="19"/>
      <c r="K20" s="2"/>
      <c r="L20" s="2">
        <f t="shared" si="0"/>
        <v>915080.41</v>
      </c>
      <c r="M20" s="2"/>
      <c r="N20" s="19">
        <f t="shared" si="1"/>
        <v>0</v>
      </c>
      <c r="O20" s="11"/>
      <c r="P20" s="2">
        <f>--6793689.83</f>
        <v>6793689.8300000001</v>
      </c>
      <c r="Q20" s="2"/>
      <c r="R20" s="19"/>
      <c r="S20" s="2"/>
      <c r="T20" s="2"/>
      <c r="U20" s="2"/>
      <c r="V20" s="19"/>
      <c r="W20" s="2"/>
      <c r="X20" s="2">
        <f t="shared" si="2"/>
        <v>6793689.8300000001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--4293.35</f>
        <v>4293.3500000000004</v>
      </c>
      <c r="E21" s="2"/>
      <c r="F21" s="19"/>
      <c r="G21" s="2"/>
      <c r="H21" s="2"/>
      <c r="I21" s="2"/>
      <c r="J21" s="19"/>
      <c r="K21" s="2"/>
      <c r="L21" s="2">
        <f t="shared" si="0"/>
        <v>4293.3500000000004</v>
      </c>
      <c r="M21" s="2"/>
      <c r="N21" s="19">
        <f t="shared" si="1"/>
        <v>0</v>
      </c>
      <c r="O21" s="11"/>
      <c r="P21" s="2">
        <f>--34634.8</f>
        <v>34634.800000000003</v>
      </c>
      <c r="Q21" s="2"/>
      <c r="R21" s="19"/>
      <c r="S21" s="2"/>
      <c r="T21" s="2"/>
      <c r="U21" s="2"/>
      <c r="V21" s="19"/>
      <c r="W21" s="2"/>
      <c r="X21" s="2">
        <f t="shared" si="2"/>
        <v>34634.800000000003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--10760.38</f>
        <v>10760.38</v>
      </c>
      <c r="E22" s="2"/>
      <c r="F22" s="19"/>
      <c r="G22" s="2"/>
      <c r="H22" s="2"/>
      <c r="I22" s="2"/>
      <c r="J22" s="19"/>
      <c r="K22" s="2"/>
      <c r="L22" s="2">
        <f t="shared" si="0"/>
        <v>10760.38</v>
      </c>
      <c r="M22" s="2"/>
      <c r="N22" s="19">
        <f t="shared" si="1"/>
        <v>0</v>
      </c>
      <c r="O22" s="11"/>
      <c r="P22" s="2">
        <f>--222756.54</f>
        <v>222756.54</v>
      </c>
      <c r="Q22" s="2"/>
      <c r="R22" s="19"/>
      <c r="S22" s="2"/>
      <c r="T22" s="2"/>
      <c r="U22" s="2"/>
      <c r="V22" s="19"/>
      <c r="W22" s="2"/>
      <c r="X22" s="2">
        <f t="shared" si="2"/>
        <v>222756.54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--63957.35</f>
        <v>63957.35</v>
      </c>
      <c r="E23" s="2"/>
      <c r="F23" s="19"/>
      <c r="G23" s="2"/>
      <c r="H23" s="2"/>
      <c r="I23" s="2"/>
      <c r="J23" s="19"/>
      <c r="K23" s="2"/>
      <c r="L23" s="2">
        <f t="shared" si="0"/>
        <v>63957.35</v>
      </c>
      <c r="M23" s="2"/>
      <c r="N23" s="19">
        <f t="shared" si="1"/>
        <v>0</v>
      </c>
      <c r="O23" s="11"/>
      <c r="P23" s="2">
        <f>--488454.35</f>
        <v>488454.35</v>
      </c>
      <c r="Q23" s="2"/>
      <c r="R23" s="19"/>
      <c r="S23" s="2"/>
      <c r="T23" s="2"/>
      <c r="U23" s="2"/>
      <c r="V23" s="19"/>
      <c r="W23" s="2"/>
      <c r="X23" s="2">
        <f t="shared" si="2"/>
        <v>488454.35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--45728.68</f>
        <v>45728.68</v>
      </c>
      <c r="E24" s="2"/>
      <c r="F24" s="19"/>
      <c r="G24" s="2"/>
      <c r="H24" s="2"/>
      <c r="I24" s="2"/>
      <c r="J24" s="19"/>
      <c r="K24" s="2"/>
      <c r="L24" s="2">
        <f t="shared" si="0"/>
        <v>45728.68</v>
      </c>
      <c r="M24" s="2"/>
      <c r="N24" s="19">
        <f t="shared" si="1"/>
        <v>0</v>
      </c>
      <c r="O24" s="11"/>
      <c r="P24" s="2">
        <f>--318615.94</f>
        <v>318615.94</v>
      </c>
      <c r="Q24" s="2"/>
      <c r="R24" s="19"/>
      <c r="S24" s="2"/>
      <c r="T24" s="2"/>
      <c r="U24" s="2"/>
      <c r="V24" s="19"/>
      <c r="W24" s="2"/>
      <c r="X24" s="2">
        <f t="shared" si="2"/>
        <v>318615.94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333975</v>
      </c>
      <c r="E26" s="4"/>
      <c r="F26" s="12">
        <f t="shared" ref="F26:F29" si="4">IF(D$12=0,0,D26/D$12)</f>
        <v>0.27249878386275217</v>
      </c>
      <c r="G26" s="4"/>
      <c r="H26" s="4">
        <f>SUM(OSRRefH16x_0)</f>
        <v>397661.28</v>
      </c>
      <c r="I26" s="4"/>
      <c r="J26" s="12">
        <f t="shared" ref="J26:J29" si="5">IF(H$12=0,0,H26/H$12)</f>
        <v>0.27444657087822483</v>
      </c>
      <c r="K26" s="4"/>
      <c r="L26" s="4">
        <f t="shared" ref="L26:L29" si="6">+D26-H26</f>
        <v>-63686.280000000028</v>
      </c>
      <c r="M26" s="4"/>
      <c r="N26" s="12">
        <f t="shared" ref="N26:N29" si="7">IF(H26=0,0,L26/H26)</f>
        <v>-0.16015207716476701</v>
      </c>
      <c r="O26" s="10"/>
      <c r="P26" s="4">
        <f>SUM(OSRRefP16x_0)</f>
        <v>2480069.6399999997</v>
      </c>
      <c r="Q26" s="4"/>
      <c r="R26" s="12">
        <f t="shared" ref="R26:R29" si="8">IF(P$12=0,0,P26/P$12)</f>
        <v>0.26999329623292695</v>
      </c>
      <c r="S26" s="4"/>
      <c r="T26" s="4">
        <f>SUM(OSRRefT16x_0)</f>
        <v>2742826.4899999998</v>
      </c>
      <c r="U26" s="4"/>
      <c r="V26" s="12">
        <f t="shared" ref="V26:V29" si="9">IF(T$12=0,0,T26/T$12)</f>
        <v>0.28257014889700011</v>
      </c>
      <c r="W26" s="4"/>
      <c r="X26" s="4">
        <f t="shared" ref="X26:X29" si="10">+P26-T26</f>
        <v>-262756.85000000009</v>
      </c>
      <c r="Y26" s="4"/>
      <c r="Z26" s="12">
        <f t="shared" ref="Z26:Z29" si="11">IF(T26=0,0,X26/T26)</f>
        <v>-9.5797838819910233E-2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397661.28</v>
      </c>
      <c r="I27" s="2"/>
      <c r="J27" s="19">
        <f t="shared" si="5"/>
        <v>0.27444657087822483</v>
      </c>
      <c r="K27" s="2"/>
      <c r="L27" s="2">
        <f t="shared" si="6"/>
        <v>-397661.28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2742826.4899999998</v>
      </c>
      <c r="U27" s="2"/>
      <c r="V27" s="19">
        <f t="shared" si="9"/>
        <v>0.28257014889700011</v>
      </c>
      <c r="W27" s="2"/>
      <c r="X27" s="2">
        <f t="shared" si="10"/>
        <v>-2742826.4899999998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324886.88</v>
      </c>
      <c r="E28" s="2"/>
      <c r="F28" s="19">
        <f t="shared" si="4"/>
        <v>0.26508355323890681</v>
      </c>
      <c r="G28" s="2"/>
      <c r="H28" s="2"/>
      <c r="I28" s="2"/>
      <c r="J28" s="19">
        <f t="shared" si="5"/>
        <v>0</v>
      </c>
      <c r="K28" s="2"/>
      <c r="L28" s="2">
        <f t="shared" si="6"/>
        <v>324886.88</v>
      </c>
      <c r="M28" s="2"/>
      <c r="N28" s="19">
        <f t="shared" si="7"/>
        <v>0</v>
      </c>
      <c r="O28" s="11"/>
      <c r="P28" s="2">
        <v>2506600.4699999997</v>
      </c>
      <c r="Q28" s="2"/>
      <c r="R28" s="19">
        <f t="shared" si="8"/>
        <v>0.27288158054880424</v>
      </c>
      <c r="S28" s="2"/>
      <c r="T28" s="2"/>
      <c r="U28" s="2"/>
      <c r="V28" s="19">
        <f t="shared" si="9"/>
        <v>0</v>
      </c>
      <c r="W28" s="2"/>
      <c r="X28" s="2">
        <f t="shared" si="10"/>
        <v>2506600.4699999997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9088.1200000000008</v>
      </c>
      <c r="E29" s="2"/>
      <c r="F29" s="19">
        <f t="shared" si="4"/>
        <v>7.4152306238453635E-3</v>
      </c>
      <c r="G29" s="2"/>
      <c r="H29" s="2"/>
      <c r="I29" s="2"/>
      <c r="J29" s="19">
        <f t="shared" si="5"/>
        <v>0</v>
      </c>
      <c r="K29" s="2"/>
      <c r="L29" s="2">
        <f t="shared" si="6"/>
        <v>9088.1200000000008</v>
      </c>
      <c r="M29" s="2"/>
      <c r="N29" s="19">
        <f t="shared" si="7"/>
        <v>0</v>
      </c>
      <c r="O29" s="11"/>
      <c r="P29" s="2">
        <v>-26530.83</v>
      </c>
      <c r="Q29" s="2"/>
      <c r="R29" s="19">
        <f t="shared" si="8"/>
        <v>-2.8882843158772862E-3</v>
      </c>
      <c r="S29" s="2"/>
      <c r="T29" s="2"/>
      <c r="U29" s="2"/>
      <c r="V29" s="19">
        <f t="shared" si="9"/>
        <v>0</v>
      </c>
      <c r="W29" s="2"/>
      <c r="X29" s="2">
        <f t="shared" si="10"/>
        <v>-26530.83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891626.8</v>
      </c>
      <c r="E31" s="14"/>
      <c r="F31" s="20">
        <f>IF(D$12=0,0,D31/D$12)</f>
        <v>0.72750121613724783</v>
      </c>
      <c r="G31" s="14"/>
      <c r="H31" s="22">
        <f>H12-H26</f>
        <v>1051295.72</v>
      </c>
      <c r="I31" s="14"/>
      <c r="J31" s="20">
        <f>IF(H$12=0,0,H31/H$12)</f>
        <v>0.72555342912177512</v>
      </c>
      <c r="K31" s="16"/>
      <c r="L31" s="22">
        <f>+D31-H31</f>
        <v>-159668.91999999993</v>
      </c>
      <c r="M31" s="16"/>
      <c r="N31" s="20">
        <f>IF(H31=0,0,L31/H31)</f>
        <v>-0.15187821748194688</v>
      </c>
      <c r="O31" s="28"/>
      <c r="P31" s="22">
        <f>P12-P26</f>
        <v>6705601.54</v>
      </c>
      <c r="Q31" s="14"/>
      <c r="R31" s="20">
        <f>IF(P$12=0,0,P31/P$12)</f>
        <v>0.730006703767073</v>
      </c>
      <c r="S31" s="14"/>
      <c r="T31" s="22">
        <f>T12-T26</f>
        <v>6963883.5099999998</v>
      </c>
      <c r="U31" s="14"/>
      <c r="V31" s="20">
        <f>IF(T$12=0,0,T31/T$12)</f>
        <v>0.71742985110299984</v>
      </c>
      <c r="W31" s="16"/>
      <c r="X31" s="22">
        <f>+P31-T31</f>
        <v>-258281.96999999974</v>
      </c>
      <c r="Y31" s="16"/>
      <c r="Z31" s="20">
        <f>IF(T31=0,0,X31/T31)</f>
        <v>-3.7088783812812477E-2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896830.33</v>
      </c>
      <c r="E33" s="21"/>
      <c r="F33" s="30">
        <f t="shared" ref="F33:F44" si="12">IF(D$12=0,0,D33/D$12)</f>
        <v>0.73174690996700553</v>
      </c>
      <c r="G33" s="21"/>
      <c r="H33" s="21">
        <f>SUM(OSRRefH22x_0)</f>
        <v>865224.13056878175</v>
      </c>
      <c r="I33" s="21"/>
      <c r="J33" s="30">
        <f t="shared" ref="J33:J44" si="13">IF(H$12=0,0,H33/H$12)</f>
        <v>0.59713582291867995</v>
      </c>
      <c r="K33" s="4"/>
      <c r="L33" s="21">
        <f t="shared" ref="L33:L44" si="14">+D33-H33</f>
        <v>31606.199431218207</v>
      </c>
      <c r="M33" s="4"/>
      <c r="N33" s="30">
        <f t="shared" ref="N33:N44" si="15">IF(H33=0,0,L33/H33)</f>
        <v>3.6529493705221669E-2</v>
      </c>
      <c r="O33" s="10"/>
      <c r="P33" s="21">
        <f>SUM(OSRRefP22x_0)</f>
        <v>5814657.7999999998</v>
      </c>
      <c r="Q33" s="21"/>
      <c r="R33" s="30">
        <f t="shared" ref="R33:R44" si="16">IF(P$12=0,0,P33/P$12)</f>
        <v>0.63301392854778848</v>
      </c>
      <c r="S33" s="21"/>
      <c r="T33" s="21">
        <f>SUM(OSRRefT22x_0)</f>
        <v>5670162.4024123931</v>
      </c>
      <c r="U33" s="21"/>
      <c r="V33" s="30">
        <f t="shared" ref="V33:V44" si="17">IF(T$12=0,0,T33/T$12)</f>
        <v>0.58414873859550698</v>
      </c>
      <c r="W33" s="4"/>
      <c r="X33" s="21">
        <f t="shared" ref="X33:X44" si="18">+P33-T33</f>
        <v>144495.39758760668</v>
      </c>
      <c r="Y33" s="4"/>
      <c r="Z33" s="30">
        <f t="shared" ref="Z33:Z44" si="19">IF(T33=0,0,X33/T33)</f>
        <v>2.5483467197717397E-2</v>
      </c>
    </row>
    <row r="34" spans="1:26" s="25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165756.85000000003</v>
      </c>
      <c r="E34" s="1"/>
      <c r="F34" s="5">
        <f t="shared" si="12"/>
        <v>0.13524527297528449</v>
      </c>
      <c r="G34" s="1"/>
      <c r="H34" s="1">
        <f>SUM(OSRRefH22_0x_0)</f>
        <v>145784.56324593554</v>
      </c>
      <c r="I34" s="1"/>
      <c r="J34" s="5">
        <f t="shared" si="13"/>
        <v>0.10061345039634409</v>
      </c>
      <c r="K34" s="1"/>
      <c r="L34" s="1">
        <f t="shared" si="14"/>
        <v>19972.286754064495</v>
      </c>
      <c r="M34" s="1"/>
      <c r="N34" s="5">
        <f t="shared" si="15"/>
        <v>0.13699863901482945</v>
      </c>
      <c r="O34" s="13"/>
      <c r="P34" s="1">
        <f>SUM(OSRRefP22_0x_0)</f>
        <v>976368.01</v>
      </c>
      <c r="Q34" s="1"/>
      <c r="R34" s="5">
        <f t="shared" si="16"/>
        <v>0.10629250610732183</v>
      </c>
      <c r="S34" s="1"/>
      <c r="T34" s="1">
        <f>SUM(OSRRefT22_0x_0)</f>
        <v>922706.26717239397</v>
      </c>
      <c r="U34" s="1"/>
      <c r="V34" s="5">
        <f t="shared" si="17"/>
        <v>9.5058600408623933E-2</v>
      </c>
      <c r="W34" s="1"/>
      <c r="X34" s="1">
        <f t="shared" si="18"/>
        <v>53661.742827606038</v>
      </c>
      <c r="Y34" s="1"/>
      <c r="Z34" s="5">
        <f t="shared" si="19"/>
        <v>5.8156907281068829E-2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6">
        <v>22939.98</v>
      </c>
      <c r="E35" s="2"/>
      <c r="F35" s="7">
        <f t="shared" si="12"/>
        <v>1.8717319116208869E-2</v>
      </c>
      <c r="G35" s="2"/>
      <c r="H35" s="6">
        <v>19871.770459807853</v>
      </c>
      <c r="I35" s="2"/>
      <c r="J35" s="7">
        <f t="shared" si="13"/>
        <v>1.3714534289014686E-2</v>
      </c>
      <c r="K35" s="2"/>
      <c r="L35" s="6">
        <f t="shared" si="14"/>
        <v>3068.209540192147</v>
      </c>
      <c r="M35" s="2"/>
      <c r="N35" s="7">
        <f t="shared" si="15"/>
        <v>0.15440041169949256</v>
      </c>
      <c r="O35" s="11"/>
      <c r="P35" s="6">
        <v>166213.07</v>
      </c>
      <c r="Q35" s="2"/>
      <c r="R35" s="7">
        <f t="shared" si="16"/>
        <v>1.8094820372178837E-2</v>
      </c>
      <c r="S35" s="2"/>
      <c r="T35" s="6">
        <v>146914.70450459403</v>
      </c>
      <c r="U35" s="2"/>
      <c r="V35" s="7">
        <f t="shared" si="17"/>
        <v>1.5135375889935316E-2</v>
      </c>
      <c r="W35" s="2"/>
      <c r="X35" s="6">
        <f t="shared" si="18"/>
        <v>19298.365495405975</v>
      </c>
      <c r="Y35" s="2"/>
      <c r="Z35" s="7">
        <f t="shared" si="19"/>
        <v>0.13135761706414156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6">
        <v>24307.54</v>
      </c>
      <c r="E36" s="2"/>
      <c r="F36" s="7">
        <f t="shared" si="12"/>
        <v>1.983314645915174E-2</v>
      </c>
      <c r="G36" s="2"/>
      <c r="H36" s="6">
        <v>16303.892907855383</v>
      </c>
      <c r="I36" s="2"/>
      <c r="J36" s="7">
        <f t="shared" si="13"/>
        <v>1.1252157867939065E-2</v>
      </c>
      <c r="K36" s="2"/>
      <c r="L36" s="6">
        <f t="shared" si="14"/>
        <v>8003.647092144618</v>
      </c>
      <c r="M36" s="2"/>
      <c r="N36" s="7">
        <f t="shared" si="15"/>
        <v>0.49090405201866721</v>
      </c>
      <c r="O36" s="11"/>
      <c r="P36" s="6">
        <v>86236.47</v>
      </c>
      <c r="Q36" s="2"/>
      <c r="R36" s="7">
        <f t="shared" si="16"/>
        <v>9.3881512096539044E-3</v>
      </c>
      <c r="S36" s="2"/>
      <c r="T36" s="6">
        <v>110341.4209078</v>
      </c>
      <c r="U36" s="2"/>
      <c r="V36" s="7">
        <f t="shared" si="17"/>
        <v>1.1367540691727681E-2</v>
      </c>
      <c r="W36" s="2"/>
      <c r="X36" s="6">
        <f t="shared" si="18"/>
        <v>-24104.950907799997</v>
      </c>
      <c r="Y36" s="2"/>
      <c r="Z36" s="7">
        <f t="shared" si="19"/>
        <v>-0.21845786205655093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6">
        <v>72753.95</v>
      </c>
      <c r="E37" s="2"/>
      <c r="F37" s="7">
        <f t="shared" si="12"/>
        <v>5.9361817190542635E-2</v>
      </c>
      <c r="G37" s="2"/>
      <c r="H37" s="6">
        <v>65285.761538461542</v>
      </c>
      <c r="I37" s="2"/>
      <c r="J37" s="7">
        <f t="shared" si="13"/>
        <v>4.5057073148797061E-2</v>
      </c>
      <c r="K37" s="2"/>
      <c r="L37" s="6">
        <f t="shared" si="14"/>
        <v>7468.1884615384552</v>
      </c>
      <c r="M37" s="2"/>
      <c r="N37" s="7">
        <f t="shared" si="15"/>
        <v>0.11439230064182909</v>
      </c>
      <c r="O37" s="11"/>
      <c r="P37" s="6">
        <v>406949.60000000003</v>
      </c>
      <c r="Q37" s="2"/>
      <c r="R37" s="7">
        <f t="shared" si="16"/>
        <v>4.4302652688684642E-2</v>
      </c>
      <c r="S37" s="2"/>
      <c r="T37" s="6">
        <v>411148.94999999995</v>
      </c>
      <c r="U37" s="2"/>
      <c r="V37" s="7">
        <f t="shared" si="17"/>
        <v>4.2357188996065602E-2</v>
      </c>
      <c r="W37" s="2"/>
      <c r="X37" s="6">
        <f t="shared" si="18"/>
        <v>-4199.3499999999185</v>
      </c>
      <c r="Y37" s="2"/>
      <c r="Z37" s="7">
        <f t="shared" si="19"/>
        <v>-1.0213695061120596E-2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1690.35</v>
      </c>
      <c r="E38" s="2"/>
      <c r="F38" s="7">
        <f t="shared" si="12"/>
        <v>1.37919999791123E-3</v>
      </c>
      <c r="G38" s="2"/>
      <c r="H38" s="6">
        <v>1130.7756159800001</v>
      </c>
      <c r="I38" s="2"/>
      <c r="J38" s="7">
        <f t="shared" si="13"/>
        <v>7.8040660694554784E-4</v>
      </c>
      <c r="K38" s="2"/>
      <c r="L38" s="6">
        <f t="shared" si="14"/>
        <v>559.5743840199998</v>
      </c>
      <c r="M38" s="2"/>
      <c r="N38" s="7">
        <f t="shared" si="15"/>
        <v>0.49485890579187808</v>
      </c>
      <c r="O38" s="11"/>
      <c r="P38" s="6">
        <v>7903.52</v>
      </c>
      <c r="Q38" s="2"/>
      <c r="R38" s="7">
        <f t="shared" si="16"/>
        <v>8.604183456085787E-4</v>
      </c>
      <c r="S38" s="2"/>
      <c r="T38" s="6">
        <v>7644.4478136000007</v>
      </c>
      <c r="U38" s="2"/>
      <c r="V38" s="7">
        <f t="shared" si="17"/>
        <v>7.8754261882759454E-4</v>
      </c>
      <c r="W38" s="2"/>
      <c r="X38" s="6">
        <f t="shared" si="18"/>
        <v>259.07218639999974</v>
      </c>
      <c r="Y38" s="2"/>
      <c r="Z38" s="7">
        <f t="shared" si="19"/>
        <v>3.3890242005327371E-2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6">
        <v>10756.29</v>
      </c>
      <c r="E39" s="2"/>
      <c r="F39" s="7">
        <f t="shared" si="12"/>
        <v>8.7763333898497869E-3</v>
      </c>
      <c r="G39" s="2"/>
      <c r="H39" s="6">
        <v>10432.659806830779</v>
      </c>
      <c r="I39" s="2"/>
      <c r="J39" s="7">
        <f t="shared" si="13"/>
        <v>7.2001169163962622E-3</v>
      </c>
      <c r="K39" s="2"/>
      <c r="L39" s="6">
        <f t="shared" si="14"/>
        <v>323.63019316922146</v>
      </c>
      <c r="M39" s="2"/>
      <c r="N39" s="7">
        <f t="shared" si="15"/>
        <v>3.1020870915135633E-2</v>
      </c>
      <c r="O39" s="11"/>
      <c r="P39" s="6">
        <v>68215.42</v>
      </c>
      <c r="Q39" s="2"/>
      <c r="R39" s="7">
        <f t="shared" si="16"/>
        <v>7.4262858601476739E-3</v>
      </c>
      <c r="S39" s="2"/>
      <c r="T39" s="6">
        <v>67812.288744400052</v>
      </c>
      <c r="U39" s="2"/>
      <c r="V39" s="7">
        <f t="shared" si="17"/>
        <v>6.9861249325878748E-3</v>
      </c>
      <c r="W39" s="2"/>
      <c r="X39" s="6">
        <f t="shared" si="18"/>
        <v>403.1312555999466</v>
      </c>
      <c r="Y39" s="2"/>
      <c r="Z39" s="7">
        <f t="shared" si="19"/>
        <v>5.9448112291186636E-3</v>
      </c>
    </row>
    <row r="40" spans="1:26" s="24" customFormat="1" hidden="1" outlineLevel="2" x14ac:dyDescent="0.25">
      <c r="A40" s="26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8000</v>
      </c>
      <c r="I40" s="2"/>
      <c r="J40" s="7">
        <f t="shared" si="13"/>
        <v>5.5212128448256228E-3</v>
      </c>
      <c r="K40" s="2"/>
      <c r="L40" s="6">
        <f t="shared" si="14"/>
        <v>-8000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16000</v>
      </c>
      <c r="U40" s="2"/>
      <c r="V40" s="7">
        <f t="shared" si="17"/>
        <v>1.6483442896717837E-3</v>
      </c>
      <c r="W40" s="2"/>
      <c r="X40" s="6">
        <f t="shared" si="18"/>
        <v>-16000</v>
      </c>
      <c r="Y40" s="2"/>
      <c r="Z40" s="7">
        <f t="shared" si="19"/>
        <v>-1</v>
      </c>
    </row>
    <row r="41" spans="1:26" s="24" customFormat="1" hidden="1" outlineLevel="2" x14ac:dyDescent="0.25">
      <c r="A41" s="26"/>
      <c r="B41" s="11" t="str">
        <f>CONCATENATE("          ", "6117", " - ", "RETIREMENT STAFF HOURLY")</f>
        <v xml:space="preserve">          6117 - RETIREMENT STAFF HOURLY</v>
      </c>
      <c r="C41" s="11"/>
      <c r="D41" s="6">
        <v>2259.6</v>
      </c>
      <c r="E41" s="2"/>
      <c r="F41" s="7">
        <f t="shared" si="12"/>
        <v>1.8436656995771382E-3</v>
      </c>
      <c r="G41" s="2"/>
      <c r="H41" s="6"/>
      <c r="I41" s="2"/>
      <c r="J41" s="7">
        <f t="shared" si="13"/>
        <v>0</v>
      </c>
      <c r="K41" s="2"/>
      <c r="L41" s="6">
        <f t="shared" si="14"/>
        <v>2259.6</v>
      </c>
      <c r="M41" s="2"/>
      <c r="N41" s="7">
        <f t="shared" si="15"/>
        <v>0</v>
      </c>
      <c r="O41" s="11"/>
      <c r="P41" s="6">
        <v>10832.01</v>
      </c>
      <c r="Q41" s="2"/>
      <c r="R41" s="7">
        <f t="shared" si="16"/>
        <v>1.1792290174271185E-3</v>
      </c>
      <c r="S41" s="2"/>
      <c r="T41" s="6"/>
      <c r="U41" s="2"/>
      <c r="V41" s="7">
        <f t="shared" si="17"/>
        <v>0</v>
      </c>
      <c r="W41" s="2"/>
      <c r="X41" s="6">
        <f t="shared" si="18"/>
        <v>10832.01</v>
      </c>
      <c r="Y41" s="2"/>
      <c r="Z41" s="7">
        <f t="shared" si="19"/>
        <v>0</v>
      </c>
    </row>
    <row r="42" spans="1:26" s="24" customFormat="1" hidden="1" outlineLevel="2" x14ac:dyDescent="0.25">
      <c r="A42" s="26"/>
      <c r="B42" s="11" t="str">
        <f>CONCATENATE("          ", "6118", " - ", "VACATION")</f>
        <v xml:space="preserve">          6118 - VACATION</v>
      </c>
      <c r="C42" s="11"/>
      <c r="D42" s="6">
        <v>14318.43</v>
      </c>
      <c r="E42" s="2"/>
      <c r="F42" s="7">
        <f t="shared" si="12"/>
        <v>1.1682774943705206E-2</v>
      </c>
      <c r="G42" s="2"/>
      <c r="H42" s="6">
        <v>8766.2487664615364</v>
      </c>
      <c r="I42" s="2"/>
      <c r="J42" s="7">
        <f t="shared" si="13"/>
        <v>6.0500406612905254E-3</v>
      </c>
      <c r="K42" s="2"/>
      <c r="L42" s="6">
        <f t="shared" si="14"/>
        <v>5552.1812335384639</v>
      </c>
      <c r="M42" s="2"/>
      <c r="N42" s="7">
        <f t="shared" si="15"/>
        <v>0.63335884954352961</v>
      </c>
      <c r="O42" s="11"/>
      <c r="P42" s="6">
        <v>98727.650000000009</v>
      </c>
      <c r="Q42" s="2"/>
      <c r="R42" s="7">
        <f t="shared" si="16"/>
        <v>1.0748006113582656E-2</v>
      </c>
      <c r="S42" s="2"/>
      <c r="T42" s="6">
        <v>57211.456941999983</v>
      </c>
      <c r="U42" s="2"/>
      <c r="V42" s="7">
        <f t="shared" si="17"/>
        <v>5.8940111471342998E-3</v>
      </c>
      <c r="W42" s="2"/>
      <c r="X42" s="6">
        <f t="shared" si="18"/>
        <v>41516.193058000026</v>
      </c>
      <c r="Y42" s="2"/>
      <c r="Z42" s="7">
        <f t="shared" si="19"/>
        <v>0.72566222356631205</v>
      </c>
    </row>
    <row r="43" spans="1:26" s="24" customFormat="1" hidden="1" outlineLevel="2" x14ac:dyDescent="0.25">
      <c r="A43" s="26"/>
      <c r="B43" s="11" t="str">
        <f>CONCATENATE("          ", "6119", " - ", "SICK LEAVE")</f>
        <v xml:space="preserve">          6119 - SICK LEAVE</v>
      </c>
      <c r="C43" s="11"/>
      <c r="D43" s="6">
        <v>10206.57</v>
      </c>
      <c r="E43" s="2"/>
      <c r="F43" s="7">
        <f t="shared" si="12"/>
        <v>8.3278027169999252E-3</v>
      </c>
      <c r="G43" s="2"/>
      <c r="H43" s="6">
        <v>12768.454150538457</v>
      </c>
      <c r="I43" s="2"/>
      <c r="J43" s="7">
        <f t="shared" si="13"/>
        <v>8.8121691330649964E-3</v>
      </c>
      <c r="K43" s="2"/>
      <c r="L43" s="6">
        <f t="shared" si="14"/>
        <v>-2561.8841505384571</v>
      </c>
      <c r="M43" s="2"/>
      <c r="N43" s="7">
        <f t="shared" si="15"/>
        <v>-0.20064168460286325</v>
      </c>
      <c r="O43" s="11"/>
      <c r="P43" s="6">
        <v>94090.32</v>
      </c>
      <c r="Q43" s="2"/>
      <c r="R43" s="7">
        <f t="shared" si="16"/>
        <v>1.0243162220400753E-2</v>
      </c>
      <c r="S43" s="2"/>
      <c r="T43" s="6">
        <v>86282.998259999993</v>
      </c>
      <c r="U43" s="2"/>
      <c r="V43" s="7">
        <f t="shared" si="17"/>
        <v>8.8890054673519646E-3</v>
      </c>
      <c r="W43" s="2"/>
      <c r="X43" s="6">
        <f t="shared" si="18"/>
        <v>7807.321740000014</v>
      </c>
      <c r="Y43" s="2"/>
      <c r="Z43" s="7">
        <f t="shared" si="19"/>
        <v>9.048505380485157E-2</v>
      </c>
    </row>
    <row r="44" spans="1:26" s="24" customFormat="1" hidden="1" outlineLevel="2" x14ac:dyDescent="0.25">
      <c r="A44" s="26"/>
      <c r="B44" s="11" t="str">
        <f>CONCATENATE("          ", "6156", " - ", "EMPLOYEE MEALS")</f>
        <v xml:space="preserve">          6156 - EMPLOYEE MEALS</v>
      </c>
      <c r="C44" s="11"/>
      <c r="D44" s="6">
        <v>6524.14</v>
      </c>
      <c r="E44" s="2"/>
      <c r="F44" s="7">
        <f t="shared" si="12"/>
        <v>5.3232134613379325E-3</v>
      </c>
      <c r="G44" s="2"/>
      <c r="H44" s="6">
        <v>3225</v>
      </c>
      <c r="I44" s="2"/>
      <c r="J44" s="7">
        <f t="shared" si="13"/>
        <v>2.225738928070329E-3</v>
      </c>
      <c r="K44" s="2"/>
      <c r="L44" s="6">
        <f t="shared" si="14"/>
        <v>3299.1400000000003</v>
      </c>
      <c r="M44" s="2"/>
      <c r="N44" s="7">
        <f t="shared" si="15"/>
        <v>1.0229891472868218</v>
      </c>
      <c r="O44" s="11"/>
      <c r="P44" s="6">
        <v>37199.950000000004</v>
      </c>
      <c r="Q44" s="2"/>
      <c r="R44" s="7">
        <f t="shared" si="16"/>
        <v>4.0497802796376613E-3</v>
      </c>
      <c r="S44" s="2"/>
      <c r="T44" s="6">
        <v>19350</v>
      </c>
      <c r="U44" s="2"/>
      <c r="V44" s="7">
        <f t="shared" si="17"/>
        <v>1.9934663753218133E-3</v>
      </c>
      <c r="W44" s="2"/>
      <c r="X44" s="6">
        <f t="shared" si="18"/>
        <v>17849.950000000004</v>
      </c>
      <c r="Y44" s="2"/>
      <c r="Z44" s="7">
        <f t="shared" si="19"/>
        <v>0.92247803617571078</v>
      </c>
    </row>
    <row r="45" spans="1:26" s="25" customFormat="1" outlineLevel="1" collapsed="1" x14ac:dyDescent="0.25">
      <c r="A45" s="27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402086.32</v>
      </c>
      <c r="E45" s="1"/>
      <c r="F45" s="5">
        <f t="shared" ref="F45:F55" si="20">IF(D$12=0,0,D45/D$12)</f>
        <v>0.32807255994565282</v>
      </c>
      <c r="G45" s="1"/>
      <c r="H45" s="1">
        <f>SUM(OSRRefH22_1x_0)</f>
        <v>412089.40732284624</v>
      </c>
      <c r="I45" s="1"/>
      <c r="J45" s="5">
        <f t="shared" ref="J45:J55" si="21">IF(H$12=0,0,H45/H$12)</f>
        <v>0.28440416611593461</v>
      </c>
      <c r="K45" s="1"/>
      <c r="L45" s="1">
        <f t="shared" ref="L45:L55" si="22">+D45-H45</f>
        <v>-10003.08732284623</v>
      </c>
      <c r="M45" s="1"/>
      <c r="N45" s="5">
        <f t="shared" ref="N45:N55" si="23">IF(H45=0,0,L45/H45)</f>
        <v>-2.4274070493176831E-2</v>
      </c>
      <c r="O45" s="13"/>
      <c r="P45" s="1">
        <f>SUM(OSRRefP22_1x_0)</f>
        <v>2813732.82</v>
      </c>
      <c r="Q45" s="1"/>
      <c r="R45" s="5">
        <f t="shared" ref="R45:R55" si="24">IF(P$12=0,0,P45/P$12)</f>
        <v>0.30631760759370008</v>
      </c>
      <c r="S45" s="1"/>
      <c r="T45" s="1">
        <f>SUM(OSRRefT22_1x_0)</f>
        <v>2786908.6352399997</v>
      </c>
      <c r="U45" s="1"/>
      <c r="V45" s="5">
        <f t="shared" ref="V45:V55" si="25">IF(T$12=0,0,T45/T$12)</f>
        <v>0.28711155842092734</v>
      </c>
      <c r="W45" s="1"/>
      <c r="X45" s="1">
        <f t="shared" ref="X45:X55" si="26">+P45-T45</f>
        <v>26824.184760000091</v>
      </c>
      <c r="Y45" s="1"/>
      <c r="Z45" s="5">
        <f t="shared" ref="Z45:Z55" si="27">IF(T45=0,0,X45/T45)</f>
        <v>9.6250678693993418E-3</v>
      </c>
    </row>
    <row r="46" spans="1:26" s="24" customFormat="1" hidden="1" outlineLevel="2" x14ac:dyDescent="0.25">
      <c r="A46" s="26"/>
      <c r="B46" s="11" t="str">
        <f>CONCATENATE("          ", "6001", " - ", "ADMINISTRATIVE SALARIES")</f>
        <v xml:space="preserve">          6001 - ADMINISTRATIVE SALARIES</v>
      </c>
      <c r="C46" s="11"/>
      <c r="D46" s="6">
        <v>24822.86</v>
      </c>
      <c r="E46" s="2"/>
      <c r="F46" s="7">
        <f t="shared" si="20"/>
        <v>2.0253609288106465E-2</v>
      </c>
      <c r="G46" s="2"/>
      <c r="H46" s="6">
        <v>20213.021076923069</v>
      </c>
      <c r="I46" s="2"/>
      <c r="J46" s="7">
        <f t="shared" si="21"/>
        <v>1.3950048950329837E-2</v>
      </c>
      <c r="K46" s="2"/>
      <c r="L46" s="6">
        <f t="shared" si="22"/>
        <v>4609.8389230769317</v>
      </c>
      <c r="M46" s="2"/>
      <c r="N46" s="7">
        <f t="shared" si="23"/>
        <v>0.22806283660090387</v>
      </c>
      <c r="O46" s="11"/>
      <c r="P46" s="6">
        <v>149846.65</v>
      </c>
      <c r="Q46" s="2"/>
      <c r="R46" s="7">
        <f t="shared" si="24"/>
        <v>1.6313086661131713E-2</v>
      </c>
      <c r="S46" s="2"/>
      <c r="T46" s="6">
        <v>131384.63699999996</v>
      </c>
      <c r="U46" s="2"/>
      <c r="V46" s="7">
        <f t="shared" si="25"/>
        <v>1.3535444759346881E-2</v>
      </c>
      <c r="W46" s="2"/>
      <c r="X46" s="6">
        <f t="shared" si="26"/>
        <v>18462.013000000035</v>
      </c>
      <c r="Y46" s="2"/>
      <c r="Z46" s="7">
        <f t="shared" si="27"/>
        <v>0.14051881119099216</v>
      </c>
    </row>
    <row r="47" spans="1:26" s="24" customFormat="1" hidden="1" outlineLevel="2" x14ac:dyDescent="0.25">
      <c r="A47" s="26"/>
      <c r="B47" s="11" t="str">
        <f>CONCATENATE("          ", "6002", " - ", "STAFF SALARIES")</f>
        <v xml:space="preserve">          6002 - STAFF SALARIES</v>
      </c>
      <c r="C47" s="11"/>
      <c r="D47" s="6">
        <v>94613.72</v>
      </c>
      <c r="E47" s="2"/>
      <c r="F47" s="7">
        <f t="shared" si="20"/>
        <v>7.7197765212159444E-2</v>
      </c>
      <c r="G47" s="2"/>
      <c r="H47" s="6">
        <v>91046.740620923098</v>
      </c>
      <c r="I47" s="2"/>
      <c r="J47" s="7">
        <f t="shared" si="21"/>
        <v>6.2836054224468432E-2</v>
      </c>
      <c r="K47" s="2"/>
      <c r="L47" s="6">
        <f t="shared" si="22"/>
        <v>3566.9793790769036</v>
      </c>
      <c r="M47" s="2"/>
      <c r="N47" s="7">
        <f t="shared" si="23"/>
        <v>3.917745275394504E-2</v>
      </c>
      <c r="O47" s="11"/>
      <c r="P47" s="6">
        <v>596405.98</v>
      </c>
      <c r="Q47" s="2"/>
      <c r="R47" s="7">
        <f t="shared" si="24"/>
        <v>6.4927860829435871E-2</v>
      </c>
      <c r="S47" s="2"/>
      <c r="T47" s="6">
        <v>591803.81403599994</v>
      </c>
      <c r="U47" s="2"/>
      <c r="V47" s="7">
        <f t="shared" si="25"/>
        <v>6.0968527342013919E-2</v>
      </c>
      <c r="W47" s="2"/>
      <c r="X47" s="6">
        <f t="shared" si="26"/>
        <v>4602.1659640000435</v>
      </c>
      <c r="Y47" s="2"/>
      <c r="Z47" s="7">
        <f t="shared" si="27"/>
        <v>7.7765060901079115E-3</v>
      </c>
    </row>
    <row r="48" spans="1:26" s="24" customFormat="1" hidden="1" outlineLevel="2" x14ac:dyDescent="0.25">
      <c r="A48" s="26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6"/>
      <c r="B49" s="11" t="str">
        <f>CONCATENATE("          ", "6004", " - ", "STAFF HOURLY")</f>
        <v xml:space="preserve">          6004 - STAFF HOURLY</v>
      </c>
      <c r="C49" s="11"/>
      <c r="D49" s="6">
        <v>77556.710000000006</v>
      </c>
      <c r="E49" s="2"/>
      <c r="F49" s="7">
        <f t="shared" si="20"/>
        <v>6.3280512479665096E-2</v>
      </c>
      <c r="G49" s="2"/>
      <c r="H49" s="6">
        <v>109024.69724000001</v>
      </c>
      <c r="I49" s="2"/>
      <c r="J49" s="7">
        <f t="shared" si="21"/>
        <v>7.5243569850589082E-2</v>
      </c>
      <c r="K49" s="2"/>
      <c r="L49" s="6">
        <f t="shared" si="22"/>
        <v>-31467.987240000002</v>
      </c>
      <c r="M49" s="2"/>
      <c r="N49" s="7">
        <f t="shared" si="23"/>
        <v>-0.28863173241131213</v>
      </c>
      <c r="O49" s="11"/>
      <c r="P49" s="6">
        <v>485365.24999999994</v>
      </c>
      <c r="Q49" s="2"/>
      <c r="R49" s="7">
        <f t="shared" si="24"/>
        <v>5.2839388705398872E-2</v>
      </c>
      <c r="S49" s="2"/>
      <c r="T49" s="6">
        <v>781016.44769000006</v>
      </c>
      <c r="U49" s="2"/>
      <c r="V49" s="7">
        <f t="shared" si="25"/>
        <v>8.0461500105597064E-2</v>
      </c>
      <c r="W49" s="2"/>
      <c r="X49" s="6">
        <f t="shared" si="26"/>
        <v>-295651.19769000012</v>
      </c>
      <c r="Y49" s="2"/>
      <c r="Z49" s="7">
        <f t="shared" si="27"/>
        <v>-0.37854669842670147</v>
      </c>
    </row>
    <row r="50" spans="1:26" s="24" customFormat="1" hidden="1" outlineLevel="2" x14ac:dyDescent="0.25">
      <c r="A50" s="26"/>
      <c r="B50" s="11" t="str">
        <f>CONCATENATE("          ", "6005", " - ", "TEMPORARY WAGES-HOURLY")</f>
        <v xml:space="preserve">          6005 - TEMPORARY WAGES-HOURLY</v>
      </c>
      <c r="C50" s="11"/>
      <c r="D50" s="6">
        <v>74447.92</v>
      </c>
      <c r="E50" s="2"/>
      <c r="F50" s="7">
        <f t="shared" si="20"/>
        <v>6.0743970839468413E-2</v>
      </c>
      <c r="G50" s="2"/>
      <c r="H50" s="6">
        <v>46648.355884999997</v>
      </c>
      <c r="I50" s="2"/>
      <c r="J50" s="7">
        <f t="shared" si="21"/>
        <v>3.2194437712782367E-2</v>
      </c>
      <c r="K50" s="2"/>
      <c r="L50" s="6">
        <f t="shared" si="22"/>
        <v>27799.564115000001</v>
      </c>
      <c r="M50" s="2"/>
      <c r="N50" s="7">
        <f t="shared" si="23"/>
        <v>0.59593877613892676</v>
      </c>
      <c r="O50" s="11"/>
      <c r="P50" s="6">
        <v>551048.30999999994</v>
      </c>
      <c r="Q50" s="2"/>
      <c r="R50" s="7">
        <f t="shared" si="24"/>
        <v>5.998998866841649E-2</v>
      </c>
      <c r="S50" s="2"/>
      <c r="T50" s="6">
        <v>314548.934014</v>
      </c>
      <c r="U50" s="2"/>
      <c r="V50" s="7">
        <f t="shared" si="25"/>
        <v>3.2405308700270224E-2</v>
      </c>
      <c r="W50" s="2"/>
      <c r="X50" s="6">
        <f t="shared" si="26"/>
        <v>236499.37598599994</v>
      </c>
      <c r="Y50" s="2"/>
      <c r="Z50" s="7">
        <f t="shared" si="27"/>
        <v>0.75186831176949331</v>
      </c>
    </row>
    <row r="51" spans="1:26" s="24" customFormat="1" hidden="1" outlineLevel="2" x14ac:dyDescent="0.25">
      <c r="A51" s="26"/>
      <c r="B51" s="11" t="str">
        <f>CONCATENATE("          ", "6006", " - ", "TEMPORARY PART TIME")</f>
        <v xml:space="preserve">          6006 - TEMPORARY PART TIME</v>
      </c>
      <c r="C51" s="11"/>
      <c r="D51" s="6">
        <v>2776.06</v>
      </c>
      <c r="E51" s="2"/>
      <c r="F51" s="7">
        <f t="shared" si="20"/>
        <v>2.2650586838237345E-3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2776.06</v>
      </c>
      <c r="M51" s="2"/>
      <c r="N51" s="7">
        <f t="shared" si="23"/>
        <v>0</v>
      </c>
      <c r="O51" s="11"/>
      <c r="P51" s="6">
        <v>40188.25</v>
      </c>
      <c r="Q51" s="2"/>
      <c r="R51" s="7">
        <f t="shared" si="24"/>
        <v>4.3751021795230428E-3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40188.25</v>
      </c>
      <c r="Y51" s="2"/>
      <c r="Z51" s="7">
        <f t="shared" si="27"/>
        <v>0</v>
      </c>
    </row>
    <row r="52" spans="1:26" s="24" customFormat="1" hidden="1" outlineLevel="2" x14ac:dyDescent="0.25">
      <c r="A52" s="26"/>
      <c r="B52" s="11" t="str">
        <f>CONCATENATE("          ", "6007", " - ", "STUDENT HOURLY")</f>
        <v xml:space="preserve">          6007 - STUDENT HOURLY</v>
      </c>
      <c r="C52" s="11"/>
      <c r="D52" s="6">
        <v>110001.64</v>
      </c>
      <c r="E52" s="2"/>
      <c r="F52" s="7">
        <f t="shared" si="20"/>
        <v>8.9753164527010321E-2</v>
      </c>
      <c r="G52" s="2"/>
      <c r="H52" s="6">
        <v>24520.987499999999</v>
      </c>
      <c r="I52" s="2"/>
      <c r="J52" s="7">
        <f t="shared" si="21"/>
        <v>1.6923198894101068E-2</v>
      </c>
      <c r="K52" s="2"/>
      <c r="L52" s="6">
        <f t="shared" si="22"/>
        <v>85480.652499999997</v>
      </c>
      <c r="M52" s="2"/>
      <c r="N52" s="7">
        <f t="shared" si="23"/>
        <v>3.4860199859406151</v>
      </c>
      <c r="O52" s="11"/>
      <c r="P52" s="6">
        <v>854184.21</v>
      </c>
      <c r="Q52" s="2"/>
      <c r="R52" s="7">
        <f t="shared" si="24"/>
        <v>9.2990941354380158E-2</v>
      </c>
      <c r="S52" s="2"/>
      <c r="T52" s="6">
        <v>307433.29249999998</v>
      </c>
      <c r="U52" s="2"/>
      <c r="V52" s="7">
        <f t="shared" si="25"/>
        <v>3.1672244509210634E-2</v>
      </c>
      <c r="W52" s="2"/>
      <c r="X52" s="6">
        <f t="shared" si="26"/>
        <v>546750.91749999998</v>
      </c>
      <c r="Y52" s="2"/>
      <c r="Z52" s="7">
        <f t="shared" si="27"/>
        <v>1.7784375695094896</v>
      </c>
    </row>
    <row r="53" spans="1:26" s="24" customFormat="1" hidden="1" outlineLevel="2" x14ac:dyDescent="0.25">
      <c r="A53" s="26"/>
      <c r="B53" s="11" t="str">
        <f>CONCATENATE("          ", "6008", " - ", "STUDENT HOURLY-FICA EXEMPT")</f>
        <v xml:space="preserve">          6008 - STUDENT HOURLY-FICA EXEMPT</v>
      </c>
      <c r="C53" s="11"/>
      <c r="D53" s="6">
        <v>17867.41</v>
      </c>
      <c r="E53" s="2"/>
      <c r="F53" s="7">
        <f t="shared" si="20"/>
        <v>1.4578478915419347E-2</v>
      </c>
      <c r="G53" s="2"/>
      <c r="H53" s="6">
        <v>120635.60500000001</v>
      </c>
      <c r="I53" s="2"/>
      <c r="J53" s="7">
        <f t="shared" si="21"/>
        <v>8.325685648366378E-2</v>
      </c>
      <c r="K53" s="2"/>
      <c r="L53" s="6">
        <f t="shared" si="22"/>
        <v>-102768.19500000001</v>
      </c>
      <c r="M53" s="2"/>
      <c r="N53" s="7">
        <f t="shared" si="23"/>
        <v>-0.85188941523524497</v>
      </c>
      <c r="O53" s="11"/>
      <c r="P53" s="6">
        <v>136694.17000000001</v>
      </c>
      <c r="Q53" s="2"/>
      <c r="R53" s="7">
        <f t="shared" si="24"/>
        <v>1.4881239195413919E-2</v>
      </c>
      <c r="S53" s="2"/>
      <c r="T53" s="6">
        <v>660721.51</v>
      </c>
      <c r="U53" s="2"/>
      <c r="V53" s="7">
        <f t="shared" si="25"/>
        <v>6.8068533004488646E-2</v>
      </c>
      <c r="W53" s="2"/>
      <c r="X53" s="6">
        <f t="shared" si="26"/>
        <v>-524027.33999999997</v>
      </c>
      <c r="Y53" s="2"/>
      <c r="Z53" s="7">
        <f t="shared" si="27"/>
        <v>-0.79311378859150505</v>
      </c>
    </row>
    <row r="54" spans="1:26" s="24" customFormat="1" hidden="1" outlineLevel="2" x14ac:dyDescent="0.25">
      <c r="A54" s="26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6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5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2704.43</v>
      </c>
      <c r="E56" s="1"/>
      <c r="F56" s="5">
        <f t="shared" ref="F56:F60" si="28">IF(D$12=0,0,D56/D$12)</f>
        <v>2.2066139263176667E-3</v>
      </c>
      <c r="G56" s="1"/>
      <c r="H56" s="1">
        <f>SUM(OSRRefH22_2x_0)</f>
        <v>2125</v>
      </c>
      <c r="I56" s="1"/>
      <c r="J56" s="5">
        <f t="shared" ref="J56:J60" si="29">IF(H$12=0,0,H56/H$12)</f>
        <v>1.4665721619068061E-3</v>
      </c>
      <c r="K56" s="1"/>
      <c r="L56" s="1">
        <f t="shared" ref="L56:L60" si="30">+D56-H56</f>
        <v>579.42999999999984</v>
      </c>
      <c r="M56" s="1"/>
      <c r="N56" s="5">
        <f t="shared" ref="N56:N60" si="31">IF(H56=0,0,L56/H56)</f>
        <v>0.27267294117647051</v>
      </c>
      <c r="O56" s="13"/>
      <c r="P56" s="1">
        <f>SUM(OSRRefP22_2x_0)</f>
        <v>27570.230000000003</v>
      </c>
      <c r="Q56" s="1"/>
      <c r="R56" s="5">
        <f t="shared" ref="R56:R60" si="32">IF(P$12=0,0,P56/P$12)</f>
        <v>3.0014388126617009E-3</v>
      </c>
      <c r="S56" s="1"/>
      <c r="T56" s="1">
        <f>SUM(OSRRefT22_2x_0)</f>
        <v>25015</v>
      </c>
      <c r="U56" s="1"/>
      <c r="V56" s="5">
        <f t="shared" ref="V56:V60" si="33">IF(T$12=0,0,T56/T$12)</f>
        <v>2.5770832753837293E-3</v>
      </c>
      <c r="W56" s="1"/>
      <c r="X56" s="1">
        <f t="shared" ref="X56:X60" si="34">+P56-T56</f>
        <v>2555.2300000000032</v>
      </c>
      <c r="Y56" s="1"/>
      <c r="Z56" s="5">
        <f t="shared" ref="Z56:Z60" si="35">IF(T56=0,0,X56/T56)</f>
        <v>0.10214791125324818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6">
        <v>2704.43</v>
      </c>
      <c r="E57" s="2"/>
      <c r="F57" s="7">
        <f t="shared" si="28"/>
        <v>2.2066139263176667E-3</v>
      </c>
      <c r="G57" s="2"/>
      <c r="H57" s="6">
        <v>2125</v>
      </c>
      <c r="I57" s="2"/>
      <c r="J57" s="7">
        <f t="shared" si="29"/>
        <v>1.4665721619068061E-3</v>
      </c>
      <c r="K57" s="2"/>
      <c r="L57" s="6">
        <f t="shared" si="30"/>
        <v>579.42999999999984</v>
      </c>
      <c r="M57" s="2"/>
      <c r="N57" s="7">
        <f t="shared" si="31"/>
        <v>0.27267294117647051</v>
      </c>
      <c r="O57" s="11"/>
      <c r="P57" s="6">
        <v>27570.230000000003</v>
      </c>
      <c r="Q57" s="2"/>
      <c r="R57" s="7">
        <f t="shared" si="32"/>
        <v>3.0014388126617009E-3</v>
      </c>
      <c r="S57" s="2"/>
      <c r="T57" s="6">
        <v>25015</v>
      </c>
      <c r="U57" s="2"/>
      <c r="V57" s="7">
        <f t="shared" si="33"/>
        <v>2.5770832753837293E-3</v>
      </c>
      <c r="W57" s="2"/>
      <c r="X57" s="6">
        <f t="shared" si="34"/>
        <v>2555.2300000000032</v>
      </c>
      <c r="Y57" s="2"/>
      <c r="Z57" s="7">
        <f t="shared" si="35"/>
        <v>0.10214791125324818</v>
      </c>
    </row>
    <row r="58" spans="1:26" s="25" customFormat="1" outlineLevel="1" collapsed="1" x14ac:dyDescent="0.25">
      <c r="A58" s="27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-71.27</v>
      </c>
      <c r="E58" s="1"/>
      <c r="F58" s="5">
        <f t="shared" si="28"/>
        <v>-5.8151024256002229E-5</v>
      </c>
      <c r="G58" s="1"/>
      <c r="H58" s="1">
        <f>SUM(OSRRefH22_3x_0)</f>
        <v>257</v>
      </c>
      <c r="I58" s="1"/>
      <c r="J58" s="5">
        <f t="shared" si="29"/>
        <v>1.7736896264002313E-4</v>
      </c>
      <c r="K58" s="1"/>
      <c r="L58" s="1">
        <f t="shared" si="30"/>
        <v>-328.27</v>
      </c>
      <c r="M58" s="1"/>
      <c r="N58" s="5">
        <f t="shared" si="31"/>
        <v>-1.2773151750972762</v>
      </c>
      <c r="O58" s="13"/>
      <c r="P58" s="1">
        <f>SUM(OSRRefP22_3x_0)</f>
        <v>-62.99</v>
      </c>
      <c r="Q58" s="1"/>
      <c r="R58" s="5">
        <f t="shared" si="32"/>
        <v>-6.8574194270254737E-6</v>
      </c>
      <c r="S58" s="1"/>
      <c r="T58" s="1">
        <f>SUM(OSRRefT22_3x_0)</f>
        <v>1454</v>
      </c>
      <c r="U58" s="1"/>
      <c r="V58" s="5">
        <f t="shared" si="33"/>
        <v>1.4979328732392334E-4</v>
      </c>
      <c r="W58" s="1"/>
      <c r="X58" s="1">
        <f t="shared" si="34"/>
        <v>-1516.99</v>
      </c>
      <c r="Y58" s="1"/>
      <c r="Z58" s="5">
        <f t="shared" si="35"/>
        <v>-1.0433218707015131</v>
      </c>
    </row>
    <row r="59" spans="1:26" s="24" customFormat="1" hidden="1" outlineLevel="2" x14ac:dyDescent="0.25">
      <c r="A59" s="26"/>
      <c r="B59" s="11" t="str">
        <f>CONCATENATE("          ", "6272", " - ", "CASH (OVER/SHORT)")</f>
        <v xml:space="preserve">          6272 - CASH (OVER/SHORT)</v>
      </c>
      <c r="C59" s="11"/>
      <c r="D59" s="6">
        <v>-71.27</v>
      </c>
      <c r="E59" s="2"/>
      <c r="F59" s="7">
        <f t="shared" si="28"/>
        <v>-5.8151024256002229E-5</v>
      </c>
      <c r="G59" s="2"/>
      <c r="H59" s="6">
        <v>207</v>
      </c>
      <c r="I59" s="2"/>
      <c r="J59" s="7">
        <f t="shared" si="29"/>
        <v>1.42861382359863E-4</v>
      </c>
      <c r="K59" s="2"/>
      <c r="L59" s="6">
        <f t="shared" si="30"/>
        <v>-278.27</v>
      </c>
      <c r="M59" s="2"/>
      <c r="N59" s="7">
        <f t="shared" si="31"/>
        <v>-1.3442995169082124</v>
      </c>
      <c r="O59" s="11"/>
      <c r="P59" s="6">
        <v>-62.99</v>
      </c>
      <c r="Q59" s="2"/>
      <c r="R59" s="7">
        <f t="shared" si="32"/>
        <v>-6.8574194270254737E-6</v>
      </c>
      <c r="S59" s="2"/>
      <c r="T59" s="6">
        <v>1204</v>
      </c>
      <c r="U59" s="2"/>
      <c r="V59" s="7">
        <f t="shared" si="33"/>
        <v>1.2403790779780174E-4</v>
      </c>
      <c r="W59" s="2"/>
      <c r="X59" s="6">
        <f t="shared" si="34"/>
        <v>-1266.99</v>
      </c>
      <c r="Y59" s="2"/>
      <c r="Z59" s="7">
        <f t="shared" si="35"/>
        <v>-1.0523172757475083</v>
      </c>
    </row>
    <row r="60" spans="1:26" s="24" customFormat="1" hidden="1" outlineLevel="2" x14ac:dyDescent="0.25">
      <c r="A60" s="26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3.4507580280160145E-5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250</v>
      </c>
      <c r="U60" s="2"/>
      <c r="V60" s="7">
        <f t="shared" si="33"/>
        <v>2.575537952612162E-5</v>
      </c>
      <c r="W60" s="2"/>
      <c r="X60" s="6">
        <f t="shared" si="34"/>
        <v>-250</v>
      </c>
      <c r="Y60" s="2"/>
      <c r="Z60" s="7">
        <f t="shared" si="35"/>
        <v>-1</v>
      </c>
    </row>
    <row r="61" spans="1:26" s="25" customFormat="1" outlineLevel="1" collapsed="1" x14ac:dyDescent="0.25">
      <c r="A61" s="27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25119.289999999997</v>
      </c>
      <c r="E61" s="1"/>
      <c r="F61" s="5">
        <f t="shared" ref="F61:F67" si="36">IF(D$12=0,0,D61/D$12)</f>
        <v>2.0495474141764475E-2</v>
      </c>
      <c r="G61" s="1"/>
      <c r="H61" s="1">
        <f>SUM(OSRRefH22_4x_0)</f>
        <v>8518</v>
      </c>
      <c r="I61" s="1"/>
      <c r="J61" s="5">
        <f t="shared" ref="J61:J67" si="37">IF(H$12=0,0,H61/H$12)</f>
        <v>5.8787113765280822E-3</v>
      </c>
      <c r="K61" s="1"/>
      <c r="L61" s="1">
        <f t="shared" ref="L61:L67" si="38">+D61-H61</f>
        <v>16601.289999999997</v>
      </c>
      <c r="M61" s="1"/>
      <c r="N61" s="5">
        <f t="shared" ref="N61:N67" si="39">IF(H61=0,0,L61/H61)</f>
        <v>1.9489657196525003</v>
      </c>
      <c r="O61" s="13"/>
      <c r="P61" s="1">
        <f>SUM(OSRRefP22_4x_0)</f>
        <v>106038.81</v>
      </c>
      <c r="Q61" s="1"/>
      <c r="R61" s="5">
        <f t="shared" ref="R61:R67" si="40">IF(P$12=0,0,P61/P$12)</f>
        <v>1.1543937064814462E-2</v>
      </c>
      <c r="S61" s="1"/>
      <c r="T61" s="1">
        <f>SUM(OSRRefT22_4x_0)</f>
        <v>62883.000000000007</v>
      </c>
      <c r="U61" s="1"/>
      <c r="V61" s="5">
        <f t="shared" ref="V61:V67" si="41">IF(T$12=0,0,T61/T$12)</f>
        <v>6.4783021229644243E-3</v>
      </c>
      <c r="W61" s="1"/>
      <c r="X61" s="1">
        <f t="shared" ref="X61:X67" si="42">+P61-T61</f>
        <v>43155.80999999999</v>
      </c>
      <c r="Y61" s="1"/>
      <c r="Z61" s="5">
        <f t="shared" ref="Z61:Z67" si="43">IF(T61=0,0,X61/T61)</f>
        <v>0.68628739086875601</v>
      </c>
    </row>
    <row r="62" spans="1:26" s="24" customFormat="1" hidden="1" outlineLevel="2" x14ac:dyDescent="0.25">
      <c r="A62" s="26"/>
      <c r="B62" s="11" t="str">
        <f>CONCATENATE("          ", "6381", " - ", "BANK/CREDIT CARD FEES")</f>
        <v xml:space="preserve">          6381 - BANK/CREDIT CARD FEES</v>
      </c>
      <c r="C62" s="11"/>
      <c r="D62" s="6">
        <v>25119.289999999997</v>
      </c>
      <c r="E62" s="2"/>
      <c r="F62" s="7">
        <f t="shared" si="36"/>
        <v>2.0495474141764475E-2</v>
      </c>
      <c r="G62" s="2"/>
      <c r="H62" s="6">
        <v>8518</v>
      </c>
      <c r="I62" s="2"/>
      <c r="J62" s="7">
        <f t="shared" si="37"/>
        <v>5.8787113765280822E-3</v>
      </c>
      <c r="K62" s="2"/>
      <c r="L62" s="6">
        <f t="shared" si="38"/>
        <v>16601.289999999997</v>
      </c>
      <c r="M62" s="2"/>
      <c r="N62" s="7">
        <f t="shared" si="39"/>
        <v>1.9489657196525003</v>
      </c>
      <c r="O62" s="11"/>
      <c r="P62" s="6">
        <v>106038.81</v>
      </c>
      <c r="Q62" s="2"/>
      <c r="R62" s="7">
        <f t="shared" si="40"/>
        <v>1.1543937064814462E-2</v>
      </c>
      <c r="S62" s="2"/>
      <c r="T62" s="6">
        <v>62883.000000000007</v>
      </c>
      <c r="U62" s="2"/>
      <c r="V62" s="7">
        <f t="shared" si="41"/>
        <v>6.4783021229644243E-3</v>
      </c>
      <c r="W62" s="2"/>
      <c r="X62" s="6">
        <f t="shared" si="42"/>
        <v>43155.80999999999</v>
      </c>
      <c r="Y62" s="2"/>
      <c r="Z62" s="7">
        <f t="shared" si="43"/>
        <v>0.68628739086875601</v>
      </c>
    </row>
    <row r="63" spans="1:26" s="25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40745.619999999995</v>
      </c>
      <c r="E63" s="1"/>
      <c r="F63" s="5">
        <f t="shared" si="36"/>
        <v>3.3245398301471156E-2</v>
      </c>
      <c r="G63" s="1"/>
      <c r="H63" s="1">
        <f>SUM(OSRRefH22_5x_0)</f>
        <v>44088</v>
      </c>
      <c r="I63" s="1"/>
      <c r="J63" s="5">
        <f t="shared" si="37"/>
        <v>3.0427403987834008E-2</v>
      </c>
      <c r="K63" s="1"/>
      <c r="L63" s="1">
        <f t="shared" si="38"/>
        <v>-3342.3800000000047</v>
      </c>
      <c r="M63" s="1"/>
      <c r="N63" s="5">
        <f t="shared" si="39"/>
        <v>-7.5811558700780365E-2</v>
      </c>
      <c r="O63" s="13"/>
      <c r="P63" s="1">
        <f>SUM(OSRRefP22_5x_0)</f>
        <v>238600.87</v>
      </c>
      <c r="Q63" s="1"/>
      <c r="R63" s="5">
        <f t="shared" si="40"/>
        <v>2.5975333247232568E-2</v>
      </c>
      <c r="S63" s="1"/>
      <c r="T63" s="1">
        <f>SUM(OSRRefT22_5x_0)</f>
        <v>251726</v>
      </c>
      <c r="U63" s="1"/>
      <c r="V63" s="5">
        <f t="shared" si="41"/>
        <v>2.5933194666369966E-2</v>
      </c>
      <c r="W63" s="1"/>
      <c r="X63" s="1">
        <f t="shared" si="42"/>
        <v>-13125.130000000005</v>
      </c>
      <c r="Y63" s="1"/>
      <c r="Z63" s="5">
        <f t="shared" si="43"/>
        <v>-5.2140541700102509E-2</v>
      </c>
    </row>
    <row r="64" spans="1:26" s="24" customFormat="1" hidden="1" outlineLevel="2" x14ac:dyDescent="0.25">
      <c r="A64" s="26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1.9617268838867566E-2</v>
      </c>
      <c r="G64" s="2"/>
      <c r="H64" s="6">
        <v>23037</v>
      </c>
      <c r="I64" s="2"/>
      <c r="J64" s="7">
        <f t="shared" si="37"/>
        <v>1.5899022538280985E-2</v>
      </c>
      <c r="K64" s="2"/>
      <c r="L64" s="6">
        <f t="shared" si="38"/>
        <v>1005.9599999999991</v>
      </c>
      <c r="M64" s="2"/>
      <c r="N64" s="7">
        <f t="shared" si="39"/>
        <v>4.3667144159395717E-2</v>
      </c>
      <c r="O64" s="11"/>
      <c r="P64" s="6">
        <v>144257.76</v>
      </c>
      <c r="Q64" s="2"/>
      <c r="R64" s="7">
        <f t="shared" si="40"/>
        <v>1.5704650991001403E-2</v>
      </c>
      <c r="S64" s="2"/>
      <c r="T64" s="6">
        <v>138468</v>
      </c>
      <c r="U64" s="2"/>
      <c r="V64" s="7">
        <f t="shared" si="41"/>
        <v>1.4265183568892035E-2</v>
      </c>
      <c r="W64" s="2"/>
      <c r="X64" s="6">
        <f t="shared" si="42"/>
        <v>5789.7600000000093</v>
      </c>
      <c r="Y64" s="2"/>
      <c r="Z64" s="7">
        <f t="shared" si="43"/>
        <v>4.181298206083723E-2</v>
      </c>
    </row>
    <row r="65" spans="1:26" s="24" customFormat="1" hidden="1" outlineLevel="2" x14ac:dyDescent="0.25">
      <c r="A65" s="26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16278.409999999998</v>
      </c>
      <c r="E65" s="2"/>
      <c r="F65" s="7">
        <f t="shared" si="36"/>
        <v>1.328197298665847E-2</v>
      </c>
      <c r="G65" s="2"/>
      <c r="H65" s="6">
        <v>15301</v>
      </c>
      <c r="I65" s="2"/>
      <c r="J65" s="7">
        <f t="shared" si="37"/>
        <v>1.0560009717334607E-2</v>
      </c>
      <c r="K65" s="2"/>
      <c r="L65" s="6">
        <f t="shared" si="38"/>
        <v>977.40999999999804</v>
      </c>
      <c r="M65" s="2"/>
      <c r="N65" s="7">
        <f t="shared" si="39"/>
        <v>6.3878831448924783E-2</v>
      </c>
      <c r="O65" s="11"/>
      <c r="P65" s="6">
        <v>91797.61</v>
      </c>
      <c r="Q65" s="2"/>
      <c r="R65" s="7">
        <f t="shared" si="40"/>
        <v>9.9935658702731845E-3</v>
      </c>
      <c r="S65" s="2"/>
      <c r="T65" s="6">
        <v>91806</v>
      </c>
      <c r="U65" s="2"/>
      <c r="V65" s="7">
        <f t="shared" si="41"/>
        <v>9.4579934911004863E-3</v>
      </c>
      <c r="W65" s="2"/>
      <c r="X65" s="6">
        <f t="shared" si="42"/>
        <v>-8.3899999999994179</v>
      </c>
      <c r="Y65" s="2"/>
      <c r="Z65" s="7">
        <f t="shared" si="43"/>
        <v>-9.1388362416393459E-5</v>
      </c>
    </row>
    <row r="66" spans="1:26" s="24" customFormat="1" hidden="1" outlineLevel="2" x14ac:dyDescent="0.25">
      <c r="A66" s="26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3576</v>
      </c>
      <c r="I66" s="2"/>
      <c r="J66" s="7">
        <f t="shared" si="37"/>
        <v>2.4679821416370533E-3</v>
      </c>
      <c r="K66" s="2"/>
      <c r="L66" s="6">
        <f t="shared" si="38"/>
        <v>-3576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13658</v>
      </c>
      <c r="U66" s="2"/>
      <c r="V66" s="7">
        <f t="shared" si="41"/>
        <v>1.4070678942710764E-3</v>
      </c>
      <c r="W66" s="2"/>
      <c r="X66" s="6">
        <f t="shared" si="42"/>
        <v>-13658</v>
      </c>
      <c r="Y66" s="2"/>
      <c r="Z66" s="7">
        <f t="shared" si="43"/>
        <v>-1</v>
      </c>
    </row>
    <row r="67" spans="1:26" s="24" customFormat="1" hidden="1" outlineLevel="2" x14ac:dyDescent="0.25">
      <c r="A67" s="26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3.4615647594512345E-4</v>
      </c>
      <c r="G67" s="2"/>
      <c r="H67" s="6">
        <v>2174</v>
      </c>
      <c r="I67" s="2"/>
      <c r="J67" s="7">
        <f t="shared" si="37"/>
        <v>1.5003895905813631E-3</v>
      </c>
      <c r="K67" s="2"/>
      <c r="L67" s="6">
        <f t="shared" si="38"/>
        <v>-1749.75</v>
      </c>
      <c r="M67" s="2"/>
      <c r="N67" s="7">
        <f t="shared" si="39"/>
        <v>-0.80485280588776453</v>
      </c>
      <c r="O67" s="11"/>
      <c r="P67" s="6">
        <v>2545.5</v>
      </c>
      <c r="Q67" s="2"/>
      <c r="R67" s="7">
        <f t="shared" si="40"/>
        <v>2.7711638595798291E-4</v>
      </c>
      <c r="S67" s="2"/>
      <c r="T67" s="6">
        <v>7794</v>
      </c>
      <c r="U67" s="2"/>
      <c r="V67" s="7">
        <f t="shared" si="41"/>
        <v>8.0294971210636765E-4</v>
      </c>
      <c r="W67" s="2"/>
      <c r="X67" s="6">
        <f t="shared" si="42"/>
        <v>-5248.5</v>
      </c>
      <c r="Y67" s="2"/>
      <c r="Z67" s="7">
        <f t="shared" si="43"/>
        <v>-0.67340261739799845</v>
      </c>
    </row>
    <row r="68" spans="1:26" s="25" customFormat="1" outlineLevel="1" collapsed="1" x14ac:dyDescent="0.25">
      <c r="A68" s="27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SUM(OSRRefD22_6x_0)</f>
        <v>11203.09</v>
      </c>
      <c r="E68" s="1"/>
      <c r="F68" s="5">
        <f t="shared" ref="F68:F70" si="44">IF(D$12=0,0,D68/D$12)</f>
        <v>9.140888990208729E-3</v>
      </c>
      <c r="G68" s="1"/>
      <c r="H68" s="1">
        <f>SUM(OSRRefH22_6x_0)</f>
        <v>13200</v>
      </c>
      <c r="I68" s="1"/>
      <c r="J68" s="5">
        <f t="shared" ref="J68:J70" si="45">IF(H$12=0,0,H68/H$12)</f>
        <v>9.110001193962278E-3</v>
      </c>
      <c r="K68" s="1"/>
      <c r="L68" s="1">
        <f t="shared" ref="L68:L70" si="46">+D68-H68</f>
        <v>-1996.9099999999999</v>
      </c>
      <c r="M68" s="1"/>
      <c r="N68" s="5">
        <f t="shared" ref="N68:N70" si="47">IF(H68=0,0,L68/H68)</f>
        <v>-0.15128106060606059</v>
      </c>
      <c r="O68" s="13"/>
      <c r="P68" s="1">
        <f>SUM(OSRRefP22_6x_0)</f>
        <v>77610.509999999995</v>
      </c>
      <c r="Q68" s="1"/>
      <c r="R68" s="5">
        <f t="shared" ref="R68:R70" si="48">IF(P$12=0,0,P68/P$12)</f>
        <v>8.4490842834633231E-3</v>
      </c>
      <c r="S68" s="1"/>
      <c r="T68" s="1">
        <f>SUM(OSRRefT22_6x_0)</f>
        <v>73590</v>
      </c>
      <c r="U68" s="1"/>
      <c r="V68" s="5">
        <f t="shared" ref="V68:V70" si="49">IF(T$12=0,0,T68/T$12)</f>
        <v>7.5813535173091607E-3</v>
      </c>
      <c r="W68" s="1"/>
      <c r="X68" s="1">
        <f t="shared" ref="X68:X70" si="50">+P68-T68</f>
        <v>4020.5099999999948</v>
      </c>
      <c r="Y68" s="1"/>
      <c r="Z68" s="5">
        <f t="shared" ref="Z68:Z70" si="51">IF(T68=0,0,X68/T68)</f>
        <v>5.4633917651854803E-2</v>
      </c>
    </row>
    <row r="69" spans="1:26" s="24" customFormat="1" hidden="1" outlineLevel="2" x14ac:dyDescent="0.25">
      <c r="A69" s="26"/>
      <c r="B69" s="11" t="str">
        <f>CONCATENATE("          ", "6396", " - ", "COUPONS-CHARTROOM")</f>
        <v xml:space="preserve">          6396 - COUPONS-CHARTROOM</v>
      </c>
      <c r="C69" s="11"/>
      <c r="D69" s="6"/>
      <c r="E69" s="2"/>
      <c r="F69" s="7">
        <f t="shared" si="44"/>
        <v>0</v>
      </c>
      <c r="G69" s="2"/>
      <c r="H69" s="6">
        <v>100</v>
      </c>
      <c r="I69" s="2"/>
      <c r="J69" s="7">
        <f t="shared" si="45"/>
        <v>6.9015160560320291E-5</v>
      </c>
      <c r="K69" s="2"/>
      <c r="L69" s="6">
        <f t="shared" si="46"/>
        <v>-100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600</v>
      </c>
      <c r="U69" s="2"/>
      <c r="V69" s="7">
        <f t="shared" si="49"/>
        <v>6.1812910862691896E-5</v>
      </c>
      <c r="W69" s="2"/>
      <c r="X69" s="6">
        <f t="shared" si="50"/>
        <v>-600</v>
      </c>
      <c r="Y69" s="2"/>
      <c r="Z69" s="7">
        <f t="shared" si="51"/>
        <v>-1</v>
      </c>
    </row>
    <row r="70" spans="1:26" s="24" customFormat="1" hidden="1" outlineLevel="2" x14ac:dyDescent="0.25">
      <c r="A70" s="26"/>
      <c r="B70" s="11" t="str">
        <f>CONCATENATE("          ", "6399", " - ", "DONATION-ON CAMPUS")</f>
        <v xml:space="preserve">          6399 - DONATION-ON CAMPUS</v>
      </c>
      <c r="C70" s="11"/>
      <c r="D70" s="6">
        <v>11203.09</v>
      </c>
      <c r="E70" s="2"/>
      <c r="F70" s="7">
        <f t="shared" si="44"/>
        <v>9.140888990208729E-3</v>
      </c>
      <c r="G70" s="2"/>
      <c r="H70" s="6">
        <v>13100</v>
      </c>
      <c r="I70" s="2"/>
      <c r="J70" s="7">
        <f t="shared" si="45"/>
        <v>9.0409860334019574E-3</v>
      </c>
      <c r="K70" s="2"/>
      <c r="L70" s="6">
        <f t="shared" si="46"/>
        <v>-1896.9099999999999</v>
      </c>
      <c r="M70" s="2"/>
      <c r="N70" s="7">
        <f t="shared" si="47"/>
        <v>-0.14480229007633585</v>
      </c>
      <c r="O70" s="11"/>
      <c r="P70" s="6">
        <v>77610.509999999995</v>
      </c>
      <c r="Q70" s="2"/>
      <c r="R70" s="7">
        <f t="shared" si="48"/>
        <v>8.4490842834633231E-3</v>
      </c>
      <c r="S70" s="2"/>
      <c r="T70" s="6">
        <v>72990</v>
      </c>
      <c r="U70" s="2"/>
      <c r="V70" s="7">
        <f t="shared" si="49"/>
        <v>7.5195406064464685E-3</v>
      </c>
      <c r="W70" s="2"/>
      <c r="X70" s="6">
        <f t="shared" si="50"/>
        <v>4620.5099999999948</v>
      </c>
      <c r="Y70" s="2"/>
      <c r="Z70" s="7">
        <f t="shared" si="51"/>
        <v>6.3303329223181187E-2</v>
      </c>
    </row>
    <row r="71" spans="1:26" s="25" customFormat="1" outlineLevel="1" collapsed="1" x14ac:dyDescent="0.25">
      <c r="A71" s="27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SUM(OSRRefD22_7x_0)</f>
        <v>385.99</v>
      </c>
      <c r="E71" s="1"/>
      <c r="F71" s="5">
        <f t="shared" ref="F71:F79" si="52">IF(D$12=0,0,D71/D$12)</f>
        <v>3.149391588687288E-4</v>
      </c>
      <c r="G71" s="1"/>
      <c r="H71" s="1">
        <f>SUM(OSRRefH22_7x_0)</f>
        <v>2970</v>
      </c>
      <c r="I71" s="1"/>
      <c r="J71" s="5">
        <f t="shared" ref="J71:J79" si="53">IF(H$12=0,0,H71/H$12)</f>
        <v>2.0497502686415126E-3</v>
      </c>
      <c r="K71" s="1"/>
      <c r="L71" s="1">
        <f t="shared" ref="L71:L79" si="54">+D71-H71</f>
        <v>-2584.0100000000002</v>
      </c>
      <c r="M71" s="1"/>
      <c r="N71" s="5">
        <f t="shared" ref="N71:N79" si="55">IF(H71=0,0,L71/H71)</f>
        <v>-0.87003703703703716</v>
      </c>
      <c r="O71" s="13"/>
      <c r="P71" s="1">
        <f>SUM(OSRRefP22_7x_0)</f>
        <v>2393.5500000000002</v>
      </c>
      <c r="Q71" s="1"/>
      <c r="R71" s="5">
        <f t="shared" ref="R71:R79" si="56">IF(P$12=0,0,P71/P$12)</f>
        <v>2.6057431766243565E-4</v>
      </c>
      <c r="S71" s="1"/>
      <c r="T71" s="1">
        <f>SUM(OSRRefT22_7x_0)</f>
        <v>7665</v>
      </c>
      <c r="U71" s="1"/>
      <c r="V71" s="5">
        <f t="shared" ref="V71:V79" si="57">IF(T$12=0,0,T71/T$12)</f>
        <v>7.896599362708889E-4</v>
      </c>
      <c r="W71" s="1"/>
      <c r="X71" s="1">
        <f t="shared" ref="X71:X79" si="58">+P71-T71</f>
        <v>-5271.45</v>
      </c>
      <c r="Y71" s="1"/>
      <c r="Z71" s="5">
        <f t="shared" ref="Z71:Z79" si="59">IF(T71=0,0,X71/T71)</f>
        <v>-0.68772994129158516</v>
      </c>
    </row>
    <row r="72" spans="1:26" s="24" customFormat="1" hidden="1" outlineLevel="2" x14ac:dyDescent="0.25">
      <c r="A72" s="26"/>
      <c r="B72" s="11" t="str">
        <f>CONCATENATE("          ", "6277", " - ", "EMPLOYEE APPRECIATION")</f>
        <v xml:space="preserve">          6277 - EMPLOYEE APPRECIATION</v>
      </c>
      <c r="C72" s="11"/>
      <c r="D72" s="6">
        <v>385.99</v>
      </c>
      <c r="E72" s="2"/>
      <c r="F72" s="7">
        <f t="shared" si="52"/>
        <v>3.149391588687288E-4</v>
      </c>
      <c r="G72" s="2"/>
      <c r="H72" s="6">
        <v>2970</v>
      </c>
      <c r="I72" s="2"/>
      <c r="J72" s="7">
        <f t="shared" si="53"/>
        <v>2.0497502686415126E-3</v>
      </c>
      <c r="K72" s="2"/>
      <c r="L72" s="6">
        <f t="shared" si="54"/>
        <v>-2584.0100000000002</v>
      </c>
      <c r="M72" s="2"/>
      <c r="N72" s="7">
        <f t="shared" si="55"/>
        <v>-0.87003703703703716</v>
      </c>
      <c r="O72" s="11"/>
      <c r="P72" s="6">
        <v>2393.5500000000002</v>
      </c>
      <c r="Q72" s="2"/>
      <c r="R72" s="7">
        <f t="shared" si="56"/>
        <v>2.6057431766243565E-4</v>
      </c>
      <c r="S72" s="2"/>
      <c r="T72" s="6">
        <v>7665</v>
      </c>
      <c r="U72" s="2"/>
      <c r="V72" s="7">
        <f t="shared" si="57"/>
        <v>7.896599362708889E-4</v>
      </c>
      <c r="W72" s="2"/>
      <c r="X72" s="6">
        <f t="shared" si="58"/>
        <v>-5271.45</v>
      </c>
      <c r="Y72" s="2"/>
      <c r="Z72" s="7">
        <f t="shared" si="59"/>
        <v>-0.68772994129158516</v>
      </c>
    </row>
    <row r="73" spans="1:26" s="25" customFormat="1" outlineLevel="1" collapsed="1" x14ac:dyDescent="0.25">
      <c r="A73" s="27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SUM(OSRRefD22_8x_0)</f>
        <v>2902.95</v>
      </c>
      <c r="E73" s="1"/>
      <c r="F73" s="5">
        <f t="shared" si="52"/>
        <v>2.3685914952148402E-3</v>
      </c>
      <c r="G73" s="1"/>
      <c r="H73" s="1">
        <f>SUM(OSRRefH22_8x_0)</f>
        <v>1835</v>
      </c>
      <c r="I73" s="1"/>
      <c r="J73" s="5">
        <f t="shared" si="53"/>
        <v>1.2664281962818773E-3</v>
      </c>
      <c r="K73" s="1"/>
      <c r="L73" s="1">
        <f t="shared" si="54"/>
        <v>1067.9499999999998</v>
      </c>
      <c r="M73" s="1"/>
      <c r="N73" s="5">
        <f t="shared" si="55"/>
        <v>0.5819891008174386</v>
      </c>
      <c r="O73" s="13"/>
      <c r="P73" s="1">
        <f>SUM(OSRRefP22_8x_0)</f>
        <v>17665.63</v>
      </c>
      <c r="Q73" s="1"/>
      <c r="R73" s="5">
        <f t="shared" si="56"/>
        <v>1.9231724774193366E-3</v>
      </c>
      <c r="S73" s="1"/>
      <c r="T73" s="1">
        <f>SUM(OSRRefT22_8x_0)</f>
        <v>13266</v>
      </c>
      <c r="U73" s="1"/>
      <c r="V73" s="5">
        <f t="shared" si="57"/>
        <v>1.3666834591741176E-3</v>
      </c>
      <c r="W73" s="1"/>
      <c r="X73" s="1">
        <f t="shared" si="58"/>
        <v>4399.630000000001</v>
      </c>
      <c r="Y73" s="1"/>
      <c r="Z73" s="5">
        <f t="shared" si="59"/>
        <v>0.33164706769184388</v>
      </c>
    </row>
    <row r="74" spans="1:26" s="24" customFormat="1" hidden="1" outlineLevel="2" x14ac:dyDescent="0.25">
      <c r="A74" s="26"/>
      <c r="B74" s="11" t="str">
        <f>CONCATENATE("          ", "6351", " - ", "EQUIPMENT RENTAL")</f>
        <v xml:space="preserve">          6351 - EQUIPMENT RENTAL</v>
      </c>
      <c r="C74" s="11"/>
      <c r="D74" s="6">
        <v>2902.95</v>
      </c>
      <c r="E74" s="2"/>
      <c r="F74" s="7">
        <f t="shared" si="52"/>
        <v>2.3685914952148402E-3</v>
      </c>
      <c r="G74" s="2"/>
      <c r="H74" s="6">
        <v>1835</v>
      </c>
      <c r="I74" s="2"/>
      <c r="J74" s="7">
        <f t="shared" si="53"/>
        <v>1.2664281962818773E-3</v>
      </c>
      <c r="K74" s="2"/>
      <c r="L74" s="6">
        <f t="shared" si="54"/>
        <v>1067.9499999999998</v>
      </c>
      <c r="M74" s="2"/>
      <c r="N74" s="7">
        <f t="shared" si="55"/>
        <v>0.5819891008174386</v>
      </c>
      <c r="O74" s="11"/>
      <c r="P74" s="6">
        <v>17665.63</v>
      </c>
      <c r="Q74" s="2"/>
      <c r="R74" s="7">
        <f t="shared" si="56"/>
        <v>1.9231724774193366E-3</v>
      </c>
      <c r="S74" s="2"/>
      <c r="T74" s="6">
        <v>13266</v>
      </c>
      <c r="U74" s="2"/>
      <c r="V74" s="7">
        <f t="shared" si="57"/>
        <v>1.3666834591741176E-3</v>
      </c>
      <c r="W74" s="2"/>
      <c r="X74" s="6">
        <f t="shared" si="58"/>
        <v>4399.630000000001</v>
      </c>
      <c r="Y74" s="2"/>
      <c r="Z74" s="7">
        <f t="shared" si="59"/>
        <v>0.33164706769184388</v>
      </c>
    </row>
    <row r="75" spans="1:26" s="25" customFormat="1" outlineLevel="1" collapsed="1" x14ac:dyDescent="0.25">
      <c r="A75" s="27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SUM(OSRRefD22_9x_0)</f>
        <v>0</v>
      </c>
      <c r="E75" s="1"/>
      <c r="F75" s="5">
        <f t="shared" si="52"/>
        <v>0</v>
      </c>
      <c r="G75" s="1"/>
      <c r="H75" s="1">
        <f>SUM(OSRRefH22_9x_0)</f>
        <v>1</v>
      </c>
      <c r="I75" s="1"/>
      <c r="J75" s="5">
        <f t="shared" si="53"/>
        <v>6.9015160560320283E-7</v>
      </c>
      <c r="K75" s="1"/>
      <c r="L75" s="1">
        <f t="shared" si="54"/>
        <v>-1</v>
      </c>
      <c r="M75" s="1"/>
      <c r="N75" s="5">
        <f t="shared" si="55"/>
        <v>-1</v>
      </c>
      <c r="O75" s="13"/>
      <c r="P75" s="1">
        <f>SUM(OSRRefP22_9x_0)</f>
        <v>0</v>
      </c>
      <c r="Q75" s="1"/>
      <c r="R75" s="5">
        <f t="shared" si="56"/>
        <v>0</v>
      </c>
      <c r="S75" s="1"/>
      <c r="T75" s="1">
        <f>SUM(OSRRefT22_9x_0)</f>
        <v>6</v>
      </c>
      <c r="U75" s="1"/>
      <c r="V75" s="5">
        <f t="shared" si="57"/>
        <v>6.1812910862691893E-7</v>
      </c>
      <c r="W75" s="1"/>
      <c r="X75" s="1">
        <f t="shared" si="58"/>
        <v>-6</v>
      </c>
      <c r="Y75" s="1"/>
      <c r="Z75" s="5">
        <f t="shared" si="59"/>
        <v>-1</v>
      </c>
    </row>
    <row r="76" spans="1:26" s="24" customFormat="1" hidden="1" outlineLevel="2" x14ac:dyDescent="0.25">
      <c r="A76" s="26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52"/>
        <v>0</v>
      </c>
      <c r="G76" s="2"/>
      <c r="H76" s="6">
        <v>1</v>
      </c>
      <c r="I76" s="2"/>
      <c r="J76" s="7">
        <f t="shared" si="53"/>
        <v>6.9015160560320283E-7</v>
      </c>
      <c r="K76" s="2"/>
      <c r="L76" s="6">
        <f t="shared" si="54"/>
        <v>-1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6</v>
      </c>
      <c r="U76" s="2"/>
      <c r="V76" s="7">
        <f t="shared" si="57"/>
        <v>6.1812910862691893E-7</v>
      </c>
      <c r="W76" s="2"/>
      <c r="X76" s="6">
        <f t="shared" si="58"/>
        <v>-6</v>
      </c>
      <c r="Y76" s="2"/>
      <c r="Z76" s="7">
        <f t="shared" si="59"/>
        <v>-1</v>
      </c>
    </row>
    <row r="77" spans="1:26" s="25" customFormat="1" outlineLevel="1" collapsed="1" x14ac:dyDescent="0.25">
      <c r="A77" s="27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SUM(OSRRefD22_10x_0)</f>
        <v>4979.25</v>
      </c>
      <c r="E77" s="1"/>
      <c r="F77" s="5">
        <f t="shared" si="52"/>
        <v>4.0626980149670146E-3</v>
      </c>
      <c r="G77" s="1"/>
      <c r="H77" s="1">
        <f>SUM(OSRRefH22_10x_0)</f>
        <v>4518</v>
      </c>
      <c r="I77" s="1"/>
      <c r="J77" s="5">
        <f t="shared" si="53"/>
        <v>3.1181049541152703E-3</v>
      </c>
      <c r="K77" s="1"/>
      <c r="L77" s="1">
        <f t="shared" si="54"/>
        <v>461.25</v>
      </c>
      <c r="M77" s="1"/>
      <c r="N77" s="5">
        <f t="shared" si="55"/>
        <v>0.10209163346613546</v>
      </c>
      <c r="O77" s="13"/>
      <c r="P77" s="1">
        <f>SUM(OSRRefP22_10x_0)</f>
        <v>72981.320000000007</v>
      </c>
      <c r="Q77" s="1"/>
      <c r="R77" s="5">
        <f t="shared" si="56"/>
        <v>7.9451265530713251E-3</v>
      </c>
      <c r="S77" s="1"/>
      <c r="T77" s="1">
        <f>SUM(OSRRefT22_10x_0)</f>
        <v>39760</v>
      </c>
      <c r="U77" s="1"/>
      <c r="V77" s="5">
        <f t="shared" si="57"/>
        <v>4.0961355598343827E-3</v>
      </c>
      <c r="W77" s="1"/>
      <c r="X77" s="1">
        <f t="shared" si="58"/>
        <v>33221.320000000007</v>
      </c>
      <c r="Y77" s="1"/>
      <c r="Z77" s="5">
        <f t="shared" si="59"/>
        <v>0.83554627766599621</v>
      </c>
    </row>
    <row r="78" spans="1:26" s="24" customFormat="1" hidden="1" outlineLevel="2" x14ac:dyDescent="0.25">
      <c r="A78" s="26"/>
      <c r="B78" s="11" t="str">
        <f>CONCATENATE("          ", "6269", " - ", "ENTERTAINMENT")</f>
        <v xml:space="preserve">          6269 - ENTERTAINMENT</v>
      </c>
      <c r="C78" s="11"/>
      <c r="D78" s="6">
        <v>1250</v>
      </c>
      <c r="E78" s="2"/>
      <c r="F78" s="7">
        <f t="shared" si="52"/>
        <v>1.0199071182826266E-3</v>
      </c>
      <c r="G78" s="2"/>
      <c r="H78" s="6">
        <v>600</v>
      </c>
      <c r="I78" s="2"/>
      <c r="J78" s="7">
        <f t="shared" si="53"/>
        <v>4.1409096336192169E-4</v>
      </c>
      <c r="K78" s="2"/>
      <c r="L78" s="6">
        <f t="shared" si="54"/>
        <v>650</v>
      </c>
      <c r="M78" s="2"/>
      <c r="N78" s="7">
        <f t="shared" si="55"/>
        <v>1.0833333333333333</v>
      </c>
      <c r="O78" s="11"/>
      <c r="P78" s="6">
        <v>7350</v>
      </c>
      <c r="Q78" s="2"/>
      <c r="R78" s="7">
        <f t="shared" si="56"/>
        <v>8.0015927589517741E-4</v>
      </c>
      <c r="S78" s="2"/>
      <c r="T78" s="6">
        <v>4350</v>
      </c>
      <c r="U78" s="2"/>
      <c r="V78" s="7">
        <f t="shared" si="57"/>
        <v>4.4814360375451618E-4</v>
      </c>
      <c r="W78" s="2"/>
      <c r="X78" s="6">
        <f t="shared" si="58"/>
        <v>3000</v>
      </c>
      <c r="Y78" s="2"/>
      <c r="Z78" s="7">
        <f t="shared" si="59"/>
        <v>0.68965517241379315</v>
      </c>
    </row>
    <row r="79" spans="1:26" s="24" customFormat="1" hidden="1" outlineLevel="2" x14ac:dyDescent="0.25">
      <c r="A79" s="26"/>
      <c r="B79" s="11" t="str">
        <f>CONCATENATE("          ", "6279", " - ", "GENERAL EXPENSE")</f>
        <v xml:space="preserve">          6279 - GENERAL EXPENSE</v>
      </c>
      <c r="C79" s="11"/>
      <c r="D79" s="6">
        <v>3729.25</v>
      </c>
      <c r="E79" s="2"/>
      <c r="F79" s="7">
        <f t="shared" si="52"/>
        <v>3.0427908966843878E-3</v>
      </c>
      <c r="G79" s="2"/>
      <c r="H79" s="6">
        <v>3918</v>
      </c>
      <c r="I79" s="2"/>
      <c r="J79" s="7">
        <f t="shared" si="53"/>
        <v>2.7040139907533486E-3</v>
      </c>
      <c r="K79" s="2"/>
      <c r="L79" s="6">
        <f t="shared" si="54"/>
        <v>-188.75</v>
      </c>
      <c r="M79" s="2"/>
      <c r="N79" s="7">
        <f t="shared" si="55"/>
        <v>-4.8175089331291478E-2</v>
      </c>
      <c r="O79" s="11"/>
      <c r="P79" s="6">
        <v>65631.320000000007</v>
      </c>
      <c r="Q79" s="2"/>
      <c r="R79" s="7">
        <f t="shared" si="56"/>
        <v>7.1449672771761478E-3</v>
      </c>
      <c r="S79" s="2"/>
      <c r="T79" s="6">
        <v>35410</v>
      </c>
      <c r="U79" s="2"/>
      <c r="V79" s="7">
        <f t="shared" si="57"/>
        <v>3.6479919560798665E-3</v>
      </c>
      <c r="W79" s="2"/>
      <c r="X79" s="6">
        <f t="shared" si="58"/>
        <v>30221.320000000007</v>
      </c>
      <c r="Y79" s="2"/>
      <c r="Z79" s="7">
        <f t="shared" si="59"/>
        <v>0.85346851171985338</v>
      </c>
    </row>
    <row r="80" spans="1:26" s="25" customFormat="1" outlineLevel="1" collapsed="1" x14ac:dyDescent="0.25">
      <c r="A80" s="27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SUM(OSRRefD22_11x_0)</f>
        <v>4246.03</v>
      </c>
      <c r="E80" s="1"/>
      <c r="F80" s="5">
        <f t="shared" ref="F80:F94" si="60">IF(D$12=0,0,D80/D$12)</f>
        <v>3.4644449771532642E-3</v>
      </c>
      <c r="G80" s="1"/>
      <c r="H80" s="1">
        <f>SUM(OSRRefH22_11x_0)</f>
        <v>4009</v>
      </c>
      <c r="I80" s="1"/>
      <c r="J80" s="5">
        <f t="shared" ref="J80:J94" si="61">IF(H$12=0,0,H80/H$12)</f>
        <v>2.7668177868632403E-3</v>
      </c>
      <c r="K80" s="1"/>
      <c r="L80" s="1">
        <f t="shared" ref="L80:L94" si="62">+D80-H80</f>
        <v>237.02999999999975</v>
      </c>
      <c r="M80" s="1"/>
      <c r="N80" s="5">
        <f t="shared" ref="N80:N94" si="63">IF(H80=0,0,L80/H80)</f>
        <v>5.9124469942629022E-2</v>
      </c>
      <c r="O80" s="13"/>
      <c r="P80" s="1">
        <f>SUM(OSRRefP22_11x_0)</f>
        <v>25476.18</v>
      </c>
      <c r="Q80" s="1"/>
      <c r="R80" s="5">
        <f t="shared" ref="R80:R94" si="64">IF(P$12=0,0,P80/P$12)</f>
        <v>2.7734696246768981E-3</v>
      </c>
      <c r="S80" s="1"/>
      <c r="T80" s="1">
        <f>SUM(OSRRefT22_11x_0)</f>
        <v>24054</v>
      </c>
      <c r="U80" s="1"/>
      <c r="V80" s="5">
        <f t="shared" ref="V80:V94" si="65">IF(T$12=0,0,T80/T$12)</f>
        <v>2.478079596485318E-3</v>
      </c>
      <c r="W80" s="1"/>
      <c r="X80" s="1">
        <f t="shared" ref="X80:X94" si="66">+P80-T80</f>
        <v>1422.1800000000003</v>
      </c>
      <c r="Y80" s="1"/>
      <c r="Z80" s="5">
        <f t="shared" ref="Z80:Z94" si="67">IF(T80=0,0,X80/T80)</f>
        <v>5.9124469942629099E-2</v>
      </c>
    </row>
    <row r="81" spans="1:26" s="24" customFormat="1" hidden="1" outlineLevel="2" x14ac:dyDescent="0.25">
      <c r="A81" s="26"/>
      <c r="B81" s="11" t="str">
        <f>CONCATENATE("          ", "6314", " - ", "LIABILITY INSURANCE")</f>
        <v xml:space="preserve">          6314 - LIABILITY INSURANCE</v>
      </c>
      <c r="C81" s="11"/>
      <c r="D81" s="6">
        <v>4246.03</v>
      </c>
      <c r="E81" s="2"/>
      <c r="F81" s="7">
        <f t="shared" si="60"/>
        <v>3.4644449771532642E-3</v>
      </c>
      <c r="G81" s="2"/>
      <c r="H81" s="6">
        <v>4009</v>
      </c>
      <c r="I81" s="2"/>
      <c r="J81" s="7">
        <f t="shared" si="61"/>
        <v>2.7668177868632403E-3</v>
      </c>
      <c r="K81" s="2"/>
      <c r="L81" s="6">
        <f t="shared" si="62"/>
        <v>237.02999999999975</v>
      </c>
      <c r="M81" s="2"/>
      <c r="N81" s="7">
        <f t="shared" si="63"/>
        <v>5.9124469942629022E-2</v>
      </c>
      <c r="O81" s="11"/>
      <c r="P81" s="6">
        <v>25476.18</v>
      </c>
      <c r="Q81" s="2"/>
      <c r="R81" s="7">
        <f t="shared" si="64"/>
        <v>2.7734696246768981E-3</v>
      </c>
      <c r="S81" s="2"/>
      <c r="T81" s="6">
        <v>24054</v>
      </c>
      <c r="U81" s="2"/>
      <c r="V81" s="7">
        <f t="shared" si="65"/>
        <v>2.478079596485318E-3</v>
      </c>
      <c r="W81" s="2"/>
      <c r="X81" s="6">
        <f t="shared" si="66"/>
        <v>1422.1800000000003</v>
      </c>
      <c r="Y81" s="2"/>
      <c r="Z81" s="7">
        <f t="shared" si="67"/>
        <v>5.9124469942629099E-2</v>
      </c>
    </row>
    <row r="82" spans="1:26" s="25" customFormat="1" outlineLevel="1" collapsed="1" x14ac:dyDescent="0.25">
      <c r="A82" s="27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SUM(OSRRefD22_12x_0)</f>
        <v>7754</v>
      </c>
      <c r="E82" s="1"/>
      <c r="F82" s="5">
        <f t="shared" si="60"/>
        <v>6.3266878361307888E-3</v>
      </c>
      <c r="G82" s="1"/>
      <c r="H82" s="1">
        <f>SUM(OSRRefH22_12x_0)</f>
        <v>7754</v>
      </c>
      <c r="I82" s="1"/>
      <c r="J82" s="5">
        <f t="shared" si="61"/>
        <v>5.3514355498472353E-3</v>
      </c>
      <c r="K82" s="1"/>
      <c r="L82" s="1">
        <f t="shared" si="62"/>
        <v>0</v>
      </c>
      <c r="M82" s="1"/>
      <c r="N82" s="5">
        <f t="shared" si="63"/>
        <v>0</v>
      </c>
      <c r="O82" s="13"/>
      <c r="P82" s="1">
        <f>SUM(OSRRefP22_12x_0)</f>
        <v>46131.049999999996</v>
      </c>
      <c r="Q82" s="1"/>
      <c r="R82" s="5">
        <f t="shared" si="64"/>
        <v>5.0220663352767651E-3</v>
      </c>
      <c r="S82" s="1"/>
      <c r="T82" s="1">
        <f>SUM(OSRRefT22_12x_0)</f>
        <v>46524</v>
      </c>
      <c r="U82" s="1"/>
      <c r="V82" s="5">
        <f t="shared" si="65"/>
        <v>4.7929731082931295E-3</v>
      </c>
      <c r="W82" s="1"/>
      <c r="X82" s="1">
        <f t="shared" si="66"/>
        <v>-392.95000000000437</v>
      </c>
      <c r="Y82" s="1"/>
      <c r="Z82" s="5">
        <f t="shared" si="67"/>
        <v>-8.4461783165678869E-3</v>
      </c>
    </row>
    <row r="83" spans="1:26" s="24" customFormat="1" hidden="1" outlineLevel="2" x14ac:dyDescent="0.25">
      <c r="A83" s="26"/>
      <c r="B83" s="11" t="str">
        <f>CONCATENATE("          ", "6401", " - ", "INTEREST EXPENSE")</f>
        <v xml:space="preserve">          6401 - INTEREST EXPENSE</v>
      </c>
      <c r="C83" s="11"/>
      <c r="D83" s="6">
        <v>7754</v>
      </c>
      <c r="E83" s="2"/>
      <c r="F83" s="7">
        <f t="shared" si="60"/>
        <v>6.3266878361307888E-3</v>
      </c>
      <c r="G83" s="2"/>
      <c r="H83" s="6">
        <v>7754</v>
      </c>
      <c r="I83" s="2"/>
      <c r="J83" s="7">
        <f t="shared" si="61"/>
        <v>5.3514355498472353E-3</v>
      </c>
      <c r="K83" s="2"/>
      <c r="L83" s="6">
        <f t="shared" si="62"/>
        <v>0</v>
      </c>
      <c r="M83" s="2"/>
      <c r="N83" s="7">
        <f t="shared" si="63"/>
        <v>0</v>
      </c>
      <c r="O83" s="11"/>
      <c r="P83" s="6">
        <v>46131.049999999996</v>
      </c>
      <c r="Q83" s="2"/>
      <c r="R83" s="7">
        <f t="shared" si="64"/>
        <v>5.0220663352767651E-3</v>
      </c>
      <c r="S83" s="2"/>
      <c r="T83" s="6">
        <v>46524</v>
      </c>
      <c r="U83" s="2"/>
      <c r="V83" s="7">
        <f t="shared" si="65"/>
        <v>4.7929731082931295E-3</v>
      </c>
      <c r="W83" s="2"/>
      <c r="X83" s="6">
        <f t="shared" si="66"/>
        <v>-392.95000000000437</v>
      </c>
      <c r="Y83" s="2"/>
      <c r="Z83" s="7">
        <f t="shared" si="67"/>
        <v>-8.4461783165678869E-3</v>
      </c>
    </row>
    <row r="84" spans="1:26" s="25" customFormat="1" outlineLevel="1" collapsed="1" x14ac:dyDescent="0.25">
      <c r="A84" s="27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SUM(OSRRefD22_13x_0)</f>
        <v>0</v>
      </c>
      <c r="E84" s="1"/>
      <c r="F84" s="5">
        <f t="shared" si="60"/>
        <v>0</v>
      </c>
      <c r="G84" s="1"/>
      <c r="H84" s="1">
        <f>SUM(OSRRefH22_13x_0)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125</v>
      </c>
      <c r="Q84" s="1"/>
      <c r="R84" s="5">
        <f t="shared" si="64"/>
        <v>1.3608150950598256E-5</v>
      </c>
      <c r="S84" s="1"/>
      <c r="T84" s="1">
        <f>SUM(OSRRefT22_13x_0)</f>
        <v>0</v>
      </c>
      <c r="U84" s="1"/>
      <c r="V84" s="5">
        <f t="shared" si="65"/>
        <v>0</v>
      </c>
      <c r="W84" s="1"/>
      <c r="X84" s="1">
        <f t="shared" si="66"/>
        <v>125</v>
      </c>
      <c r="Y84" s="1"/>
      <c r="Z84" s="5">
        <f t="shared" si="67"/>
        <v>0</v>
      </c>
    </row>
    <row r="85" spans="1:26" s="24" customFormat="1" hidden="1" outlineLevel="2" x14ac:dyDescent="0.25">
      <c r="A85" s="26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60"/>
        <v>0</v>
      </c>
      <c r="G85" s="2"/>
      <c r="H85" s="6"/>
      <c r="I85" s="2"/>
      <c r="J85" s="7">
        <f t="shared" si="61"/>
        <v>0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125</v>
      </c>
      <c r="Q85" s="2"/>
      <c r="R85" s="7">
        <f t="shared" si="64"/>
        <v>1.3608150950598256E-5</v>
      </c>
      <c r="S85" s="2"/>
      <c r="T85" s="6"/>
      <c r="U85" s="2"/>
      <c r="V85" s="7">
        <f t="shared" si="65"/>
        <v>0</v>
      </c>
      <c r="W85" s="2"/>
      <c r="X85" s="6">
        <f t="shared" si="66"/>
        <v>125</v>
      </c>
      <c r="Y85" s="2"/>
      <c r="Z85" s="7">
        <f t="shared" si="67"/>
        <v>0</v>
      </c>
    </row>
    <row r="86" spans="1:26" s="25" customFormat="1" outlineLevel="1" collapsed="1" x14ac:dyDescent="0.25">
      <c r="A86" s="27"/>
      <c r="B86" s="13" t="str">
        <f>CONCATENATE("     ","R/H Commissions                                   ")</f>
        <v xml:space="preserve">     R/H Commissions                                   </v>
      </c>
      <c r="C86" s="13"/>
      <c r="D86" s="1">
        <f>SUM(OSRRefD22_14x_0)</f>
        <v>64695.709999999992</v>
      </c>
      <c r="E86" s="1"/>
      <c r="F86" s="5">
        <f t="shared" si="60"/>
        <v>5.2786892121078795E-2</v>
      </c>
      <c r="G86" s="1"/>
      <c r="H86" s="1">
        <f>SUM(OSRRefH22_14x_0)</f>
        <v>68698</v>
      </c>
      <c r="I86" s="1"/>
      <c r="J86" s="5">
        <f t="shared" si="61"/>
        <v>4.7412035001728831E-2</v>
      </c>
      <c r="K86" s="1"/>
      <c r="L86" s="1">
        <f t="shared" si="62"/>
        <v>-4002.2900000000081</v>
      </c>
      <c r="M86" s="1"/>
      <c r="N86" s="5">
        <f t="shared" si="63"/>
        <v>-5.8259192407348219E-2</v>
      </c>
      <c r="O86" s="13"/>
      <c r="P86" s="1">
        <f>SUM(OSRRefP22_14x_0)</f>
        <v>471590.87</v>
      </c>
      <c r="Q86" s="1"/>
      <c r="R86" s="5">
        <f t="shared" si="64"/>
        <v>5.1339837967071665E-2</v>
      </c>
      <c r="S86" s="1"/>
      <c r="T86" s="1">
        <f>SUM(OSRRefT22_14x_0)</f>
        <v>483902</v>
      </c>
      <c r="U86" s="1"/>
      <c r="V86" s="5">
        <f t="shared" si="65"/>
        <v>4.9852318653797217E-2</v>
      </c>
      <c r="W86" s="1"/>
      <c r="X86" s="1">
        <f t="shared" si="66"/>
        <v>-12311.130000000005</v>
      </c>
      <c r="Y86" s="1"/>
      <c r="Z86" s="5">
        <f t="shared" si="67"/>
        <v>-2.5441370360114249E-2</v>
      </c>
    </row>
    <row r="87" spans="1:26" s="24" customFormat="1" hidden="1" outlineLevel="2" x14ac:dyDescent="0.25">
      <c r="A87" s="26"/>
      <c r="B87" s="11" t="str">
        <f>CONCATENATE("          ", "6387", " - ", "COMMISSION DUE HOUSING")</f>
        <v xml:space="preserve">          6387 - COMMISSION DUE HOUSING</v>
      </c>
      <c r="C87" s="11"/>
      <c r="D87" s="6">
        <v>64695.709999999992</v>
      </c>
      <c r="E87" s="2"/>
      <c r="F87" s="7">
        <f t="shared" si="60"/>
        <v>5.2786892121078795E-2</v>
      </c>
      <c r="G87" s="2"/>
      <c r="H87" s="6">
        <v>68698</v>
      </c>
      <c r="I87" s="2"/>
      <c r="J87" s="7">
        <f t="shared" si="61"/>
        <v>4.7412035001728831E-2</v>
      </c>
      <c r="K87" s="2"/>
      <c r="L87" s="6">
        <f t="shared" si="62"/>
        <v>-4002.2900000000081</v>
      </c>
      <c r="M87" s="2"/>
      <c r="N87" s="7">
        <f t="shared" si="63"/>
        <v>-5.8259192407348219E-2</v>
      </c>
      <c r="O87" s="11"/>
      <c r="P87" s="6">
        <v>471590.87</v>
      </c>
      <c r="Q87" s="2"/>
      <c r="R87" s="7">
        <f t="shared" si="64"/>
        <v>5.1339837967071665E-2</v>
      </c>
      <c r="S87" s="2"/>
      <c r="T87" s="6">
        <v>483902</v>
      </c>
      <c r="U87" s="2"/>
      <c r="V87" s="7">
        <f t="shared" si="65"/>
        <v>4.9852318653797217E-2</v>
      </c>
      <c r="W87" s="2"/>
      <c r="X87" s="6">
        <f t="shared" si="66"/>
        <v>-12311.130000000005</v>
      </c>
      <c r="Y87" s="2"/>
      <c r="Z87" s="7">
        <f t="shared" si="67"/>
        <v>-2.5441370360114249E-2</v>
      </c>
    </row>
    <row r="88" spans="1:26" s="25" customFormat="1" outlineLevel="1" collapsed="1" x14ac:dyDescent="0.25">
      <c r="A88" s="27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1850</v>
      </c>
      <c r="E88" s="1"/>
      <c r="F88" s="5">
        <f t="shared" si="60"/>
        <v>1.5094625350582872E-3</v>
      </c>
      <c r="G88" s="1"/>
      <c r="H88" s="1">
        <f>SUM(OSRRefH22_15x_0)</f>
        <v>1850</v>
      </c>
      <c r="I88" s="1"/>
      <c r="J88" s="5">
        <f t="shared" si="61"/>
        <v>1.2767804703659252E-3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SUM(OSRRefP22_15x_0)</f>
        <v>11100</v>
      </c>
      <c r="Q88" s="1"/>
      <c r="R88" s="5">
        <f t="shared" si="64"/>
        <v>1.2084038044131251E-3</v>
      </c>
      <c r="S88" s="1"/>
      <c r="T88" s="1">
        <f>SUM(OSRRefT22_15x_0)</f>
        <v>11100</v>
      </c>
      <c r="U88" s="1"/>
      <c r="V88" s="5">
        <f t="shared" si="65"/>
        <v>1.1435388509598E-3</v>
      </c>
      <c r="W88" s="1"/>
      <c r="X88" s="1">
        <f t="shared" si="66"/>
        <v>0</v>
      </c>
      <c r="Y88" s="1"/>
      <c r="Z88" s="5">
        <f t="shared" si="67"/>
        <v>0</v>
      </c>
    </row>
    <row r="89" spans="1:26" s="24" customFormat="1" hidden="1" outlineLevel="2" x14ac:dyDescent="0.25">
      <c r="A89" s="26"/>
      <c r="B89" s="11" t="str">
        <f>CONCATENATE("          ", "6273", " - ", "RENT")</f>
        <v xml:space="preserve">          6273 - RENT</v>
      </c>
      <c r="C89" s="11"/>
      <c r="D89" s="6">
        <v>1850</v>
      </c>
      <c r="E89" s="2"/>
      <c r="F89" s="7">
        <f t="shared" si="60"/>
        <v>1.5094625350582872E-3</v>
      </c>
      <c r="G89" s="2"/>
      <c r="H89" s="6">
        <v>1850</v>
      </c>
      <c r="I89" s="2"/>
      <c r="J89" s="7">
        <f t="shared" si="61"/>
        <v>1.2767804703659252E-3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11100</v>
      </c>
      <c r="Q89" s="2"/>
      <c r="R89" s="7">
        <f t="shared" si="64"/>
        <v>1.2084038044131251E-3</v>
      </c>
      <c r="S89" s="2"/>
      <c r="T89" s="6">
        <v>11100</v>
      </c>
      <c r="U89" s="2"/>
      <c r="V89" s="7">
        <f t="shared" si="65"/>
        <v>1.1435388509598E-3</v>
      </c>
      <c r="W89" s="2"/>
      <c r="X89" s="6">
        <f t="shared" si="66"/>
        <v>0</v>
      </c>
      <c r="Y89" s="2"/>
      <c r="Z89" s="7">
        <f t="shared" si="67"/>
        <v>0</v>
      </c>
    </row>
    <row r="90" spans="1:26" s="25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26144.89</v>
      </c>
      <c r="E90" s="1"/>
      <c r="F90" s="5">
        <f t="shared" si="60"/>
        <v>2.1332287534173006E-2</v>
      </c>
      <c r="G90" s="1"/>
      <c r="H90" s="1">
        <f>SUM(OSRRefH22_16x_0)</f>
        <v>28355</v>
      </c>
      <c r="I90" s="1"/>
      <c r="J90" s="5">
        <f t="shared" si="61"/>
        <v>1.9569248776878816E-2</v>
      </c>
      <c r="K90" s="1"/>
      <c r="L90" s="1">
        <f t="shared" si="62"/>
        <v>-2210.1100000000006</v>
      </c>
      <c r="M90" s="1"/>
      <c r="N90" s="5">
        <f t="shared" si="63"/>
        <v>-7.7944277905131393E-2</v>
      </c>
      <c r="O90" s="13"/>
      <c r="P90" s="1">
        <f>SUM(OSRRefP22_16x_0)</f>
        <v>168259.66</v>
      </c>
      <c r="Q90" s="1"/>
      <c r="R90" s="5">
        <f t="shared" si="64"/>
        <v>1.8317622817410714E-2</v>
      </c>
      <c r="S90" s="1"/>
      <c r="T90" s="1">
        <f>SUM(OSRRefT22_16x_0)</f>
        <v>151933</v>
      </c>
      <c r="U90" s="1"/>
      <c r="V90" s="5">
        <f t="shared" si="65"/>
        <v>1.5652368310168946E-2</v>
      </c>
      <c r="W90" s="1"/>
      <c r="X90" s="1">
        <f t="shared" si="66"/>
        <v>16326.660000000003</v>
      </c>
      <c r="Y90" s="1"/>
      <c r="Z90" s="5">
        <f t="shared" si="67"/>
        <v>0.10745960390435259</v>
      </c>
    </row>
    <row r="91" spans="1:26" s="24" customFormat="1" hidden="1" outlineLevel="2" x14ac:dyDescent="0.25">
      <c r="A91" s="26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60"/>
        <v>0</v>
      </c>
      <c r="G91" s="2"/>
      <c r="H91" s="6">
        <v>1547</v>
      </c>
      <c r="I91" s="2"/>
      <c r="J91" s="7">
        <f t="shared" si="61"/>
        <v>1.0676645338681548E-3</v>
      </c>
      <c r="K91" s="2"/>
      <c r="L91" s="6">
        <f t="shared" si="62"/>
        <v>-1547</v>
      </c>
      <c r="M91" s="2"/>
      <c r="N91" s="7">
        <f t="shared" si="63"/>
        <v>-1</v>
      </c>
      <c r="O91" s="11"/>
      <c r="P91" s="6">
        <v>33750.620000000003</v>
      </c>
      <c r="Q91" s="2"/>
      <c r="R91" s="7">
        <f t="shared" si="64"/>
        <v>3.6742682530902446E-3</v>
      </c>
      <c r="S91" s="2"/>
      <c r="T91" s="6">
        <v>10282</v>
      </c>
      <c r="U91" s="2"/>
      <c r="V91" s="7">
        <f t="shared" si="65"/>
        <v>1.0592672491503299E-3</v>
      </c>
      <c r="W91" s="2"/>
      <c r="X91" s="6">
        <f t="shared" si="66"/>
        <v>23468.620000000003</v>
      </c>
      <c r="Y91" s="2"/>
      <c r="Z91" s="7">
        <f t="shared" si="67"/>
        <v>2.2824956234195684</v>
      </c>
    </row>
    <row r="92" spans="1:26" s="24" customFormat="1" hidden="1" outlineLevel="2" x14ac:dyDescent="0.25">
      <c r="A92" s="26"/>
      <c r="B92" s="11" t="str">
        <f>CONCATENATE("          ", "6372", " - ", "COMPUTER HARDWARE MAINTENANCE")</f>
        <v xml:space="preserve">          6372 - COMPUTER HARDWARE MAINTENANCE</v>
      </c>
      <c r="C92" s="11"/>
      <c r="D92" s="6"/>
      <c r="E92" s="2"/>
      <c r="F92" s="7">
        <f t="shared" si="60"/>
        <v>0</v>
      </c>
      <c r="G92" s="2"/>
      <c r="H92" s="6">
        <v>70</v>
      </c>
      <c r="I92" s="2"/>
      <c r="J92" s="7">
        <f t="shared" si="61"/>
        <v>4.8310612392224201E-5</v>
      </c>
      <c r="K92" s="2"/>
      <c r="L92" s="6">
        <f t="shared" si="62"/>
        <v>-70</v>
      </c>
      <c r="M92" s="2"/>
      <c r="N92" s="7">
        <f t="shared" si="63"/>
        <v>-1</v>
      </c>
      <c r="O92" s="11"/>
      <c r="P92" s="6"/>
      <c r="Q92" s="2"/>
      <c r="R92" s="7">
        <f t="shared" si="64"/>
        <v>0</v>
      </c>
      <c r="S92" s="2"/>
      <c r="T92" s="6">
        <v>340</v>
      </c>
      <c r="U92" s="2"/>
      <c r="V92" s="7">
        <f t="shared" si="65"/>
        <v>3.5027316155525406E-5</v>
      </c>
      <c r="W92" s="2"/>
      <c r="X92" s="6">
        <f t="shared" si="66"/>
        <v>-340</v>
      </c>
      <c r="Y92" s="2"/>
      <c r="Z92" s="7">
        <f t="shared" si="67"/>
        <v>-1</v>
      </c>
    </row>
    <row r="93" spans="1:26" s="24" customFormat="1" hidden="1" outlineLevel="2" x14ac:dyDescent="0.25">
      <c r="A93" s="26"/>
      <c r="B93" s="11" t="str">
        <f>CONCATENATE("          ", "6373", " - ", "MAINTENANCE CONTRACTS")</f>
        <v xml:space="preserve">          6373 - MAINTENANCE CONTRACTS</v>
      </c>
      <c r="C93" s="11"/>
      <c r="D93" s="6">
        <v>17476.52</v>
      </c>
      <c r="E93" s="2"/>
      <c r="F93" s="7">
        <f t="shared" si="60"/>
        <v>1.4259541720646951E-2</v>
      </c>
      <c r="G93" s="2"/>
      <c r="H93" s="6">
        <v>2478</v>
      </c>
      <c r="I93" s="2"/>
      <c r="J93" s="7">
        <f t="shared" si="61"/>
        <v>1.7101956786847367E-3</v>
      </c>
      <c r="K93" s="2"/>
      <c r="L93" s="6">
        <f t="shared" si="62"/>
        <v>14998.52</v>
      </c>
      <c r="M93" s="2"/>
      <c r="N93" s="7">
        <f t="shared" si="63"/>
        <v>6.0526715092816792</v>
      </c>
      <c r="O93" s="11"/>
      <c r="P93" s="6">
        <v>58803.44</v>
      </c>
      <c r="Q93" s="2"/>
      <c r="R93" s="7">
        <f t="shared" si="64"/>
        <v>6.4016487034755801E-3</v>
      </c>
      <c r="S93" s="2"/>
      <c r="T93" s="6">
        <v>17626</v>
      </c>
      <c r="U93" s="2"/>
      <c r="V93" s="7">
        <f t="shared" si="65"/>
        <v>1.8158572781096787E-3</v>
      </c>
      <c r="W93" s="2"/>
      <c r="X93" s="6">
        <f t="shared" si="66"/>
        <v>41177.440000000002</v>
      </c>
      <c r="Y93" s="2"/>
      <c r="Z93" s="7">
        <f t="shared" si="67"/>
        <v>2.3361761034834903</v>
      </c>
    </row>
    <row r="94" spans="1:26" s="24" customFormat="1" hidden="1" outlineLevel="2" x14ac:dyDescent="0.25">
      <c r="A94" s="26"/>
      <c r="B94" s="11" t="str">
        <f>CONCATENATE("          ", "6375", " - ", "OUTSIDE REPAIRS &amp; MAINTENANCE")</f>
        <v xml:space="preserve">          6375 - OUTSIDE REPAIRS &amp; MAINTENANCE</v>
      </c>
      <c r="C94" s="11"/>
      <c r="D94" s="6">
        <v>8668.3700000000008</v>
      </c>
      <c r="E94" s="2"/>
      <c r="F94" s="7">
        <f t="shared" si="60"/>
        <v>7.0727458135260574E-3</v>
      </c>
      <c r="G94" s="2"/>
      <c r="H94" s="6">
        <v>24260</v>
      </c>
      <c r="I94" s="2"/>
      <c r="J94" s="7">
        <f t="shared" si="61"/>
        <v>1.6743077951933701E-2</v>
      </c>
      <c r="K94" s="2"/>
      <c r="L94" s="6">
        <f t="shared" si="62"/>
        <v>-15591.63</v>
      </c>
      <c r="M94" s="2"/>
      <c r="N94" s="7">
        <f t="shared" si="63"/>
        <v>-0.64268878812860675</v>
      </c>
      <c r="O94" s="11"/>
      <c r="P94" s="6">
        <v>75705.600000000006</v>
      </c>
      <c r="Q94" s="2"/>
      <c r="R94" s="7">
        <f t="shared" si="64"/>
        <v>8.2417058608448921E-3</v>
      </c>
      <c r="S94" s="2"/>
      <c r="T94" s="6">
        <v>123685</v>
      </c>
      <c r="U94" s="2"/>
      <c r="V94" s="7">
        <f t="shared" si="65"/>
        <v>1.2742216466753411E-2</v>
      </c>
      <c r="W94" s="2"/>
      <c r="X94" s="6">
        <f t="shared" si="66"/>
        <v>-47979.399999999994</v>
      </c>
      <c r="Y94" s="2"/>
      <c r="Z94" s="7">
        <f t="shared" si="67"/>
        <v>-0.38791607713142251</v>
      </c>
    </row>
    <row r="95" spans="1:26" s="25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18952.580000000002</v>
      </c>
      <c r="E95" s="1"/>
      <c r="F95" s="5">
        <f t="shared" ref="F95:F98" si="68">IF(D$12=0,0,D95/D$12)</f>
        <v>1.5463897001456754E-2</v>
      </c>
      <c r="G95" s="1"/>
      <c r="H95" s="1">
        <f>SUM(OSRRefH22_17x_0)</f>
        <v>22320</v>
      </c>
      <c r="I95" s="1"/>
      <c r="J95" s="5">
        <f t="shared" ref="J95:J98" si="69">IF(H$12=0,0,H95/H$12)</f>
        <v>1.5404183837063488E-2</v>
      </c>
      <c r="K95" s="1"/>
      <c r="L95" s="1">
        <f t="shared" ref="L95:L98" si="70">+D95-H95</f>
        <v>-3367.4199999999983</v>
      </c>
      <c r="M95" s="1"/>
      <c r="N95" s="5">
        <f t="shared" ref="N95:N98" si="71">IF(H95=0,0,L95/H95)</f>
        <v>-0.15087007168458774</v>
      </c>
      <c r="O95" s="13"/>
      <c r="P95" s="1">
        <f>SUM(OSRRefP22_17x_0)</f>
        <v>133672.18</v>
      </c>
      <c r="Q95" s="1"/>
      <c r="R95" s="5">
        <f t="shared" ref="R95:R98" si="72">IF(P$12=0,0,P95/P$12)</f>
        <v>1.4552249626684329E-2</v>
      </c>
      <c r="S95" s="1"/>
      <c r="T95" s="1">
        <f>SUM(OSRRefT22_17x_0)</f>
        <v>128461</v>
      </c>
      <c r="U95" s="1"/>
      <c r="V95" s="5">
        <f t="shared" ref="V95:V98" si="73">IF(T$12=0,0,T95/T$12)</f>
        <v>1.3234247237220439E-2</v>
      </c>
      <c r="W95" s="1"/>
      <c r="X95" s="1">
        <f t="shared" ref="X95:X98" si="74">+P95-T95</f>
        <v>5211.179999999993</v>
      </c>
      <c r="Y95" s="1"/>
      <c r="Z95" s="5">
        <f t="shared" ref="Z95:Z98" si="75">IF(T95=0,0,X95/T95)</f>
        <v>4.0566241894427049E-2</v>
      </c>
    </row>
    <row r="96" spans="1:26" s="24" customFormat="1" hidden="1" outlineLevel="2" x14ac:dyDescent="0.25">
      <c r="A96" s="26"/>
      <c r="B96" s="11" t="str">
        <f>CONCATENATE("          ", "6253", " - ", "ROYALTY DUE ATHLETICS-LRG")</f>
        <v xml:space="preserve">          6253 - ROYALTY DUE ATHLETICS-LRG</v>
      </c>
      <c r="C96" s="11"/>
      <c r="D96" s="6"/>
      <c r="E96" s="2"/>
      <c r="F96" s="7">
        <f t="shared" si="68"/>
        <v>0</v>
      </c>
      <c r="G96" s="2"/>
      <c r="H96" s="6">
        <v>8000</v>
      </c>
      <c r="I96" s="2"/>
      <c r="J96" s="7">
        <f t="shared" si="69"/>
        <v>5.5212128448256228E-3</v>
      </c>
      <c r="K96" s="2"/>
      <c r="L96" s="6">
        <f t="shared" si="70"/>
        <v>-8000</v>
      </c>
      <c r="M96" s="2"/>
      <c r="N96" s="7">
        <f t="shared" si="71"/>
        <v>-1</v>
      </c>
      <c r="O96" s="11"/>
      <c r="P96" s="6"/>
      <c r="Q96" s="2"/>
      <c r="R96" s="7">
        <f t="shared" si="72"/>
        <v>0</v>
      </c>
      <c r="S96" s="2"/>
      <c r="T96" s="6">
        <v>35000</v>
      </c>
      <c r="U96" s="2"/>
      <c r="V96" s="7">
        <f t="shared" si="73"/>
        <v>3.605753133657027E-3</v>
      </c>
      <c r="W96" s="2"/>
      <c r="X96" s="6">
        <f t="shared" si="74"/>
        <v>-35000</v>
      </c>
      <c r="Y96" s="2"/>
      <c r="Z96" s="7">
        <f t="shared" si="75"/>
        <v>-1</v>
      </c>
    </row>
    <row r="97" spans="1:26" s="24" customFormat="1" hidden="1" outlineLevel="2" x14ac:dyDescent="0.25">
      <c r="A97" s="26"/>
      <c r="B97" s="11" t="str">
        <f>CONCATENATE("          ", "6254", " - ", "ROYALTY &amp; COMMISSIONS")</f>
        <v xml:space="preserve">          6254 - ROYALTY &amp; COMMISSIONS</v>
      </c>
      <c r="C97" s="11"/>
      <c r="D97" s="6">
        <v>8040.34</v>
      </c>
      <c r="E97" s="2"/>
      <c r="F97" s="7">
        <f t="shared" si="68"/>
        <v>6.5603199995300267E-3</v>
      </c>
      <c r="G97" s="2"/>
      <c r="H97" s="6"/>
      <c r="I97" s="2"/>
      <c r="J97" s="7">
        <f t="shared" si="69"/>
        <v>0</v>
      </c>
      <c r="K97" s="2"/>
      <c r="L97" s="6">
        <f t="shared" si="70"/>
        <v>8040.34</v>
      </c>
      <c r="M97" s="2"/>
      <c r="N97" s="7">
        <f t="shared" si="71"/>
        <v>0</v>
      </c>
      <c r="O97" s="11"/>
      <c r="P97" s="6">
        <v>61027.06</v>
      </c>
      <c r="Q97" s="2"/>
      <c r="R97" s="7">
        <f t="shared" si="72"/>
        <v>6.6437235564097341E-3</v>
      </c>
      <c r="S97" s="2"/>
      <c r="T97" s="6">
        <v>5117</v>
      </c>
      <c r="U97" s="2"/>
      <c r="V97" s="7">
        <f t="shared" si="73"/>
        <v>5.2716110814065729E-4</v>
      </c>
      <c r="W97" s="2"/>
      <c r="X97" s="6">
        <f t="shared" si="74"/>
        <v>55910.06</v>
      </c>
      <c r="Y97" s="2"/>
      <c r="Z97" s="7">
        <f t="shared" si="75"/>
        <v>10.926335743599765</v>
      </c>
    </row>
    <row r="98" spans="1:26" s="24" customFormat="1" hidden="1" outlineLevel="2" x14ac:dyDescent="0.25">
      <c r="A98" s="26"/>
      <c r="B98" s="11" t="str">
        <f>CONCATENATE("          ", "6259", " - ", "ROYALTY &amp; COMMISSIONS")</f>
        <v xml:space="preserve">          6259 - ROYALTY &amp; COMMISSIONS</v>
      </c>
      <c r="C98" s="11"/>
      <c r="D98" s="6">
        <v>10912.24</v>
      </c>
      <c r="E98" s="2"/>
      <c r="F98" s="7">
        <f t="shared" si="68"/>
        <v>8.9035770019267272E-3</v>
      </c>
      <c r="G98" s="2"/>
      <c r="H98" s="6">
        <v>14320</v>
      </c>
      <c r="I98" s="2"/>
      <c r="J98" s="7">
        <f t="shared" si="69"/>
        <v>9.8829709922378644E-3</v>
      </c>
      <c r="K98" s="2"/>
      <c r="L98" s="6">
        <f t="shared" si="70"/>
        <v>-3407.76</v>
      </c>
      <c r="M98" s="2"/>
      <c r="N98" s="7">
        <f t="shared" si="71"/>
        <v>-0.23797206703910617</v>
      </c>
      <c r="O98" s="11"/>
      <c r="P98" s="6">
        <v>72645.119999999995</v>
      </c>
      <c r="Q98" s="2"/>
      <c r="R98" s="7">
        <f t="shared" si="72"/>
        <v>7.9085260702745942E-3</v>
      </c>
      <c r="S98" s="2"/>
      <c r="T98" s="6">
        <v>88344</v>
      </c>
      <c r="U98" s="2"/>
      <c r="V98" s="7">
        <f t="shared" si="73"/>
        <v>9.1013329954227548E-3</v>
      </c>
      <c r="W98" s="2"/>
      <c r="X98" s="6">
        <f t="shared" si="74"/>
        <v>-15698.880000000005</v>
      </c>
      <c r="Y98" s="2"/>
      <c r="Z98" s="7">
        <f t="shared" si="75"/>
        <v>-0.17770171149144259</v>
      </c>
    </row>
    <row r="99" spans="1:26" s="25" customFormat="1" outlineLevel="1" collapsed="1" x14ac:dyDescent="0.25">
      <c r="A99" s="27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46186.89</v>
      </c>
      <c r="E99" s="1"/>
      <c r="F99" s="5">
        <f t="shared" ref="F99:F104" si="76">IF(D$12=0,0,D99/D$12)</f>
        <v>3.7685070305869324E-2</v>
      </c>
      <c r="G99" s="1"/>
      <c r="H99" s="1">
        <f>SUM(OSRRefH22_18x_0)</f>
        <v>40771</v>
      </c>
      <c r="I99" s="1"/>
      <c r="J99" s="5">
        <f t="shared" ref="J99:J104" si="77">IF(H$12=0,0,H99/H$12)</f>
        <v>2.8138171112048183E-2</v>
      </c>
      <c r="K99" s="1"/>
      <c r="L99" s="1">
        <f t="shared" ref="L99:L104" si="78">+D99-H99</f>
        <v>5415.8899999999994</v>
      </c>
      <c r="M99" s="1"/>
      <c r="N99" s="5">
        <f t="shared" ref="N99:N104" si="79">IF(H99=0,0,L99/H99)</f>
        <v>0.13283682028893085</v>
      </c>
      <c r="O99" s="13"/>
      <c r="P99" s="1">
        <f>SUM(OSRRefP22_18x_0)</f>
        <v>244794.68</v>
      </c>
      <c r="Q99" s="1"/>
      <c r="R99" s="5">
        <f t="shared" ref="R99:R104" si="80">IF(P$12=0,0,P99/P$12)</f>
        <v>2.6649623658747165E-2</v>
      </c>
      <c r="S99" s="1"/>
      <c r="T99" s="1">
        <f>SUM(OSRRefT22_18x_0)</f>
        <v>245302</v>
      </c>
      <c r="U99" s="1"/>
      <c r="V99" s="5">
        <f t="shared" ref="V99:V104" si="81">IF(T$12=0,0,T99/T$12)</f>
        <v>2.5271384434066742E-2</v>
      </c>
      <c r="W99" s="1"/>
      <c r="X99" s="1">
        <f t="shared" ref="X99:X104" si="82">+P99-T99</f>
        <v>-507.32000000000698</v>
      </c>
      <c r="Y99" s="1"/>
      <c r="Z99" s="5">
        <f t="shared" ref="Z99:Z104" si="83">IF(T99=0,0,X99/T99)</f>
        <v>-2.0681445728123172E-3</v>
      </c>
    </row>
    <row r="100" spans="1:26" s="24" customFormat="1" hidden="1" outlineLevel="2" x14ac:dyDescent="0.25">
      <c r="A100" s="26"/>
      <c r="B100" s="11" t="str">
        <f>CONCATENATE("          ", "6282", " - ", "JANITORIAL/EXTERMINATOR EXPENS")</f>
        <v xml:space="preserve">          6282 - JANITORIAL/EXTERMINATOR EXPENS</v>
      </c>
      <c r="C100" s="11"/>
      <c r="D100" s="6">
        <v>5571.74</v>
      </c>
      <c r="E100" s="2"/>
      <c r="F100" s="7">
        <f t="shared" si="76"/>
        <v>4.5461258297760333E-3</v>
      </c>
      <c r="G100" s="2"/>
      <c r="H100" s="6">
        <v>2985</v>
      </c>
      <c r="I100" s="2"/>
      <c r="J100" s="7">
        <f t="shared" si="77"/>
        <v>2.0601025427255605E-3</v>
      </c>
      <c r="K100" s="2"/>
      <c r="L100" s="6">
        <f t="shared" si="78"/>
        <v>2586.7399999999998</v>
      </c>
      <c r="M100" s="2"/>
      <c r="N100" s="7">
        <f t="shared" si="79"/>
        <v>0.86657956448911211</v>
      </c>
      <c r="O100" s="11"/>
      <c r="P100" s="6">
        <v>19771.09</v>
      </c>
      <c r="Q100" s="2"/>
      <c r="R100" s="7">
        <f t="shared" si="80"/>
        <v>2.1523838174229092E-3</v>
      </c>
      <c r="S100" s="2"/>
      <c r="T100" s="6">
        <v>17695</v>
      </c>
      <c r="U100" s="2"/>
      <c r="V100" s="7">
        <f t="shared" si="81"/>
        <v>1.8229657628588884E-3</v>
      </c>
      <c r="W100" s="2"/>
      <c r="X100" s="6">
        <f t="shared" si="82"/>
        <v>2076.09</v>
      </c>
      <c r="Y100" s="2"/>
      <c r="Z100" s="7">
        <f t="shared" si="83"/>
        <v>0.11732636337948574</v>
      </c>
    </row>
    <row r="101" spans="1:26" s="24" customFormat="1" hidden="1" outlineLevel="2" x14ac:dyDescent="0.25">
      <c r="A101" s="26"/>
      <c r="B101" s="11" t="str">
        <f>CONCATENATE("          ", "6283", " - ", "PLANT SERVICE")</f>
        <v xml:space="preserve">          6283 - PLANT SERVICE</v>
      </c>
      <c r="C101" s="11"/>
      <c r="D101" s="6"/>
      <c r="E101" s="2"/>
      <c r="F101" s="7">
        <f t="shared" si="76"/>
        <v>0</v>
      </c>
      <c r="G101" s="2"/>
      <c r="H101" s="6">
        <v>185</v>
      </c>
      <c r="I101" s="2"/>
      <c r="J101" s="7">
        <f t="shared" si="77"/>
        <v>1.2767804703659252E-4</v>
      </c>
      <c r="K101" s="2"/>
      <c r="L101" s="6">
        <f t="shared" si="78"/>
        <v>-185</v>
      </c>
      <c r="M101" s="2"/>
      <c r="N101" s="7">
        <f t="shared" si="79"/>
        <v>-1</v>
      </c>
      <c r="O101" s="11"/>
      <c r="P101" s="6">
        <v>799.12</v>
      </c>
      <c r="Q101" s="2"/>
      <c r="R101" s="7">
        <f t="shared" si="80"/>
        <v>8.6996364701136632E-5</v>
      </c>
      <c r="S101" s="2"/>
      <c r="T101" s="6">
        <v>1075</v>
      </c>
      <c r="U101" s="2"/>
      <c r="V101" s="7">
        <f t="shared" si="81"/>
        <v>1.1074813196232298E-4</v>
      </c>
      <c r="W101" s="2"/>
      <c r="X101" s="6">
        <f t="shared" si="82"/>
        <v>-275.88</v>
      </c>
      <c r="Y101" s="2"/>
      <c r="Z101" s="7">
        <f t="shared" si="83"/>
        <v>-0.25663255813953489</v>
      </c>
    </row>
    <row r="102" spans="1:26" s="24" customFormat="1" hidden="1" outlineLevel="2" x14ac:dyDescent="0.25">
      <c r="A102" s="26"/>
      <c r="B102" s="11" t="str">
        <f>CONCATENATE("          ", "6284", " - ", "TRASH REMOVAL EXPENSE")</f>
        <v xml:space="preserve">          6284 - TRASH REMOVAL EXPENSE</v>
      </c>
      <c r="C102" s="11"/>
      <c r="D102" s="6">
        <v>9673</v>
      </c>
      <c r="E102" s="2"/>
      <c r="F102" s="7">
        <f t="shared" si="76"/>
        <v>7.892449244118277E-3</v>
      </c>
      <c r="G102" s="2"/>
      <c r="H102" s="6">
        <v>4065</v>
      </c>
      <c r="I102" s="2"/>
      <c r="J102" s="7">
        <f t="shared" si="77"/>
        <v>2.8054662767770197E-3</v>
      </c>
      <c r="K102" s="2"/>
      <c r="L102" s="6">
        <f t="shared" si="78"/>
        <v>5608</v>
      </c>
      <c r="M102" s="2"/>
      <c r="N102" s="7">
        <f t="shared" si="79"/>
        <v>1.3795817958179581</v>
      </c>
      <c r="O102" s="11"/>
      <c r="P102" s="6">
        <v>22893</v>
      </c>
      <c r="Q102" s="2"/>
      <c r="R102" s="7">
        <f t="shared" si="80"/>
        <v>2.4922511976963671E-3</v>
      </c>
      <c r="S102" s="2"/>
      <c r="T102" s="6">
        <v>24340</v>
      </c>
      <c r="U102" s="2"/>
      <c r="V102" s="7">
        <f t="shared" si="81"/>
        <v>2.507543750663201E-3</v>
      </c>
      <c r="W102" s="2"/>
      <c r="X102" s="6">
        <f t="shared" si="82"/>
        <v>-1447</v>
      </c>
      <c r="Y102" s="2"/>
      <c r="Z102" s="7">
        <f t="shared" si="83"/>
        <v>-5.9449465899753494E-2</v>
      </c>
    </row>
    <row r="103" spans="1:26" s="24" customFormat="1" hidden="1" outlineLevel="2" x14ac:dyDescent="0.25">
      <c r="A103" s="26"/>
      <c r="B103" s="11" t="str">
        <f>CONCATENATE("          ", "6285", " - ", "JANITORIAL SERVICES")</f>
        <v xml:space="preserve">          6285 - JANITORIAL SERVICES</v>
      </c>
      <c r="C103" s="11"/>
      <c r="D103" s="6">
        <v>24757.47</v>
      </c>
      <c r="E103" s="2"/>
      <c r="F103" s="7">
        <f t="shared" si="76"/>
        <v>2.0200255906934864E-2</v>
      </c>
      <c r="G103" s="2"/>
      <c r="H103" s="6">
        <v>24953</v>
      </c>
      <c r="I103" s="2"/>
      <c r="J103" s="7">
        <f t="shared" si="77"/>
        <v>1.7221353014616719E-2</v>
      </c>
      <c r="K103" s="2"/>
      <c r="L103" s="6">
        <f t="shared" si="78"/>
        <v>-195.52999999999884</v>
      </c>
      <c r="M103" s="2"/>
      <c r="N103" s="7">
        <f t="shared" si="79"/>
        <v>-7.8359315513164291E-3</v>
      </c>
      <c r="O103" s="11"/>
      <c r="P103" s="6">
        <v>153731.78</v>
      </c>
      <c r="Q103" s="2"/>
      <c r="R103" s="7">
        <f t="shared" si="80"/>
        <v>1.6736042145153295E-2</v>
      </c>
      <c r="S103" s="2"/>
      <c r="T103" s="6">
        <v>150620</v>
      </c>
      <c r="U103" s="2"/>
      <c r="V103" s="7">
        <f t="shared" si="81"/>
        <v>1.5517101056897754E-2</v>
      </c>
      <c r="W103" s="2"/>
      <c r="X103" s="6">
        <f t="shared" si="82"/>
        <v>3111.7799999999988</v>
      </c>
      <c r="Y103" s="2"/>
      <c r="Z103" s="7">
        <f t="shared" si="83"/>
        <v>2.0659806134643466E-2</v>
      </c>
    </row>
    <row r="104" spans="1:26" s="24" customFormat="1" hidden="1" outlineLevel="2" x14ac:dyDescent="0.25">
      <c r="A104" s="26"/>
      <c r="B104" s="11" t="str">
        <f>CONCATENATE("          ", "6286", " - ", "LAUNDRY EXPENSE")</f>
        <v xml:space="preserve">          6286 - LAUNDRY EXPENSE</v>
      </c>
      <c r="C104" s="11"/>
      <c r="D104" s="6">
        <v>6184.68</v>
      </c>
      <c r="E104" s="2"/>
      <c r="F104" s="7">
        <f t="shared" si="76"/>
        <v>5.0462393250401555E-3</v>
      </c>
      <c r="G104" s="2"/>
      <c r="H104" s="6">
        <v>8583</v>
      </c>
      <c r="I104" s="2"/>
      <c r="J104" s="7">
        <f t="shared" si="77"/>
        <v>5.9235712308922904E-3</v>
      </c>
      <c r="K104" s="2"/>
      <c r="L104" s="6">
        <f t="shared" si="78"/>
        <v>-2398.3199999999997</v>
      </c>
      <c r="M104" s="2"/>
      <c r="N104" s="7">
        <f t="shared" si="79"/>
        <v>-0.2794267738552953</v>
      </c>
      <c r="O104" s="11"/>
      <c r="P104" s="6">
        <v>47599.689999999995</v>
      </c>
      <c r="Q104" s="2"/>
      <c r="R104" s="7">
        <f t="shared" si="80"/>
        <v>5.1819501337734579E-3</v>
      </c>
      <c r="S104" s="2"/>
      <c r="T104" s="6">
        <v>51572</v>
      </c>
      <c r="U104" s="2"/>
      <c r="V104" s="7">
        <f t="shared" si="81"/>
        <v>5.3130257316845774E-3</v>
      </c>
      <c r="W104" s="2"/>
      <c r="X104" s="6">
        <f t="shared" si="82"/>
        <v>-3972.3100000000049</v>
      </c>
      <c r="Y104" s="2"/>
      <c r="Z104" s="7">
        <f t="shared" si="83"/>
        <v>-7.702454820445212E-2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4123.42</v>
      </c>
      <c r="E105" s="1"/>
      <c r="F105" s="5">
        <f t="shared" ref="F105:F107" si="84">IF(D$12=0,0,D105/D$12)</f>
        <v>3.3644043277351581E-3</v>
      </c>
      <c r="G105" s="1"/>
      <c r="H105" s="1">
        <f>SUM(OSRRefH22_19x_0)</f>
        <v>394</v>
      </c>
      <c r="I105" s="1"/>
      <c r="J105" s="5">
        <f t="shared" ref="J105:J107" si="85">IF(H$12=0,0,H105/H$12)</f>
        <v>2.7191973260766195E-4</v>
      </c>
      <c r="K105" s="1"/>
      <c r="L105" s="1">
        <f t="shared" ref="L105:L107" si="86">+D105-H105</f>
        <v>3729.42</v>
      </c>
      <c r="M105" s="1"/>
      <c r="N105" s="5">
        <f t="shared" ref="N105:N107" si="87">IF(H105=0,0,L105/H105)</f>
        <v>9.4655329949238585</v>
      </c>
      <c r="O105" s="13"/>
      <c r="P105" s="1">
        <f>SUM(OSRRefP22_19x_0)</f>
        <v>6274.6</v>
      </c>
      <c r="Q105" s="1"/>
      <c r="R105" s="5">
        <f t="shared" ref="R105:R107" si="88">IF(P$12=0,0,P105/P$12)</f>
        <v>6.8308563163699059E-4</v>
      </c>
      <c r="S105" s="1"/>
      <c r="T105" s="1">
        <f>SUM(OSRRefT22_19x_0)</f>
        <v>2189</v>
      </c>
      <c r="U105" s="1"/>
      <c r="V105" s="5">
        <f t="shared" ref="V105:V107" si="89">IF(T$12=0,0,T105/T$12)</f>
        <v>2.2551410313072091E-4</v>
      </c>
      <c r="W105" s="1"/>
      <c r="X105" s="1">
        <f t="shared" ref="X105:X107" si="90">+P105-T105</f>
        <v>4085.6000000000004</v>
      </c>
      <c r="Y105" s="1"/>
      <c r="Z105" s="5">
        <f t="shared" ref="Z105:Z107" si="91">IF(T105=0,0,X105/T105)</f>
        <v>1.866423024211969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>
        <v>3730</v>
      </c>
      <c r="E106" s="2"/>
      <c r="F106" s="7">
        <f t="shared" si="84"/>
        <v>3.0434028409553576E-3</v>
      </c>
      <c r="G106" s="2"/>
      <c r="H106" s="6"/>
      <c r="I106" s="2"/>
      <c r="J106" s="7">
        <f t="shared" si="85"/>
        <v>0</v>
      </c>
      <c r="K106" s="2"/>
      <c r="L106" s="6">
        <f t="shared" si="86"/>
        <v>3730</v>
      </c>
      <c r="M106" s="2"/>
      <c r="N106" s="7">
        <f t="shared" si="87"/>
        <v>0</v>
      </c>
      <c r="O106" s="11"/>
      <c r="P106" s="6">
        <v>3730</v>
      </c>
      <c r="Q106" s="2"/>
      <c r="R106" s="7">
        <f t="shared" si="88"/>
        <v>4.0606722436585193E-4</v>
      </c>
      <c r="S106" s="2"/>
      <c r="T106" s="6"/>
      <c r="U106" s="2"/>
      <c r="V106" s="7">
        <f t="shared" si="89"/>
        <v>0</v>
      </c>
      <c r="W106" s="2"/>
      <c r="X106" s="6">
        <f t="shared" si="90"/>
        <v>3730</v>
      </c>
      <c r="Y106" s="2"/>
      <c r="Z106" s="7">
        <f t="shared" si="91"/>
        <v>0</v>
      </c>
    </row>
    <row r="107" spans="1:26" s="24" customFormat="1" hidden="1" outlineLevel="2" x14ac:dyDescent="0.25">
      <c r="A107" s="26"/>
      <c r="B107" s="11" t="str">
        <f>CONCATENATE("          ", "6275", " - ", "SUBSCRIPTIONS")</f>
        <v xml:space="preserve">          6275 - SUBSCRIPTIONS</v>
      </c>
      <c r="C107" s="11"/>
      <c r="D107" s="6">
        <v>393.42</v>
      </c>
      <c r="E107" s="2"/>
      <c r="F107" s="7">
        <f t="shared" si="84"/>
        <v>3.2100148677980072E-4</v>
      </c>
      <c r="G107" s="2"/>
      <c r="H107" s="6">
        <v>394</v>
      </c>
      <c r="I107" s="2"/>
      <c r="J107" s="7">
        <f t="shared" si="85"/>
        <v>2.7191973260766195E-4</v>
      </c>
      <c r="K107" s="2"/>
      <c r="L107" s="6">
        <f t="shared" si="86"/>
        <v>-0.57999999999998408</v>
      </c>
      <c r="M107" s="2"/>
      <c r="N107" s="7">
        <f t="shared" si="87"/>
        <v>-1.4720812182740712E-3</v>
      </c>
      <c r="O107" s="11"/>
      <c r="P107" s="6">
        <v>2544.6</v>
      </c>
      <c r="Q107" s="2"/>
      <c r="R107" s="7">
        <f t="shared" si="88"/>
        <v>2.7701840727113855E-4</v>
      </c>
      <c r="S107" s="2"/>
      <c r="T107" s="6">
        <v>2189</v>
      </c>
      <c r="U107" s="2"/>
      <c r="V107" s="7">
        <f t="shared" si="89"/>
        <v>2.2551410313072091E-4</v>
      </c>
      <c r="W107" s="2"/>
      <c r="X107" s="6">
        <f t="shared" si="90"/>
        <v>355.59999999999991</v>
      </c>
      <c r="Y107" s="2"/>
      <c r="Z107" s="7">
        <f t="shared" si="91"/>
        <v>0.16244860666971214</v>
      </c>
    </row>
    <row r="108" spans="1:26" s="25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SUM(OSRRefD22_20x_0)</f>
        <v>22929.22</v>
      </c>
      <c r="E108" s="1"/>
      <c r="F108" s="5">
        <f t="shared" ref="F108:F118" si="92">IF(D$12=0,0,D108/D$12)</f>
        <v>1.8708539755734693E-2</v>
      </c>
      <c r="G108" s="1"/>
      <c r="H108" s="1">
        <f>SUM(OSRRefH22_20x_0)</f>
        <v>33863.160000000003</v>
      </c>
      <c r="I108" s="1"/>
      <c r="J108" s="5">
        <f t="shared" ref="J108:J118" si="93">IF(H$12=0,0,H108/H$12)</f>
        <v>2.3370714244798158E-2</v>
      </c>
      <c r="K108" s="1"/>
      <c r="L108" s="1">
        <f t="shared" ref="L108:L118" si="94">+D108-H108</f>
        <v>-10933.940000000002</v>
      </c>
      <c r="M108" s="1"/>
      <c r="N108" s="5">
        <f t="shared" ref="N108:N118" si="95">IF(H108=0,0,L108/H108)</f>
        <v>-0.32288599173851468</v>
      </c>
      <c r="O108" s="13"/>
      <c r="P108" s="1">
        <f>SUM(OSRRefP22_20x_0)</f>
        <v>251002.27999999997</v>
      </c>
      <c r="Q108" s="1"/>
      <c r="R108" s="5">
        <f t="shared" ref="R108:R118" si="96">IF(P$12=0,0,P108/P$12)</f>
        <v>2.7325415321474634E-2</v>
      </c>
      <c r="S108" s="1"/>
      <c r="T108" s="1">
        <f>SUM(OSRRefT22_20x_0)</f>
        <v>236554.49999999997</v>
      </c>
      <c r="U108" s="1"/>
      <c r="V108" s="5">
        <f t="shared" ref="V108:V118" si="97">IF(T$12=0,0,T108/T$12)</f>
        <v>2.4370203704447747E-2</v>
      </c>
      <c r="W108" s="1"/>
      <c r="X108" s="1">
        <f t="shared" ref="X108:X118" si="98">+P108-T108</f>
        <v>14447.779999999999</v>
      </c>
      <c r="Y108" s="1"/>
      <c r="Z108" s="5">
        <f t="shared" ref="Z108:Z118" si="99">IF(T108=0,0,X108/T108)</f>
        <v>6.1075904284213577E-2</v>
      </c>
    </row>
    <row r="109" spans="1:26" s="24" customFormat="1" hidden="1" outlineLevel="2" x14ac:dyDescent="0.25">
      <c r="A109" s="26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/>
      <c r="E109" s="2"/>
      <c r="F109" s="7">
        <f t="shared" si="92"/>
        <v>0</v>
      </c>
      <c r="G109" s="2"/>
      <c r="H109" s="6">
        <v>150</v>
      </c>
      <c r="I109" s="2"/>
      <c r="J109" s="7">
        <f t="shared" si="93"/>
        <v>1.0352274084048042E-4</v>
      </c>
      <c r="K109" s="2"/>
      <c r="L109" s="6">
        <f t="shared" si="94"/>
        <v>-150</v>
      </c>
      <c r="M109" s="2"/>
      <c r="N109" s="7">
        <f t="shared" si="95"/>
        <v>-1</v>
      </c>
      <c r="O109" s="11"/>
      <c r="P109" s="6">
        <v>12302.72</v>
      </c>
      <c r="Q109" s="2"/>
      <c r="R109" s="7">
        <f t="shared" si="96"/>
        <v>1.3393381669035533E-3</v>
      </c>
      <c r="S109" s="2"/>
      <c r="T109" s="6">
        <v>4400</v>
      </c>
      <c r="U109" s="2"/>
      <c r="V109" s="7">
        <f t="shared" si="97"/>
        <v>4.5329467965974052E-4</v>
      </c>
      <c r="W109" s="2"/>
      <c r="X109" s="6">
        <f t="shared" si="98"/>
        <v>7902.7199999999993</v>
      </c>
      <c r="Y109" s="2"/>
      <c r="Z109" s="7">
        <f t="shared" si="99"/>
        <v>1.796072727272727</v>
      </c>
    </row>
    <row r="110" spans="1:26" s="24" customFormat="1" hidden="1" outlineLevel="2" x14ac:dyDescent="0.25">
      <c r="A110" s="26"/>
      <c r="B110" s="11" t="str">
        <f>CONCATENATE("          ", "6237", " - ", "JANITORIAL SUPPLIES")</f>
        <v xml:space="preserve">          6237 - JANITORIAL SUPPLIES</v>
      </c>
      <c r="C110" s="11"/>
      <c r="D110" s="6">
        <v>10587.19</v>
      </c>
      <c r="E110" s="2"/>
      <c r="F110" s="7">
        <f t="shared" si="92"/>
        <v>8.6383603548885121E-3</v>
      </c>
      <c r="G110" s="2"/>
      <c r="H110" s="6">
        <v>14826</v>
      </c>
      <c r="I110" s="2"/>
      <c r="J110" s="7">
        <f t="shared" si="93"/>
        <v>1.0232187704673086E-2</v>
      </c>
      <c r="K110" s="2"/>
      <c r="L110" s="6">
        <f t="shared" si="94"/>
        <v>-4238.8099999999995</v>
      </c>
      <c r="M110" s="2"/>
      <c r="N110" s="7">
        <f t="shared" si="95"/>
        <v>-0.28590381761769862</v>
      </c>
      <c r="O110" s="11"/>
      <c r="P110" s="6">
        <v>80188.67</v>
      </c>
      <c r="Q110" s="2"/>
      <c r="R110" s="7">
        <f t="shared" si="96"/>
        <v>8.7297562071016778E-3</v>
      </c>
      <c r="S110" s="2"/>
      <c r="T110" s="6">
        <v>84231</v>
      </c>
      <c r="U110" s="2"/>
      <c r="V110" s="7">
        <f t="shared" si="97"/>
        <v>8.6776054914590017E-3</v>
      </c>
      <c r="W110" s="2"/>
      <c r="X110" s="6">
        <f t="shared" si="98"/>
        <v>-4042.3300000000017</v>
      </c>
      <c r="Y110" s="2"/>
      <c r="Z110" s="7">
        <f t="shared" si="99"/>
        <v>-4.7991000937896995E-2</v>
      </c>
    </row>
    <row r="111" spans="1:26" s="24" customFormat="1" hidden="1" outlineLevel="2" x14ac:dyDescent="0.25">
      <c r="A111" s="26"/>
      <c r="B111" s="11" t="str">
        <f>CONCATENATE("          ", "6239", " - ", "KITCHEN SUPPLIES")</f>
        <v xml:space="preserve">          6239 - KITCHEN SUPPLIES</v>
      </c>
      <c r="C111" s="11"/>
      <c r="D111" s="6">
        <v>3255.8</v>
      </c>
      <c r="E111" s="2"/>
      <c r="F111" s="7">
        <f t="shared" si="92"/>
        <v>2.6564908765636603E-3</v>
      </c>
      <c r="G111" s="2"/>
      <c r="H111" s="6">
        <v>5450</v>
      </c>
      <c r="I111" s="2"/>
      <c r="J111" s="7">
        <f t="shared" si="93"/>
        <v>3.7613262505374555E-3</v>
      </c>
      <c r="K111" s="2"/>
      <c r="L111" s="6">
        <f t="shared" si="94"/>
        <v>-2194.1999999999998</v>
      </c>
      <c r="M111" s="2"/>
      <c r="N111" s="7">
        <f t="shared" si="95"/>
        <v>-0.40260550458715594</v>
      </c>
      <c r="O111" s="11"/>
      <c r="P111" s="6">
        <v>55062.03</v>
      </c>
      <c r="Q111" s="2"/>
      <c r="R111" s="7">
        <f t="shared" si="96"/>
        <v>5.9943393270909572E-3</v>
      </c>
      <c r="S111" s="2"/>
      <c r="T111" s="6">
        <v>45777.71</v>
      </c>
      <c r="U111" s="2"/>
      <c r="V111" s="7">
        <f t="shared" si="97"/>
        <v>4.7160891795469317E-3</v>
      </c>
      <c r="W111" s="2"/>
      <c r="X111" s="6">
        <f t="shared" si="98"/>
        <v>9284.32</v>
      </c>
      <c r="Y111" s="2"/>
      <c r="Z111" s="7">
        <f t="shared" si="99"/>
        <v>0.20281311581553554</v>
      </c>
    </row>
    <row r="112" spans="1:26" s="24" customFormat="1" hidden="1" outlineLevel="2" x14ac:dyDescent="0.25">
      <c r="A112" s="26"/>
      <c r="B112" s="11" t="str">
        <f>CONCATENATE("          ", "6241", " - ", "OFFICE EXPENSE")</f>
        <v xml:space="preserve">          6241 - OFFICE EXPENSE</v>
      </c>
      <c r="C112" s="11"/>
      <c r="D112" s="6">
        <v>1992.22</v>
      </c>
      <c r="E112" s="2"/>
      <c r="F112" s="7">
        <f t="shared" si="92"/>
        <v>1.6255034873480113E-3</v>
      </c>
      <c r="G112" s="2"/>
      <c r="H112" s="6">
        <v>2024</v>
      </c>
      <c r="I112" s="2"/>
      <c r="J112" s="7">
        <f t="shared" si="93"/>
        <v>1.3968668497408826E-3</v>
      </c>
      <c r="K112" s="2"/>
      <c r="L112" s="6">
        <f t="shared" si="94"/>
        <v>-31.779999999999973</v>
      </c>
      <c r="M112" s="2"/>
      <c r="N112" s="7">
        <f t="shared" si="95"/>
        <v>-1.5701581027667971E-2</v>
      </c>
      <c r="O112" s="11"/>
      <c r="P112" s="6">
        <v>41238.550000000003</v>
      </c>
      <c r="Q112" s="2"/>
      <c r="R112" s="7">
        <f t="shared" si="96"/>
        <v>4.4894433070703501E-3</v>
      </c>
      <c r="S112" s="2"/>
      <c r="T112" s="6">
        <v>13291.25</v>
      </c>
      <c r="U112" s="2"/>
      <c r="V112" s="7">
        <f t="shared" si="97"/>
        <v>1.369284752506256E-3</v>
      </c>
      <c r="W112" s="2"/>
      <c r="X112" s="6">
        <f t="shared" si="98"/>
        <v>27947.300000000003</v>
      </c>
      <c r="Y112" s="2"/>
      <c r="Z112" s="7">
        <f t="shared" si="99"/>
        <v>2.102684096680147</v>
      </c>
    </row>
    <row r="113" spans="1:26" s="24" customFormat="1" hidden="1" outlineLevel="2" x14ac:dyDescent="0.25">
      <c r="A113" s="26"/>
      <c r="B113" s="11" t="str">
        <f>CONCATENATE("          ", "6243", " - ", "PAPER SUPPLIES")</f>
        <v xml:space="preserve">          6243 - PAPER SUPPLIES</v>
      </c>
      <c r="C113" s="11"/>
      <c r="D113" s="6">
        <v>6593.33</v>
      </c>
      <c r="E113" s="2"/>
      <c r="F113" s="7">
        <f t="shared" si="92"/>
        <v>5.3796673601491114E-3</v>
      </c>
      <c r="G113" s="2"/>
      <c r="H113" s="6">
        <v>9509</v>
      </c>
      <c r="I113" s="2"/>
      <c r="J113" s="7">
        <f t="shared" si="93"/>
        <v>6.5626516176808562E-3</v>
      </c>
      <c r="K113" s="2"/>
      <c r="L113" s="6">
        <f t="shared" si="94"/>
        <v>-2915.67</v>
      </c>
      <c r="M113" s="2"/>
      <c r="N113" s="7">
        <f t="shared" si="95"/>
        <v>-0.30662214743926808</v>
      </c>
      <c r="O113" s="11"/>
      <c r="P113" s="6">
        <v>56679.219999999994</v>
      </c>
      <c r="Q113" s="2"/>
      <c r="R113" s="7">
        <f t="shared" si="96"/>
        <v>6.170395052177341E-3</v>
      </c>
      <c r="S113" s="2"/>
      <c r="T113" s="6">
        <v>62184.52</v>
      </c>
      <c r="U113" s="2"/>
      <c r="V113" s="7">
        <f t="shared" si="97"/>
        <v>6.4063436529988018E-3</v>
      </c>
      <c r="W113" s="2"/>
      <c r="X113" s="6">
        <f t="shared" si="98"/>
        <v>-5505.3000000000029</v>
      </c>
      <c r="Y113" s="2"/>
      <c r="Z113" s="7">
        <f t="shared" si="99"/>
        <v>-8.853167958842495E-2</v>
      </c>
    </row>
    <row r="114" spans="1:26" s="24" customFormat="1" hidden="1" outlineLevel="2" x14ac:dyDescent="0.25">
      <c r="A114" s="26"/>
      <c r="B114" s="11" t="str">
        <f>CONCATENATE("          ", "6244", " - ", "SAFETY SUPPLY EXPENSE")</f>
        <v xml:space="preserve">          6244 - SAFETY SUPPLY EXPENSE</v>
      </c>
      <c r="C114" s="11"/>
      <c r="D114" s="6"/>
      <c r="E114" s="2"/>
      <c r="F114" s="7">
        <f t="shared" si="92"/>
        <v>0</v>
      </c>
      <c r="G114" s="2"/>
      <c r="H114" s="6">
        <v>235</v>
      </c>
      <c r="I114" s="2"/>
      <c r="J114" s="7">
        <f t="shared" si="93"/>
        <v>1.6218562731675268E-4</v>
      </c>
      <c r="K114" s="2"/>
      <c r="L114" s="6">
        <f t="shared" si="94"/>
        <v>-235</v>
      </c>
      <c r="M114" s="2"/>
      <c r="N114" s="7">
        <f t="shared" si="95"/>
        <v>-1</v>
      </c>
      <c r="O114" s="11"/>
      <c r="P114" s="6"/>
      <c r="Q114" s="2"/>
      <c r="R114" s="7">
        <f t="shared" si="96"/>
        <v>0</v>
      </c>
      <c r="S114" s="2"/>
      <c r="T114" s="6">
        <v>1410</v>
      </c>
      <c r="U114" s="2"/>
      <c r="V114" s="7">
        <f t="shared" si="97"/>
        <v>1.4526034052732593E-4</v>
      </c>
      <c r="W114" s="2"/>
      <c r="X114" s="6">
        <f t="shared" si="98"/>
        <v>-1410</v>
      </c>
      <c r="Y114" s="2"/>
      <c r="Z114" s="7">
        <f t="shared" si="99"/>
        <v>-1</v>
      </c>
    </row>
    <row r="115" spans="1:26" s="24" customFormat="1" hidden="1" outlineLevel="2" x14ac:dyDescent="0.25">
      <c r="A115" s="26"/>
      <c r="B115" s="11" t="str">
        <f>CONCATENATE("          ", "6245", " - ", "PRINTING")</f>
        <v xml:space="preserve">          6245 - PRINTING</v>
      </c>
      <c r="C115" s="11"/>
      <c r="D115" s="6"/>
      <c r="E115" s="2"/>
      <c r="F115" s="7">
        <f t="shared" si="92"/>
        <v>0</v>
      </c>
      <c r="G115" s="2"/>
      <c r="H115" s="6">
        <v>210</v>
      </c>
      <c r="I115" s="2"/>
      <c r="J115" s="7">
        <f t="shared" si="93"/>
        <v>1.449318371766726E-4</v>
      </c>
      <c r="K115" s="2"/>
      <c r="L115" s="6">
        <f t="shared" si="94"/>
        <v>-210</v>
      </c>
      <c r="M115" s="2"/>
      <c r="N115" s="7">
        <f t="shared" si="95"/>
        <v>-1</v>
      </c>
      <c r="O115" s="11"/>
      <c r="P115" s="6">
        <v>1622.34</v>
      </c>
      <c r="Q115" s="2"/>
      <c r="R115" s="7">
        <f t="shared" si="96"/>
        <v>1.7661638090554858E-4</v>
      </c>
      <c r="S115" s="2"/>
      <c r="T115" s="6">
        <v>2300</v>
      </c>
      <c r="U115" s="2"/>
      <c r="V115" s="7">
        <f t="shared" si="97"/>
        <v>2.3694949164031892E-4</v>
      </c>
      <c r="W115" s="2"/>
      <c r="X115" s="6">
        <f t="shared" si="98"/>
        <v>-677.66000000000008</v>
      </c>
      <c r="Y115" s="2"/>
      <c r="Z115" s="7">
        <f t="shared" si="99"/>
        <v>-0.29463478260869569</v>
      </c>
    </row>
    <row r="116" spans="1:26" s="24" customFormat="1" hidden="1" outlineLevel="2" x14ac:dyDescent="0.25">
      <c r="A116" s="26"/>
      <c r="B116" s="11" t="str">
        <f>CONCATENATE("          ", "6246", " - ", "REPLACEMENTS")</f>
        <v xml:space="preserve">          6246 - REPLACEMENTS</v>
      </c>
      <c r="C116" s="11"/>
      <c r="D116" s="6"/>
      <c r="E116" s="2"/>
      <c r="F116" s="7">
        <f t="shared" si="92"/>
        <v>0</v>
      </c>
      <c r="G116" s="2"/>
      <c r="H116" s="6"/>
      <c r="I116" s="2"/>
      <c r="J116" s="7">
        <f t="shared" si="93"/>
        <v>0</v>
      </c>
      <c r="K116" s="2"/>
      <c r="L116" s="6">
        <f t="shared" si="94"/>
        <v>0</v>
      </c>
      <c r="M116" s="2"/>
      <c r="N116" s="7">
        <f t="shared" si="95"/>
        <v>0</v>
      </c>
      <c r="O116" s="11"/>
      <c r="P116" s="6"/>
      <c r="Q116" s="2"/>
      <c r="R116" s="7">
        <f t="shared" si="96"/>
        <v>0</v>
      </c>
      <c r="S116" s="2"/>
      <c r="T116" s="6">
        <v>2400</v>
      </c>
      <c r="U116" s="2"/>
      <c r="V116" s="7">
        <f t="shared" si="97"/>
        <v>2.4725164345076758E-4</v>
      </c>
      <c r="W116" s="2"/>
      <c r="X116" s="6">
        <f t="shared" si="98"/>
        <v>-2400</v>
      </c>
      <c r="Y116" s="2"/>
      <c r="Z116" s="7">
        <f t="shared" si="99"/>
        <v>-1</v>
      </c>
    </row>
    <row r="117" spans="1:26" s="24" customFormat="1" hidden="1" outlineLevel="2" x14ac:dyDescent="0.25">
      <c r="A117" s="26"/>
      <c r="B117" s="11" t="str">
        <f>CONCATENATE("          ", "6247", " - ", "STORE SUPPLIES")</f>
        <v xml:space="preserve">          6247 - STORE SUPPLIES</v>
      </c>
      <c r="C117" s="11"/>
      <c r="D117" s="6">
        <v>500.68</v>
      </c>
      <c r="E117" s="2"/>
      <c r="F117" s="7">
        <f t="shared" si="92"/>
        <v>4.0851767678539634E-4</v>
      </c>
      <c r="G117" s="2"/>
      <c r="H117" s="6">
        <v>284.16000000000003</v>
      </c>
      <c r="I117" s="2"/>
      <c r="J117" s="7">
        <f t="shared" si="93"/>
        <v>1.9611348024820615E-4</v>
      </c>
      <c r="K117" s="2"/>
      <c r="L117" s="6">
        <f t="shared" si="94"/>
        <v>216.51999999999998</v>
      </c>
      <c r="M117" s="2"/>
      <c r="N117" s="7">
        <f t="shared" si="95"/>
        <v>0.76196509009008995</v>
      </c>
      <c r="O117" s="11"/>
      <c r="P117" s="6">
        <v>4060.35</v>
      </c>
      <c r="Q117" s="2"/>
      <c r="R117" s="7">
        <f t="shared" si="96"/>
        <v>4.4203084569809304E-4</v>
      </c>
      <c r="S117" s="2"/>
      <c r="T117" s="6">
        <v>3660.02</v>
      </c>
      <c r="U117" s="2"/>
      <c r="V117" s="7">
        <f t="shared" si="97"/>
        <v>3.770608166927826E-4</v>
      </c>
      <c r="W117" s="2"/>
      <c r="X117" s="6">
        <f t="shared" si="98"/>
        <v>400.32999999999993</v>
      </c>
      <c r="Y117" s="2"/>
      <c r="Z117" s="7">
        <f t="shared" si="99"/>
        <v>0.10937918372030753</v>
      </c>
    </row>
    <row r="118" spans="1:26" s="24" customFormat="1" hidden="1" outlineLevel="2" x14ac:dyDescent="0.25">
      <c r="A118" s="26"/>
      <c r="B118" s="11" t="str">
        <f>CONCATENATE("          ", "6248", " - ", "UNIFORMS")</f>
        <v xml:space="preserve">          6248 - UNIFORMS</v>
      </c>
      <c r="C118" s="11"/>
      <c r="D118" s="6"/>
      <c r="E118" s="2"/>
      <c r="F118" s="7">
        <f t="shared" si="92"/>
        <v>0</v>
      </c>
      <c r="G118" s="2"/>
      <c r="H118" s="6">
        <v>1175</v>
      </c>
      <c r="I118" s="2"/>
      <c r="J118" s="7">
        <f t="shared" si="93"/>
        <v>8.1092813658376333E-4</v>
      </c>
      <c r="K118" s="2"/>
      <c r="L118" s="6">
        <f t="shared" si="94"/>
        <v>-1175</v>
      </c>
      <c r="M118" s="2"/>
      <c r="N118" s="7">
        <f t="shared" si="95"/>
        <v>-1</v>
      </c>
      <c r="O118" s="11"/>
      <c r="P118" s="6">
        <v>-151.6</v>
      </c>
      <c r="Q118" s="2"/>
      <c r="R118" s="7">
        <f t="shared" si="96"/>
        <v>-1.6503965472885563E-5</v>
      </c>
      <c r="S118" s="2"/>
      <c r="T118" s="6">
        <v>16900</v>
      </c>
      <c r="U118" s="2"/>
      <c r="V118" s="7">
        <f t="shared" si="97"/>
        <v>1.7410636559658215E-3</v>
      </c>
      <c r="W118" s="2"/>
      <c r="X118" s="6">
        <f t="shared" si="98"/>
        <v>-17051.599999999999</v>
      </c>
      <c r="Y118" s="2"/>
      <c r="Z118" s="7">
        <f t="shared" si="99"/>
        <v>-1.0089704142011833</v>
      </c>
    </row>
    <row r="119" spans="1:26" s="25" customFormat="1" outlineLevel="1" collapsed="1" x14ac:dyDescent="0.25">
      <c r="A119" s="27"/>
      <c r="B119" s="13" t="str">
        <f>CONCATENATE("     ","Telephone/Data Lines                              ")</f>
        <v xml:space="preserve">     Telephone/Data Lines                              </v>
      </c>
      <c r="C119" s="13"/>
      <c r="D119" s="1">
        <f>SUM(OSRRefD22_21x_0)</f>
        <v>2651.34</v>
      </c>
      <c r="E119" s="1"/>
      <c r="F119" s="5">
        <f t="shared" ref="F119:F121" si="100">IF(D$12=0,0,D119/D$12)</f>
        <v>2.1632964311899673E-3</v>
      </c>
      <c r="G119" s="1"/>
      <c r="H119" s="1">
        <f>SUM(OSRRefH22_21x_0)</f>
        <v>2804</v>
      </c>
      <c r="I119" s="1"/>
      <c r="J119" s="5">
        <f t="shared" ref="J119:J121" si="101">IF(H$12=0,0,H119/H$12)</f>
        <v>1.9351851021113808E-3</v>
      </c>
      <c r="K119" s="1"/>
      <c r="L119" s="1">
        <f t="shared" ref="L119:L121" si="102">+D119-H119</f>
        <v>-152.65999999999985</v>
      </c>
      <c r="M119" s="1"/>
      <c r="N119" s="5">
        <f t="shared" ref="N119:N121" si="103">IF(H119=0,0,L119/H119)</f>
        <v>-5.4443651925820208E-2</v>
      </c>
      <c r="O119" s="13"/>
      <c r="P119" s="1">
        <f>SUM(OSRRefP22_21x_0)</f>
        <v>14189.57</v>
      </c>
      <c r="Q119" s="1"/>
      <c r="R119" s="5">
        <f t="shared" ref="R119:R121" si="104">IF(P$12=0,0,P119/P$12)</f>
        <v>1.5447504838726439E-3</v>
      </c>
      <c r="S119" s="1"/>
      <c r="T119" s="1">
        <f>SUM(OSRRefT22_21x_0)</f>
        <v>15805</v>
      </c>
      <c r="U119" s="1"/>
      <c r="V119" s="5">
        <f t="shared" ref="V119:V121" si="105">IF(T$12=0,0,T119/T$12)</f>
        <v>1.628255093641409E-3</v>
      </c>
      <c r="W119" s="1"/>
      <c r="X119" s="1">
        <f t="shared" ref="X119:X121" si="106">+P119-T119</f>
        <v>-1615.4300000000003</v>
      </c>
      <c r="Y119" s="1"/>
      <c r="Z119" s="5">
        <f t="shared" ref="Z119:Z121" si="107">IF(T119=0,0,X119/T119)</f>
        <v>-0.10221006010756091</v>
      </c>
    </row>
    <row r="120" spans="1:26" s="24" customFormat="1" hidden="1" outlineLevel="2" x14ac:dyDescent="0.25">
      <c r="A120" s="26"/>
      <c r="B120" s="11" t="str">
        <f>CONCATENATE("          ", "6303", " - ", "DATA PHONE LINES")</f>
        <v xml:space="preserve">          6303 - DATA PHONE LINES</v>
      </c>
      <c r="C120" s="11"/>
      <c r="D120" s="6"/>
      <c r="E120" s="2"/>
      <c r="F120" s="7">
        <f t="shared" si="100"/>
        <v>0</v>
      </c>
      <c r="G120" s="2"/>
      <c r="H120" s="6">
        <v>696</v>
      </c>
      <c r="I120" s="2"/>
      <c r="J120" s="7">
        <f t="shared" si="101"/>
        <v>4.803455174998292E-4</v>
      </c>
      <c r="K120" s="2"/>
      <c r="L120" s="6">
        <f t="shared" si="102"/>
        <v>-696</v>
      </c>
      <c r="M120" s="2"/>
      <c r="N120" s="7">
        <f t="shared" si="103"/>
        <v>-1</v>
      </c>
      <c r="O120" s="11"/>
      <c r="P120" s="6"/>
      <c r="Q120" s="2"/>
      <c r="R120" s="7">
        <f t="shared" si="104"/>
        <v>0</v>
      </c>
      <c r="S120" s="2"/>
      <c r="T120" s="6">
        <v>3382</v>
      </c>
      <c r="U120" s="2"/>
      <c r="V120" s="7">
        <f t="shared" si="105"/>
        <v>3.4841877422937329E-4</v>
      </c>
      <c r="W120" s="2"/>
      <c r="X120" s="6">
        <f t="shared" si="106"/>
        <v>-3382</v>
      </c>
      <c r="Y120" s="2"/>
      <c r="Z120" s="7">
        <f t="shared" si="107"/>
        <v>-1</v>
      </c>
    </row>
    <row r="121" spans="1:26" s="24" customFormat="1" hidden="1" outlineLevel="2" x14ac:dyDescent="0.25">
      <c r="A121" s="26"/>
      <c r="B121" s="11" t="str">
        <f>CONCATENATE("          ", "6309", " - ", "TELEPHONE")</f>
        <v xml:space="preserve">          6309 - TELEPHONE</v>
      </c>
      <c r="C121" s="11"/>
      <c r="D121" s="6">
        <v>2651.34</v>
      </c>
      <c r="E121" s="2"/>
      <c r="F121" s="7">
        <f t="shared" si="100"/>
        <v>2.1632964311899673E-3</v>
      </c>
      <c r="G121" s="2"/>
      <c r="H121" s="6">
        <v>2108</v>
      </c>
      <c r="I121" s="2"/>
      <c r="J121" s="7">
        <f t="shared" si="101"/>
        <v>1.4548395846115515E-3</v>
      </c>
      <c r="K121" s="2"/>
      <c r="L121" s="6">
        <f t="shared" si="102"/>
        <v>543.34000000000015</v>
      </c>
      <c r="M121" s="2"/>
      <c r="N121" s="7">
        <f t="shared" si="103"/>
        <v>0.25775142314990518</v>
      </c>
      <c r="O121" s="11"/>
      <c r="P121" s="6">
        <v>14189.57</v>
      </c>
      <c r="Q121" s="2"/>
      <c r="R121" s="7">
        <f t="shared" si="104"/>
        <v>1.5447504838726439E-3</v>
      </c>
      <c r="S121" s="2"/>
      <c r="T121" s="6">
        <v>12423</v>
      </c>
      <c r="U121" s="2"/>
      <c r="V121" s="7">
        <f t="shared" si="105"/>
        <v>1.2798363194120356E-3</v>
      </c>
      <c r="W121" s="2"/>
      <c r="X121" s="6">
        <f t="shared" si="106"/>
        <v>1766.5699999999997</v>
      </c>
      <c r="Y121" s="2"/>
      <c r="Z121" s="7">
        <f t="shared" si="107"/>
        <v>0.14220156161957656</v>
      </c>
    </row>
    <row r="122" spans="1:26" s="25" customFormat="1" outlineLevel="1" collapsed="1" x14ac:dyDescent="0.25">
      <c r="A122" s="27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SUM(OSRRefD22_22x_0)</f>
        <v>1663.1</v>
      </c>
      <c r="E122" s="1"/>
      <c r="F122" s="5">
        <f t="shared" ref="F122:F127" si="108">IF(D$12=0,0,D122/D$12)</f>
        <v>1.3569660227326689E-3</v>
      </c>
      <c r="G122" s="1"/>
      <c r="H122" s="1">
        <f>SUM(OSRRefH22_22x_0)</f>
        <v>1160</v>
      </c>
      <c r="I122" s="1"/>
      <c r="J122" s="5">
        <f t="shared" ref="J122:J127" si="109">IF(H$12=0,0,H122/H$12)</f>
        <v>8.005758624997153E-4</v>
      </c>
      <c r="K122" s="1"/>
      <c r="L122" s="1">
        <f t="shared" ref="L122:L127" si="110">+D122-H122</f>
        <v>503.09999999999991</v>
      </c>
      <c r="M122" s="1"/>
      <c r="N122" s="5">
        <f t="shared" ref="N122:N127" si="111">IF(H122=0,0,L122/H122)</f>
        <v>0.43370689655172406</v>
      </c>
      <c r="O122" s="13"/>
      <c r="P122" s="1">
        <f>SUM(OSRRefP22_22x_0)</f>
        <v>7572.87</v>
      </c>
      <c r="Q122" s="1"/>
      <c r="R122" s="5">
        <f t="shared" ref="R122:R127" si="112">IF(P$12=0,0,P122/P$12)</f>
        <v>8.2442206471405606E-4</v>
      </c>
      <c r="S122" s="1"/>
      <c r="T122" s="1">
        <f>SUM(OSRRefT22_22x_0)</f>
        <v>14498</v>
      </c>
      <c r="U122" s="1"/>
      <c r="V122" s="5">
        <f t="shared" ref="V122:V127" si="113">IF(T$12=0,0,T122/T$12)</f>
        <v>1.4936059694788451E-3</v>
      </c>
      <c r="W122" s="1"/>
      <c r="X122" s="1">
        <f t="shared" ref="X122:X127" si="114">+P122-T122</f>
        <v>-6925.13</v>
      </c>
      <c r="Y122" s="1"/>
      <c r="Z122" s="5">
        <f t="shared" ref="Z122:Z127" si="115">IF(T122=0,0,X122/T122)</f>
        <v>-0.47766105669747549</v>
      </c>
    </row>
    <row r="123" spans="1:26" s="24" customFormat="1" hidden="1" outlineLevel="2" x14ac:dyDescent="0.25">
      <c r="A123" s="26"/>
      <c r="B123" s="11" t="str">
        <f>CONCATENATE("          ", "6376", " - ", "TRAINING")</f>
        <v xml:space="preserve">          6376 - TRAINING</v>
      </c>
      <c r="C123" s="11"/>
      <c r="D123" s="6">
        <v>1663.1</v>
      </c>
      <c r="E123" s="2"/>
      <c r="F123" s="7">
        <f t="shared" si="108"/>
        <v>1.3569660227326689E-3</v>
      </c>
      <c r="G123" s="2"/>
      <c r="H123" s="6">
        <v>1160</v>
      </c>
      <c r="I123" s="2"/>
      <c r="J123" s="7">
        <f t="shared" si="109"/>
        <v>8.005758624997153E-4</v>
      </c>
      <c r="K123" s="2"/>
      <c r="L123" s="6">
        <f t="shared" si="110"/>
        <v>503.09999999999991</v>
      </c>
      <c r="M123" s="2"/>
      <c r="N123" s="7">
        <f t="shared" si="111"/>
        <v>0.43370689655172406</v>
      </c>
      <c r="O123" s="11"/>
      <c r="P123" s="6">
        <v>7572.87</v>
      </c>
      <c r="Q123" s="2"/>
      <c r="R123" s="7">
        <f t="shared" si="112"/>
        <v>8.2442206471405606E-4</v>
      </c>
      <c r="S123" s="2"/>
      <c r="T123" s="6">
        <v>14498</v>
      </c>
      <c r="U123" s="2"/>
      <c r="V123" s="7">
        <f t="shared" si="113"/>
        <v>1.4936059694788451E-3</v>
      </c>
      <c r="W123" s="2"/>
      <c r="X123" s="6">
        <f t="shared" si="114"/>
        <v>-6925.13</v>
      </c>
      <c r="Y123" s="2"/>
      <c r="Z123" s="7">
        <f t="shared" si="115"/>
        <v>-0.47766105669747549</v>
      </c>
    </row>
    <row r="124" spans="1:26" s="25" customFormat="1" outlineLevel="1" collapsed="1" x14ac:dyDescent="0.25">
      <c r="A124" s="27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SUM(OSRRefD22_23x_0)</f>
        <v>1273.6300000000001</v>
      </c>
      <c r="E124" s="1"/>
      <c r="F124" s="5">
        <f t="shared" si="108"/>
        <v>1.0391874424466414E-3</v>
      </c>
      <c r="G124" s="1"/>
      <c r="H124" s="1">
        <f>SUM(OSRRefH22_23x_0)</f>
        <v>410</v>
      </c>
      <c r="I124" s="1"/>
      <c r="J124" s="5">
        <f t="shared" si="109"/>
        <v>2.8296215829731318E-4</v>
      </c>
      <c r="K124" s="1"/>
      <c r="L124" s="1">
        <f t="shared" si="110"/>
        <v>863.63000000000011</v>
      </c>
      <c r="M124" s="1"/>
      <c r="N124" s="5">
        <f t="shared" si="111"/>
        <v>2.1064146341463417</v>
      </c>
      <c r="O124" s="13"/>
      <c r="P124" s="1">
        <f>SUM(OSRRefP22_23x_0)</f>
        <v>4683.1000000000004</v>
      </c>
      <c r="Q124" s="1"/>
      <c r="R124" s="5">
        <f t="shared" si="112"/>
        <v>5.0982665373397354E-4</v>
      </c>
      <c r="S124" s="1"/>
      <c r="T124" s="1">
        <f>SUM(OSRRefT22_23x_0)</f>
        <v>10160</v>
      </c>
      <c r="U124" s="1"/>
      <c r="V124" s="5">
        <f t="shared" si="113"/>
        <v>1.0466986239415826E-3</v>
      </c>
      <c r="W124" s="1"/>
      <c r="X124" s="1">
        <f t="shared" si="114"/>
        <v>-5476.9</v>
      </c>
      <c r="Y124" s="1"/>
      <c r="Z124" s="5">
        <f t="shared" si="115"/>
        <v>-0.53906496062992126</v>
      </c>
    </row>
    <row r="125" spans="1:26" s="24" customFormat="1" hidden="1" outlineLevel="2" x14ac:dyDescent="0.25">
      <c r="A125" s="26"/>
      <c r="B125" s="11" t="str">
        <f>CONCATENATE("          ", "6292", " - ", "TRAVEL/CONFERENCE")</f>
        <v xml:space="preserve">          6292 - TRAVEL/CONFERENCE</v>
      </c>
      <c r="C125" s="11"/>
      <c r="D125" s="6">
        <v>1158.95</v>
      </c>
      <c r="E125" s="2"/>
      <c r="F125" s="7">
        <f t="shared" si="108"/>
        <v>9.4561708378692005E-4</v>
      </c>
      <c r="G125" s="2"/>
      <c r="H125" s="6">
        <v>300</v>
      </c>
      <c r="I125" s="2"/>
      <c r="J125" s="7">
        <f t="shared" si="109"/>
        <v>2.0704548168096084E-4</v>
      </c>
      <c r="K125" s="2"/>
      <c r="L125" s="6">
        <f t="shared" si="110"/>
        <v>858.95</v>
      </c>
      <c r="M125" s="2"/>
      <c r="N125" s="7">
        <f t="shared" si="111"/>
        <v>2.8631666666666669</v>
      </c>
      <c r="O125" s="11"/>
      <c r="P125" s="6">
        <v>3864.88</v>
      </c>
      <c r="Q125" s="2"/>
      <c r="R125" s="7">
        <f t="shared" si="112"/>
        <v>4.2075096356758554E-4</v>
      </c>
      <c r="S125" s="2"/>
      <c r="T125" s="6">
        <v>9500</v>
      </c>
      <c r="U125" s="2"/>
      <c r="V125" s="7">
        <f t="shared" si="113"/>
        <v>9.7870442199262156E-4</v>
      </c>
      <c r="W125" s="2"/>
      <c r="X125" s="6">
        <f t="shared" si="114"/>
        <v>-5635.12</v>
      </c>
      <c r="Y125" s="2"/>
      <c r="Z125" s="7">
        <f t="shared" si="115"/>
        <v>-0.59317052631578948</v>
      </c>
    </row>
    <row r="126" spans="1:26" s="24" customFormat="1" hidden="1" outlineLevel="2" x14ac:dyDescent="0.25">
      <c r="A126" s="26"/>
      <c r="B126" s="11" t="str">
        <f>CONCATENATE("          ", "6294", " - ", "TRAVEL OPERATIONAL")</f>
        <v xml:space="preserve">          6294 - TRAVEL OPERATIONAL</v>
      </c>
      <c r="C126" s="11"/>
      <c r="D126" s="6"/>
      <c r="E126" s="2"/>
      <c r="F126" s="7">
        <f t="shared" si="108"/>
        <v>0</v>
      </c>
      <c r="G126" s="2"/>
      <c r="H126" s="6"/>
      <c r="I126" s="2"/>
      <c r="J126" s="7">
        <f t="shared" si="109"/>
        <v>0</v>
      </c>
      <c r="K126" s="2"/>
      <c r="L126" s="6">
        <f t="shared" si="110"/>
        <v>0</v>
      </c>
      <c r="M126" s="2"/>
      <c r="N126" s="7">
        <f t="shared" si="111"/>
        <v>0</v>
      </c>
      <c r="O126" s="11"/>
      <c r="P126" s="6">
        <v>45.49</v>
      </c>
      <c r="Q126" s="2"/>
      <c r="R126" s="7">
        <f t="shared" si="112"/>
        <v>4.9522782939417176E-6</v>
      </c>
      <c r="S126" s="2"/>
      <c r="T126" s="6"/>
      <c r="U126" s="2"/>
      <c r="V126" s="7">
        <f t="shared" si="113"/>
        <v>0</v>
      </c>
      <c r="W126" s="2"/>
      <c r="X126" s="6">
        <f t="shared" si="114"/>
        <v>45.49</v>
      </c>
      <c r="Y126" s="2"/>
      <c r="Z126" s="7">
        <f t="shared" si="115"/>
        <v>0</v>
      </c>
    </row>
    <row r="127" spans="1:26" s="24" customFormat="1" hidden="1" outlineLevel="2" x14ac:dyDescent="0.25">
      <c r="A127" s="26"/>
      <c r="B127" s="11" t="str">
        <f>CONCATENATE("          ", "6298", " - ", "VEHICLE MILEAGE")</f>
        <v xml:space="preserve">          6298 - VEHICLE MILEAGE</v>
      </c>
      <c r="C127" s="11"/>
      <c r="D127" s="6">
        <v>114.68</v>
      </c>
      <c r="E127" s="2"/>
      <c r="F127" s="7">
        <f t="shared" si="108"/>
        <v>9.3570358659721294E-5</v>
      </c>
      <c r="G127" s="2"/>
      <c r="H127" s="6">
        <v>110</v>
      </c>
      <c r="I127" s="2"/>
      <c r="J127" s="7">
        <f t="shared" si="109"/>
        <v>7.5916676616352312E-5</v>
      </c>
      <c r="K127" s="2"/>
      <c r="L127" s="6">
        <f t="shared" si="110"/>
        <v>4.6800000000000068</v>
      </c>
      <c r="M127" s="2"/>
      <c r="N127" s="7">
        <f t="shared" si="111"/>
        <v>4.2545454545454608E-2</v>
      </c>
      <c r="O127" s="11"/>
      <c r="P127" s="6">
        <v>772.73</v>
      </c>
      <c r="Q127" s="2"/>
      <c r="R127" s="7">
        <f t="shared" si="112"/>
        <v>8.4123411872446326E-5</v>
      </c>
      <c r="S127" s="2"/>
      <c r="T127" s="6">
        <v>660</v>
      </c>
      <c r="U127" s="2"/>
      <c r="V127" s="7">
        <f t="shared" si="113"/>
        <v>6.799420194896108E-5</v>
      </c>
      <c r="W127" s="2"/>
      <c r="X127" s="6">
        <f t="shared" si="114"/>
        <v>112.73000000000002</v>
      </c>
      <c r="Y127" s="2"/>
      <c r="Z127" s="7">
        <f t="shared" si="115"/>
        <v>0.17080303030303032</v>
      </c>
    </row>
    <row r="128" spans="1:26" s="25" customFormat="1" outlineLevel="1" collapsed="1" x14ac:dyDescent="0.25">
      <c r="A128" s="27"/>
      <c r="B128" s="13" t="str">
        <f>CONCATENATE("     ","Utilities                                         ")</f>
        <v xml:space="preserve">     Utilities                                         </v>
      </c>
      <c r="C128" s="13"/>
      <c r="D128" s="1">
        <f>SUM(OSRRefD22_24x_0)</f>
        <v>38547</v>
      </c>
      <c r="E128" s="1"/>
      <c r="F128" s="5">
        <f t="shared" ref="F128:F129" si="116">IF(D$12=0,0,D128/D$12)</f>
        <v>3.1451487750752322E-2</v>
      </c>
      <c r="G128" s="1"/>
      <c r="H128" s="1">
        <f>SUM(OSRRefH22_24x_0)</f>
        <v>17450</v>
      </c>
      <c r="I128" s="1"/>
      <c r="J128" s="5">
        <f t="shared" ref="J128:J129" si="117">IF(H$12=0,0,H128/H$12)</f>
        <v>1.204314551777589E-2</v>
      </c>
      <c r="K128" s="1"/>
      <c r="L128" s="1">
        <f t="shared" ref="L128:L129" si="118">+D128-H128</f>
        <v>21097</v>
      </c>
      <c r="M128" s="1"/>
      <c r="N128" s="5">
        <f t="shared" ref="N128:N129" si="119">IF(H128=0,0,L128/H128)</f>
        <v>1.2089971346704871</v>
      </c>
      <c r="O128" s="13"/>
      <c r="P128" s="1">
        <f>SUM(OSRRefP22_24x_0)</f>
        <v>96887</v>
      </c>
      <c r="Q128" s="1"/>
      <c r="R128" s="5">
        <f t="shared" ref="R128:R129" si="120">IF(P$12=0,0,P128/P$12)</f>
        <v>1.0547623369204905E-2</v>
      </c>
      <c r="S128" s="1"/>
      <c r="T128" s="1">
        <f>SUM(OSRRefT22_24x_0)</f>
        <v>114700</v>
      </c>
      <c r="U128" s="1"/>
      <c r="V128" s="5">
        <f t="shared" ref="V128:V129" si="121">IF(T$12=0,0,T128/T$12)</f>
        <v>1.18165681265846E-2</v>
      </c>
      <c r="W128" s="1"/>
      <c r="X128" s="1">
        <f t="shared" ref="X128:X129" si="122">+P128-T128</f>
        <v>-17813</v>
      </c>
      <c r="Y128" s="1"/>
      <c r="Z128" s="5">
        <f t="shared" ref="Z128:Z129" si="123">IF(T128=0,0,X128/T128)</f>
        <v>-0.15530078465562336</v>
      </c>
    </row>
    <row r="129" spans="1:26" s="24" customFormat="1" hidden="1" outlineLevel="2" x14ac:dyDescent="0.25">
      <c r="A129" s="26"/>
      <c r="B129" s="11" t="str">
        <f>CONCATENATE("          ", "6274", " - ", "UTILITIES")</f>
        <v xml:space="preserve">          6274 - UTILITIES</v>
      </c>
      <c r="C129" s="11"/>
      <c r="D129" s="6">
        <v>38547</v>
      </c>
      <c r="E129" s="2"/>
      <c r="F129" s="7">
        <f t="shared" si="116"/>
        <v>3.1451487750752322E-2</v>
      </c>
      <c r="G129" s="2"/>
      <c r="H129" s="6">
        <v>17450</v>
      </c>
      <c r="I129" s="2"/>
      <c r="J129" s="7">
        <f t="shared" si="117"/>
        <v>1.204314551777589E-2</v>
      </c>
      <c r="K129" s="2"/>
      <c r="L129" s="6">
        <f t="shared" si="118"/>
        <v>21097</v>
      </c>
      <c r="M129" s="2"/>
      <c r="N129" s="7">
        <f t="shared" si="119"/>
        <v>1.2089971346704871</v>
      </c>
      <c r="O129" s="11"/>
      <c r="P129" s="6">
        <v>96887</v>
      </c>
      <c r="Q129" s="2"/>
      <c r="R129" s="7">
        <f t="shared" si="120"/>
        <v>1.0547623369204905E-2</v>
      </c>
      <c r="S129" s="2"/>
      <c r="T129" s="6">
        <v>114700</v>
      </c>
      <c r="U129" s="2"/>
      <c r="V129" s="7">
        <f t="shared" si="121"/>
        <v>1.18165681265846E-2</v>
      </c>
      <c r="W129" s="2"/>
      <c r="X129" s="6">
        <f t="shared" si="122"/>
        <v>-17813</v>
      </c>
      <c r="Y129" s="2"/>
      <c r="Z129" s="7">
        <f t="shared" si="123"/>
        <v>-0.15530078465562336</v>
      </c>
    </row>
    <row r="130" spans="1:26" s="53" customFormat="1" x14ac:dyDescent="0.25">
      <c r="A130" s="36"/>
      <c r="B130" s="36"/>
      <c r="C130" s="36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6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8" t="s">
        <v>0</v>
      </c>
      <c r="C131" s="10"/>
      <c r="D131" s="4">
        <f>SUM(OSRRefD25x_0)</f>
        <v>21370.27</v>
      </c>
      <c r="E131" s="4"/>
      <c r="F131" s="12">
        <f t="shared" ref="F131:F135" si="124">IF(D$12=0,0,D131/D$12)</f>
        <v>1.7436552394097332E-2</v>
      </c>
      <c r="G131" s="4"/>
      <c r="H131" s="4">
        <f>SUM(OSRRefH25x_0)</f>
        <v>28721</v>
      </c>
      <c r="I131" s="4"/>
      <c r="J131" s="12">
        <f t="shared" ref="J131:J135" si="125">IF(H$12=0,0,H131/H$12)</f>
        <v>1.9821844264529591E-2</v>
      </c>
      <c r="K131" s="4"/>
      <c r="L131" s="4">
        <f t="shared" ref="L131:L135" si="126">+D131-H131</f>
        <v>-7350.73</v>
      </c>
      <c r="M131" s="4"/>
      <c r="N131" s="12">
        <f t="shared" ref="N131:N135" si="127">IF(H131=0,0,L131/H131)</f>
        <v>-0.25593572647191948</v>
      </c>
      <c r="O131" s="10"/>
      <c r="P131" s="4">
        <f>SUM(OSRRefP25x_0)</f>
        <v>514437.52999999997</v>
      </c>
      <c r="Q131" s="4"/>
      <c r="R131" s="12">
        <f t="shared" ref="R131:R135" si="128">IF(P$12=0,0,P131/P$12)</f>
        <v>5.6004348503143349E-2</v>
      </c>
      <c r="S131" s="4"/>
      <c r="T131" s="4">
        <f>SUM(OSRRefT25x_0)</f>
        <v>444395</v>
      </c>
      <c r="U131" s="4"/>
      <c r="V131" s="12">
        <f t="shared" ref="V131:V135" si="129">IF(T$12=0,0,T131/T$12)</f>
        <v>4.5782247538043268E-2</v>
      </c>
      <c r="W131" s="4"/>
      <c r="X131" s="4">
        <f t="shared" ref="X131:X135" si="130">+P131-T131</f>
        <v>70042.52999999997</v>
      </c>
      <c r="Y131" s="4"/>
      <c r="Z131" s="12">
        <f t="shared" ref="Z131:Z135" si="131">IF(T131=0,0,X131/T131)</f>
        <v>0.15761322697150051</v>
      </c>
    </row>
    <row r="132" spans="1:26" s="24" customFormat="1" hidden="1" outlineLevel="1" x14ac:dyDescent="0.25">
      <c r="A132" s="44"/>
      <c r="B132" s="11" t="str">
        <f>CONCATENATE("          ", "9150", " - ", "MISC. INCOME")</f>
        <v xml:space="preserve">          9150 - MISC. INCOME</v>
      </c>
      <c r="C132" s="11"/>
      <c r="D132" s="2">
        <f>--17328.33</f>
        <v>17328.330000000002</v>
      </c>
      <c r="E132" s="2"/>
      <c r="F132" s="19">
        <f t="shared" si="124"/>
        <v>1.413862969196031E-2</v>
      </c>
      <c r="G132" s="2"/>
      <c r="H132" s="2">
        <v>28721</v>
      </c>
      <c r="I132" s="2"/>
      <c r="J132" s="19">
        <f t="shared" si="125"/>
        <v>1.9821844264529591E-2</v>
      </c>
      <c r="K132" s="2"/>
      <c r="L132" s="2">
        <f t="shared" si="126"/>
        <v>-11392.669999999998</v>
      </c>
      <c r="M132" s="2"/>
      <c r="N132" s="19">
        <f t="shared" si="127"/>
        <v>-0.39666689878486117</v>
      </c>
      <c r="O132" s="11"/>
      <c r="P132" s="2">
        <f>--182971.27</f>
        <v>182971.27</v>
      </c>
      <c r="Q132" s="2"/>
      <c r="R132" s="19">
        <f t="shared" si="128"/>
        <v>1.9919205294261361E-2</v>
      </c>
      <c r="S132" s="2"/>
      <c r="T132" s="2">
        <v>186578</v>
      </c>
      <c r="U132" s="2"/>
      <c r="V132" s="19">
        <f t="shared" si="129"/>
        <v>1.9221548804898878E-2</v>
      </c>
      <c r="W132" s="2"/>
      <c r="X132" s="2">
        <f t="shared" si="130"/>
        <v>-3606.7300000000105</v>
      </c>
      <c r="Y132" s="2"/>
      <c r="Z132" s="19">
        <f t="shared" si="131"/>
        <v>-1.9330950058420664E-2</v>
      </c>
    </row>
    <row r="133" spans="1:26" s="24" customFormat="1" hidden="1" outlineLevel="1" x14ac:dyDescent="0.25">
      <c r="A133" s="44"/>
      <c r="B133" s="11" t="str">
        <f>CONCATENATE("          ", "9151", " - ", "MISC. INCOME")</f>
        <v xml:space="preserve">          9151 - MISC. INCOME</v>
      </c>
      <c r="C133" s="11"/>
      <c r="D133" s="2">
        <f t="shared" ref="D133:D134" si="132">0</f>
        <v>0</v>
      </c>
      <c r="E133" s="2"/>
      <c r="F133" s="19">
        <f t="shared" si="124"/>
        <v>0</v>
      </c>
      <c r="G133" s="2"/>
      <c r="H133" s="2">
        <v>0</v>
      </c>
      <c r="I133" s="2"/>
      <c r="J133" s="19">
        <f t="shared" si="125"/>
        <v>0</v>
      </c>
      <c r="K133" s="2"/>
      <c r="L133" s="2">
        <f t="shared" si="126"/>
        <v>0</v>
      </c>
      <c r="M133" s="2"/>
      <c r="N133" s="19">
        <f t="shared" si="127"/>
        <v>0</v>
      </c>
      <c r="O133" s="11"/>
      <c r="P133" s="2">
        <f>0</f>
        <v>0</v>
      </c>
      <c r="Q133" s="2"/>
      <c r="R133" s="19">
        <f t="shared" si="128"/>
        <v>0</v>
      </c>
      <c r="S133" s="2"/>
      <c r="T133" s="2">
        <v>257817</v>
      </c>
      <c r="U133" s="2"/>
      <c r="V133" s="19">
        <f t="shared" si="129"/>
        <v>2.6560698733144393E-2</v>
      </c>
      <c r="W133" s="2"/>
      <c r="X133" s="2">
        <f t="shared" si="130"/>
        <v>-257817</v>
      </c>
      <c r="Y133" s="2"/>
      <c r="Z133" s="19">
        <f t="shared" si="131"/>
        <v>-1</v>
      </c>
    </row>
    <row r="134" spans="1:26" s="24" customFormat="1" hidden="1" outlineLevel="1" x14ac:dyDescent="0.25">
      <c r="A134" s="44"/>
      <c r="B134" s="11" t="str">
        <f>CONCATENATE("          ", "9160", " - ", "MISC. INCOME")</f>
        <v xml:space="preserve">          9160 - MISC. INCOME</v>
      </c>
      <c r="C134" s="11"/>
      <c r="D134" s="2">
        <f t="shared" si="132"/>
        <v>0</v>
      </c>
      <c r="E134" s="2"/>
      <c r="F134" s="19">
        <f t="shared" si="124"/>
        <v>0</v>
      </c>
      <c r="G134" s="2"/>
      <c r="H134" s="2"/>
      <c r="I134" s="2"/>
      <c r="J134" s="19">
        <f t="shared" si="125"/>
        <v>0</v>
      </c>
      <c r="K134" s="2"/>
      <c r="L134" s="2">
        <f t="shared" si="126"/>
        <v>0</v>
      </c>
      <c r="M134" s="2"/>
      <c r="N134" s="19">
        <f t="shared" si="127"/>
        <v>0</v>
      </c>
      <c r="O134" s="11"/>
      <c r="P134" s="2">
        <f>--104050.2</f>
        <v>104050.2</v>
      </c>
      <c r="Q134" s="2"/>
      <c r="R134" s="19">
        <f t="shared" si="128"/>
        <v>1.1327446624319509E-2</v>
      </c>
      <c r="S134" s="2"/>
      <c r="T134" s="2"/>
      <c r="U134" s="2"/>
      <c r="V134" s="19">
        <f t="shared" si="129"/>
        <v>0</v>
      </c>
      <c r="W134" s="2"/>
      <c r="X134" s="2">
        <f t="shared" si="130"/>
        <v>104050.2</v>
      </c>
      <c r="Y134" s="2"/>
      <c r="Z134" s="19">
        <f t="shared" si="131"/>
        <v>0</v>
      </c>
    </row>
    <row r="135" spans="1:26" s="24" customFormat="1" hidden="1" outlineLevel="1" x14ac:dyDescent="0.25">
      <c r="A135" s="44"/>
      <c r="B135" s="11" t="str">
        <f>CONCATENATE("          ", "9165", " - ", "OTHER INCOME")</f>
        <v xml:space="preserve">          9165 - OTHER INCOME</v>
      </c>
      <c r="C135" s="11"/>
      <c r="D135" s="2">
        <f>--4041.94</f>
        <v>4041.94</v>
      </c>
      <c r="E135" s="2"/>
      <c r="F135" s="19">
        <f t="shared" si="124"/>
        <v>3.2979227021370234E-3</v>
      </c>
      <c r="G135" s="2"/>
      <c r="H135" s="2"/>
      <c r="I135" s="2"/>
      <c r="J135" s="19">
        <f t="shared" si="125"/>
        <v>0</v>
      </c>
      <c r="K135" s="2"/>
      <c r="L135" s="2">
        <f t="shared" si="126"/>
        <v>4041.94</v>
      </c>
      <c r="M135" s="2"/>
      <c r="N135" s="19">
        <f t="shared" si="127"/>
        <v>0</v>
      </c>
      <c r="O135" s="11"/>
      <c r="P135" s="2">
        <f>--227416.06</f>
        <v>227416.06</v>
      </c>
      <c r="Q135" s="2"/>
      <c r="R135" s="19">
        <f t="shared" si="128"/>
        <v>2.4757696584562481E-2</v>
      </c>
      <c r="S135" s="2"/>
      <c r="T135" s="2"/>
      <c r="U135" s="2"/>
      <c r="V135" s="19">
        <f t="shared" si="129"/>
        <v>0</v>
      </c>
      <c r="W135" s="2"/>
      <c r="X135" s="2">
        <f t="shared" si="130"/>
        <v>227416.06</v>
      </c>
      <c r="Y135" s="2"/>
      <c r="Z135" s="19">
        <f t="shared" si="131"/>
        <v>0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9" t="s">
        <v>3</v>
      </c>
      <c r="C137" s="29"/>
      <c r="D137" s="22">
        <f>+D31-D33+D131</f>
        <v>16166.740000000089</v>
      </c>
      <c r="E137" s="14"/>
      <c r="F137" s="20">
        <f>IF(D$12=0,0,D137/D$12)</f>
        <v>1.3190858564339648E-2</v>
      </c>
      <c r="G137" s="14"/>
      <c r="H137" s="22">
        <f>+H31-H33+H131</f>
        <v>214792.58943121822</v>
      </c>
      <c r="I137" s="14"/>
      <c r="J137" s="20">
        <f>IF(H$12=0,0,H137/H$12)</f>
        <v>0.14823945046762479</v>
      </c>
      <c r="K137" s="16"/>
      <c r="L137" s="22">
        <f>+D137-H137</f>
        <v>-198625.84943121814</v>
      </c>
      <c r="M137" s="16"/>
      <c r="N137" s="20">
        <f>IF(H137=0,0,L137/H137)</f>
        <v>-0.92473325060789835</v>
      </c>
      <c r="O137" s="28"/>
      <c r="P137" s="22">
        <f>+P31-P33+P131</f>
        <v>1405381.2700000003</v>
      </c>
      <c r="Q137" s="14"/>
      <c r="R137" s="20">
        <f>IF(P$12=0,0,P137/P$12)</f>
        <v>0.15299712372242791</v>
      </c>
      <c r="S137" s="14"/>
      <c r="T137" s="22">
        <f>+T31-T33+T131</f>
        <v>1738116.1075876066</v>
      </c>
      <c r="U137" s="14"/>
      <c r="V137" s="20">
        <f>IF(T$12=0,0,T137/T$12)</f>
        <v>0.17906336004553619</v>
      </c>
      <c r="W137" s="16"/>
      <c r="X137" s="22">
        <f>+P137-T137</f>
        <v>-332734.83758760639</v>
      </c>
      <c r="Y137" s="16"/>
      <c r="Z137" s="20">
        <f>IF(T137=0,0,X137/T137)</f>
        <v>-0.19143418332934095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52"/>
      <c r="B139" s="10" t="s">
        <v>14</v>
      </c>
      <c r="C139" s="10"/>
      <c r="D139" s="4">
        <v>149205.74</v>
      </c>
      <c r="E139" s="4"/>
      <c r="F139" s="12">
        <f>IF(D$12=0,0,D139/D$12)</f>
        <v>0.12174079705170145</v>
      </c>
      <c r="G139" s="4"/>
      <c r="H139" s="4">
        <v>203847</v>
      </c>
      <c r="I139" s="4"/>
      <c r="J139" s="12">
        <f>IF(H$12=0,0,H139/H$12)</f>
        <v>0.14068533434739608</v>
      </c>
      <c r="K139" s="4"/>
      <c r="L139" s="4">
        <f>+D139-H139</f>
        <v>-54641.260000000009</v>
      </c>
      <c r="M139" s="4"/>
      <c r="N139" s="12">
        <f>IF(H139=0,0,L139/H139)</f>
        <v>-0.26805035148910705</v>
      </c>
      <c r="O139" s="10"/>
      <c r="P139" s="4">
        <v>992123.2300000001</v>
      </c>
      <c r="Q139" s="4"/>
      <c r="R139" s="12">
        <f>IF(P$12=0,0,P139/P$12)</f>
        <v>0.10800770140348091</v>
      </c>
      <c r="S139" s="4"/>
      <c r="T139" s="4">
        <v>1250370</v>
      </c>
      <c r="U139" s="4"/>
      <c r="V139" s="12">
        <f>IF(T$12=0,0,T139/T$12)</f>
        <v>0.12881501559230676</v>
      </c>
      <c r="W139" s="4"/>
      <c r="X139" s="4">
        <f>+P139-T139</f>
        <v>-258246.7699999999</v>
      </c>
      <c r="Y139" s="4"/>
      <c r="Z139" s="12">
        <f>IF(T139=0,0,X139/T139)</f>
        <v>-0.20653628126074675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4</v>
      </c>
      <c r="C141" s="29"/>
      <c r="D141" s="31">
        <f>+D137-D139</f>
        <v>-133038.99999999991</v>
      </c>
      <c r="E141" s="14"/>
      <c r="F141" s="32">
        <f>IF(D$12=0,0,D141/D$12)</f>
        <v>-0.1085499384873618</v>
      </c>
      <c r="G141" s="14"/>
      <c r="H141" s="31">
        <f>+H137-H139</f>
        <v>10945.589431218221</v>
      </c>
      <c r="I141" s="14"/>
      <c r="J141" s="32">
        <f>IF(H$12=0,0,H141/H$12)</f>
        <v>7.5541161202287033E-3</v>
      </c>
      <c r="K141" s="16"/>
      <c r="L141" s="31">
        <f>D141-H141</f>
        <v>-143984.58943121813</v>
      </c>
      <c r="M141" s="16"/>
      <c r="N141" s="32">
        <f>IF(H141=0,0,L141/H141)</f>
        <v>-13.154576127308015</v>
      </c>
      <c r="O141" s="28"/>
      <c r="P141" s="31">
        <f>+P137-P139</f>
        <v>413258.04000000015</v>
      </c>
      <c r="Q141" s="14"/>
      <c r="R141" s="32">
        <f>IF(P$12=0,0,P141/P$12)</f>
        <v>4.4989422318946995E-2</v>
      </c>
      <c r="S141" s="14"/>
      <c r="T141" s="31">
        <f>+T137-T139</f>
        <v>487746.10758760665</v>
      </c>
      <c r="U141" s="14"/>
      <c r="V141" s="32">
        <f>IF(T$12=0,0,T141/T$12)</f>
        <v>5.0248344453229433E-2</v>
      </c>
      <c r="W141" s="16"/>
      <c r="X141" s="31">
        <f>P141-T141</f>
        <v>-74488.067587606492</v>
      </c>
      <c r="Y141" s="16"/>
      <c r="Z141" s="32">
        <f>IF(T141=0,0,X141/T141)</f>
        <v>-0.15271893804755232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9" t="s">
        <v>5</v>
      </c>
      <c r="C144" s="29"/>
      <c r="D144" s="35">
        <f>SUM(D141:D143)</f>
        <v>-133038.99999999991</v>
      </c>
      <c r="E144" s="14"/>
      <c r="F144" s="34">
        <f>IF(D$12=0,0,D144/D$12)</f>
        <v>-0.1085499384873618</v>
      </c>
      <c r="G144" s="14"/>
      <c r="H144" s="35">
        <f>SUM(H141:H143)</f>
        <v>10945.589431218221</v>
      </c>
      <c r="I144" s="14"/>
      <c r="J144" s="34">
        <f>IF(H$12=0,0,H144/H$12)</f>
        <v>7.5541161202287033E-3</v>
      </c>
      <c r="K144" s="16"/>
      <c r="L144" s="35">
        <f>+D144-H144</f>
        <v>-143984.58943121813</v>
      </c>
      <c r="M144" s="16"/>
      <c r="N144" s="34">
        <f>IF(H144=0,0,L144/H144)</f>
        <v>-13.154576127308015</v>
      </c>
      <c r="O144" s="28"/>
      <c r="P144" s="35">
        <f>SUM(P141:P143)</f>
        <v>413258.04000000015</v>
      </c>
      <c r="Q144" s="14"/>
      <c r="R144" s="34">
        <f>IF(P$12=0,0,P144/P$12)</f>
        <v>4.4989422318946995E-2</v>
      </c>
      <c r="S144" s="14"/>
      <c r="T144" s="35">
        <f>SUM(T141:T143)</f>
        <v>487746.10758760665</v>
      </c>
      <c r="U144" s="14"/>
      <c r="V144" s="34">
        <f>IF(T$12=0,0,T144/T$12)</f>
        <v>5.0248344453229433E-2</v>
      </c>
      <c r="W144" s="16"/>
      <c r="X144" s="35">
        <f>+P144-T144</f>
        <v>-74488.067587606492</v>
      </c>
      <c r="Y144" s="16"/>
      <c r="Z144" s="34">
        <f>IF(T144=0,0,X144/T144)</f>
        <v>-0.15271893804755232</v>
      </c>
    </row>
    <row r="145" spans="1:24" ht="15.75" thickTop="1" x14ac:dyDescent="0.25">
      <c r="A145" s="9"/>
      <c r="C145" s="9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63">
        <v>43847.445526736112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5" t="s">
        <v>314</v>
      </c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A148" s="9"/>
      <c r="B148" s="56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4" x14ac:dyDescent="0.25"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313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634954.82999999996</v>
      </c>
      <c r="E12" s="4"/>
      <c r="F12" s="12"/>
      <c r="G12" s="4"/>
      <c r="H12" s="4">
        <f>SUM(OSRRefH13x_0)</f>
        <v>836046</v>
      </c>
      <c r="I12" s="4"/>
      <c r="J12" s="12"/>
      <c r="K12" s="4"/>
      <c r="L12" s="4">
        <f t="shared" ref="L12:L29" si="0">+D12-H12</f>
        <v>-201091.17000000004</v>
      </c>
      <c r="M12" s="4"/>
      <c r="N12" s="12">
        <f t="shared" ref="N12:N29" si="1">IF(H12=0,0,L12/H12)</f>
        <v>-0.24052644232494388</v>
      </c>
      <c r="O12" s="10"/>
      <c r="P12" s="4">
        <f>SUM(OSRRefP13x_0)</f>
        <v>4724149.870000001</v>
      </c>
      <c r="Q12" s="4"/>
      <c r="R12" s="12"/>
      <c r="S12" s="4"/>
      <c r="T12" s="4">
        <f>SUM(OSRRefT13x_0)</f>
        <v>5288923.1999999993</v>
      </c>
      <c r="U12" s="4"/>
      <c r="V12" s="12"/>
      <c r="W12" s="4"/>
      <c r="X12" s="4">
        <f t="shared" ref="X12:X29" si="2">+P12-T12</f>
        <v>-564773.32999999821</v>
      </c>
      <c r="Y12" s="4"/>
      <c r="Z12" s="12">
        <f t="shared" ref="Z12:Z29" si="3">IF(T12=0,0,X12/T12)</f>
        <v>-0.10678418056817279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333886</v>
      </c>
      <c r="I13" s="2"/>
      <c r="J13" s="19"/>
      <c r="K13" s="2"/>
      <c r="L13" s="2">
        <f t="shared" si="0"/>
        <v>-333886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2214608.1999999997</v>
      </c>
      <c r="U13" s="2"/>
      <c r="V13" s="19"/>
      <c r="W13" s="2"/>
      <c r="X13" s="2">
        <f t="shared" si="2"/>
        <v>-2214608.1999999997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--28435.15</f>
        <v>28435.15</v>
      </c>
      <c r="E14" s="2"/>
      <c r="F14" s="19"/>
      <c r="G14" s="2"/>
      <c r="H14" s="2"/>
      <c r="I14" s="2"/>
      <c r="J14" s="19"/>
      <c r="K14" s="2"/>
      <c r="L14" s="2">
        <f t="shared" si="0"/>
        <v>28435.15</v>
      </c>
      <c r="M14" s="2"/>
      <c r="N14" s="19">
        <f t="shared" si="1"/>
        <v>0</v>
      </c>
      <c r="O14" s="11"/>
      <c r="P14" s="2">
        <f>--189948.88</f>
        <v>189948.88</v>
      </c>
      <c r="Q14" s="2"/>
      <c r="R14" s="19"/>
      <c r="S14" s="2"/>
      <c r="T14" s="2"/>
      <c r="U14" s="2"/>
      <c r="V14" s="19"/>
      <c r="W14" s="2"/>
      <c r="X14" s="2">
        <f t="shared" si="2"/>
        <v>189948.88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--282.75</f>
        <v>282.75</v>
      </c>
      <c r="E15" s="2"/>
      <c r="F15" s="19"/>
      <c r="G15" s="2"/>
      <c r="H15" s="2"/>
      <c r="I15" s="2"/>
      <c r="J15" s="19"/>
      <c r="K15" s="2"/>
      <c r="L15" s="2">
        <f t="shared" si="0"/>
        <v>282.75</v>
      </c>
      <c r="M15" s="2"/>
      <c r="N15" s="19">
        <f t="shared" si="1"/>
        <v>0</v>
      </c>
      <c r="O15" s="11"/>
      <c r="P15" s="2">
        <f>--2201.92</f>
        <v>2201.92</v>
      </c>
      <c r="Q15" s="2"/>
      <c r="R15" s="19"/>
      <c r="S15" s="2"/>
      <c r="T15" s="2"/>
      <c r="U15" s="2"/>
      <c r="V15" s="19"/>
      <c r="W15" s="2"/>
      <c r="X15" s="2">
        <f t="shared" si="2"/>
        <v>2201.92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--57092.23</f>
        <v>57092.23</v>
      </c>
      <c r="E16" s="2"/>
      <c r="F16" s="19"/>
      <c r="G16" s="2"/>
      <c r="H16" s="2"/>
      <c r="I16" s="2"/>
      <c r="J16" s="19"/>
      <c r="K16" s="2"/>
      <c r="L16" s="2">
        <f t="shared" si="0"/>
        <v>57092.23</v>
      </c>
      <c r="M16" s="2"/>
      <c r="N16" s="19">
        <f t="shared" si="1"/>
        <v>0</v>
      </c>
      <c r="O16" s="11"/>
      <c r="P16" s="2">
        <f>--432096.75</f>
        <v>432096.75</v>
      </c>
      <c r="Q16" s="2"/>
      <c r="R16" s="19"/>
      <c r="S16" s="2"/>
      <c r="T16" s="2"/>
      <c r="U16" s="2"/>
      <c r="V16" s="19"/>
      <c r="W16" s="2"/>
      <c r="X16" s="2">
        <f t="shared" si="2"/>
        <v>432096.75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--82451.12</f>
        <v>82451.12</v>
      </c>
      <c r="E17" s="2"/>
      <c r="F17" s="19"/>
      <c r="G17" s="2"/>
      <c r="H17" s="2"/>
      <c r="I17" s="2"/>
      <c r="J17" s="19"/>
      <c r="K17" s="2"/>
      <c r="L17" s="2">
        <f t="shared" si="0"/>
        <v>82451.12</v>
      </c>
      <c r="M17" s="2"/>
      <c r="N17" s="19">
        <f t="shared" si="1"/>
        <v>0</v>
      </c>
      <c r="O17" s="11"/>
      <c r="P17" s="2">
        <f>--536296.65</f>
        <v>536296.65</v>
      </c>
      <c r="Q17" s="2"/>
      <c r="R17" s="19"/>
      <c r="S17" s="2"/>
      <c r="T17" s="2"/>
      <c r="U17" s="2"/>
      <c r="V17" s="19"/>
      <c r="W17" s="2"/>
      <c r="X17" s="2">
        <f t="shared" si="2"/>
        <v>536296.65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--15916.58</f>
        <v>15916.58</v>
      </c>
      <c r="E18" s="2"/>
      <c r="F18" s="19"/>
      <c r="G18" s="2"/>
      <c r="H18" s="2"/>
      <c r="I18" s="2"/>
      <c r="J18" s="19"/>
      <c r="K18" s="2"/>
      <c r="L18" s="2">
        <f t="shared" si="0"/>
        <v>15916.58</v>
      </c>
      <c r="M18" s="2"/>
      <c r="N18" s="19">
        <f t="shared" si="1"/>
        <v>0</v>
      </c>
      <c r="O18" s="11"/>
      <c r="P18" s="2">
        <f>--86431.87</f>
        <v>86431.87</v>
      </c>
      <c r="Q18" s="2"/>
      <c r="R18" s="19"/>
      <c r="S18" s="2"/>
      <c r="T18" s="2"/>
      <c r="U18" s="2"/>
      <c r="V18" s="19"/>
      <c r="W18" s="2"/>
      <c r="X18" s="2">
        <f t="shared" si="2"/>
        <v>86431.87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--36745.98</f>
        <v>36745.980000000003</v>
      </c>
      <c r="E19" s="2"/>
      <c r="F19" s="19"/>
      <c r="G19" s="2"/>
      <c r="H19" s="2"/>
      <c r="I19" s="2"/>
      <c r="J19" s="19"/>
      <c r="K19" s="2"/>
      <c r="L19" s="2">
        <f t="shared" si="0"/>
        <v>36745.980000000003</v>
      </c>
      <c r="M19" s="2"/>
      <c r="N19" s="19">
        <f t="shared" si="1"/>
        <v>0</v>
      </c>
      <c r="O19" s="11"/>
      <c r="P19" s="2">
        <f>--271853.95</f>
        <v>271853.95</v>
      </c>
      <c r="Q19" s="2"/>
      <c r="R19" s="19"/>
      <c r="S19" s="2"/>
      <c r="T19" s="2"/>
      <c r="U19" s="2"/>
      <c r="V19" s="19"/>
      <c r="W19" s="2"/>
      <c r="X19" s="2">
        <f t="shared" si="2"/>
        <v>271853.95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--9096.8</f>
        <v>9096.7999999999993</v>
      </c>
      <c r="E20" s="2"/>
      <c r="F20" s="19"/>
      <c r="G20" s="2"/>
      <c r="H20" s="2"/>
      <c r="I20" s="2"/>
      <c r="J20" s="19"/>
      <c r="K20" s="2"/>
      <c r="L20" s="2">
        <f t="shared" si="0"/>
        <v>9096.7999999999993</v>
      </c>
      <c r="M20" s="2"/>
      <c r="N20" s="19">
        <f t="shared" si="1"/>
        <v>0</v>
      </c>
      <c r="O20" s="11"/>
      <c r="P20" s="2">
        <f>--87899.21</f>
        <v>87899.21</v>
      </c>
      <c r="Q20" s="2"/>
      <c r="R20" s="19"/>
      <c r="S20" s="2"/>
      <c r="T20" s="2"/>
      <c r="U20" s="2"/>
      <c r="V20" s="19"/>
      <c r="W20" s="2"/>
      <c r="X20" s="2">
        <f t="shared" si="2"/>
        <v>87899.21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502160</v>
      </c>
      <c r="I21" s="2"/>
      <c r="J21" s="19"/>
      <c r="K21" s="2"/>
      <c r="L21" s="2">
        <f t="shared" si="0"/>
        <v>-502160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3074315</v>
      </c>
      <c r="U21" s="2"/>
      <c r="V21" s="19"/>
      <c r="W21" s="2"/>
      <c r="X21" s="2">
        <f t="shared" si="2"/>
        <v>-3074315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--84051.32</f>
        <v>84051.32</v>
      </c>
      <c r="E22" s="2"/>
      <c r="F22" s="19"/>
      <c r="G22" s="2"/>
      <c r="H22" s="2"/>
      <c r="I22" s="2"/>
      <c r="J22" s="19"/>
      <c r="K22" s="2"/>
      <c r="L22" s="2">
        <f t="shared" si="0"/>
        <v>84051.32</v>
      </c>
      <c r="M22" s="2"/>
      <c r="N22" s="19">
        <f t="shared" si="1"/>
        <v>0</v>
      </c>
      <c r="O22" s="11"/>
      <c r="P22" s="2">
        <f>--739121.72</f>
        <v>739121.72</v>
      </c>
      <c r="Q22" s="2"/>
      <c r="R22" s="19"/>
      <c r="S22" s="2"/>
      <c r="T22" s="2"/>
      <c r="U22" s="2"/>
      <c r="V22" s="19"/>
      <c r="W22" s="2"/>
      <c r="X22" s="2">
        <f t="shared" si="2"/>
        <v>739121.72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/>
      <c r="U23" s="2"/>
      <c r="V23" s="19"/>
      <c r="W23" s="2"/>
      <c r="X23" s="2">
        <f t="shared" si="2"/>
        <v>0.39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--125.56</f>
        <v>125.56</v>
      </c>
      <c r="E24" s="2"/>
      <c r="F24" s="19"/>
      <c r="G24" s="2"/>
      <c r="H24" s="2"/>
      <c r="I24" s="2"/>
      <c r="J24" s="19"/>
      <c r="K24" s="2"/>
      <c r="L24" s="2">
        <f t="shared" si="0"/>
        <v>125.56</v>
      </c>
      <c r="M24" s="2"/>
      <c r="N24" s="19">
        <f t="shared" si="1"/>
        <v>0</v>
      </c>
      <c r="O24" s="11"/>
      <c r="P24" s="2">
        <f>--1150.1</f>
        <v>1150.0999999999999</v>
      </c>
      <c r="Q24" s="2"/>
      <c r="R24" s="19"/>
      <c r="S24" s="2"/>
      <c r="T24" s="2"/>
      <c r="U24" s="2"/>
      <c r="V24" s="19"/>
      <c r="W24" s="2"/>
      <c r="X24" s="2">
        <f t="shared" si="2"/>
        <v>1150.0999999999999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--204747.05</f>
        <v>204747.05</v>
      </c>
      <c r="E25" s="2"/>
      <c r="F25" s="19"/>
      <c r="G25" s="2"/>
      <c r="H25" s="2"/>
      <c r="I25" s="2"/>
      <c r="J25" s="19"/>
      <c r="K25" s="2"/>
      <c r="L25" s="2">
        <f t="shared" si="0"/>
        <v>204747.05</v>
      </c>
      <c r="M25" s="2"/>
      <c r="N25" s="19">
        <f t="shared" si="1"/>
        <v>0</v>
      </c>
      <c r="O25" s="11"/>
      <c r="P25" s="2">
        <f>--1529617.24</f>
        <v>1529617.24</v>
      </c>
      <c r="Q25" s="2"/>
      <c r="R25" s="19"/>
      <c r="S25" s="2"/>
      <c r="T25" s="2"/>
      <c r="U25" s="2"/>
      <c r="V25" s="19"/>
      <c r="W25" s="2"/>
      <c r="X25" s="2">
        <f t="shared" si="2"/>
        <v>1529617.24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--4293.35</f>
        <v>4293.3500000000004</v>
      </c>
      <c r="E26" s="2"/>
      <c r="F26" s="19"/>
      <c r="G26" s="2"/>
      <c r="H26" s="2"/>
      <c r="I26" s="2"/>
      <c r="J26" s="19"/>
      <c r="K26" s="2"/>
      <c r="L26" s="2">
        <f t="shared" si="0"/>
        <v>4293.3500000000004</v>
      </c>
      <c r="M26" s="2"/>
      <c r="N26" s="19">
        <f t="shared" si="1"/>
        <v>0</v>
      </c>
      <c r="O26" s="11"/>
      <c r="P26" s="2">
        <f>--34634.8</f>
        <v>34634.800000000003</v>
      </c>
      <c r="Q26" s="2"/>
      <c r="R26" s="19"/>
      <c r="S26" s="2"/>
      <c r="T26" s="2"/>
      <c r="U26" s="2"/>
      <c r="V26" s="19"/>
      <c r="W26" s="2"/>
      <c r="X26" s="2">
        <f t="shared" si="2"/>
        <v>34634.800000000003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--2733</f>
        <v>2733</v>
      </c>
      <c r="E27" s="2"/>
      <c r="F27" s="19"/>
      <c r="G27" s="2"/>
      <c r="H27" s="2"/>
      <c r="I27" s="2"/>
      <c r="J27" s="19"/>
      <c r="K27" s="2"/>
      <c r="L27" s="2">
        <f t="shared" si="0"/>
        <v>2733</v>
      </c>
      <c r="M27" s="2"/>
      <c r="N27" s="19">
        <f t="shared" si="1"/>
        <v>0</v>
      </c>
      <c r="O27" s="11"/>
      <c r="P27" s="2">
        <f>--9560</f>
        <v>9560</v>
      </c>
      <c r="Q27" s="2"/>
      <c r="R27" s="19"/>
      <c r="S27" s="2"/>
      <c r="T27" s="2"/>
      <c r="U27" s="2"/>
      <c r="V27" s="19"/>
      <c r="W27" s="2"/>
      <c r="X27" s="2">
        <f t="shared" si="2"/>
        <v>9560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--63255.26</f>
        <v>63255.26</v>
      </c>
      <c r="E28" s="2"/>
      <c r="F28" s="19"/>
      <c r="G28" s="2"/>
      <c r="H28" s="2"/>
      <c r="I28" s="2"/>
      <c r="J28" s="19"/>
      <c r="K28" s="2"/>
      <c r="L28" s="2">
        <f t="shared" si="0"/>
        <v>63255.26</v>
      </c>
      <c r="M28" s="2"/>
      <c r="N28" s="19">
        <f t="shared" si="1"/>
        <v>0</v>
      </c>
      <c r="O28" s="11"/>
      <c r="P28" s="2">
        <f>--484720.45</f>
        <v>484720.45</v>
      </c>
      <c r="Q28" s="2"/>
      <c r="R28" s="19"/>
      <c r="S28" s="2"/>
      <c r="T28" s="2"/>
      <c r="U28" s="2"/>
      <c r="V28" s="19"/>
      <c r="W28" s="2"/>
      <c r="X28" s="2">
        <f t="shared" si="2"/>
        <v>484720.45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--45728.68</f>
        <v>45728.68</v>
      </c>
      <c r="E29" s="2"/>
      <c r="F29" s="19"/>
      <c r="G29" s="2"/>
      <c r="H29" s="2"/>
      <c r="I29" s="2"/>
      <c r="J29" s="19"/>
      <c r="K29" s="2"/>
      <c r="L29" s="2">
        <f t="shared" si="0"/>
        <v>45728.68</v>
      </c>
      <c r="M29" s="2"/>
      <c r="N29" s="19">
        <f t="shared" si="1"/>
        <v>0</v>
      </c>
      <c r="O29" s="11"/>
      <c r="P29" s="2">
        <f>--318615.94</f>
        <v>318615.94</v>
      </c>
      <c r="Q29" s="2"/>
      <c r="R29" s="19"/>
      <c r="S29" s="2"/>
      <c r="T29" s="2"/>
      <c r="U29" s="2"/>
      <c r="V29" s="19"/>
      <c r="W29" s="2"/>
      <c r="X29" s="2">
        <f t="shared" si="2"/>
        <v>318615.94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8" t="s">
        <v>8</v>
      </c>
      <c r="C31" s="10"/>
      <c r="D31" s="4">
        <f>SUM(OSRRefD16x_0)</f>
        <v>236810.22999999998</v>
      </c>
      <c r="E31" s="4"/>
      <c r="F31" s="12">
        <f t="shared" ref="F31:F34" si="4">IF(D$12=0,0,D31/D$12)</f>
        <v>0.372956025864076</v>
      </c>
      <c r="G31" s="4"/>
      <c r="H31" s="4">
        <f>SUM(OSRRefH16x_0)</f>
        <v>291932</v>
      </c>
      <c r="I31" s="4"/>
      <c r="J31" s="12">
        <f t="shared" ref="J31:J34" si="5">IF(H$12=0,0,H31/H$12)</f>
        <v>0.34918174358827148</v>
      </c>
      <c r="K31" s="4"/>
      <c r="L31" s="4">
        <f t="shared" ref="L31:L34" si="6">+D31-H31</f>
        <v>-55121.770000000019</v>
      </c>
      <c r="M31" s="4"/>
      <c r="N31" s="12">
        <f t="shared" ref="N31:N34" si="7">IF(H31=0,0,L31/H31)</f>
        <v>-0.18881715605003913</v>
      </c>
      <c r="O31" s="10"/>
      <c r="P31" s="4">
        <f>SUM(OSRRefP16x_0)</f>
        <v>1790336.4000000001</v>
      </c>
      <c r="Q31" s="4"/>
      <c r="R31" s="12">
        <f t="shared" ref="R31:R34" si="8">IF(P$12=0,0,P31/P$12)</f>
        <v>0.37897536049168562</v>
      </c>
      <c r="S31" s="4"/>
      <c r="T31" s="4">
        <f>SUM(OSRRefT16x_0)</f>
        <v>1922679</v>
      </c>
      <c r="U31" s="4"/>
      <c r="V31" s="12">
        <f t="shared" ref="V31:V34" si="9">IF(T$12=0,0,T31/T$12)</f>
        <v>0.36352938533877754</v>
      </c>
      <c r="W31" s="4"/>
      <c r="X31" s="4">
        <f t="shared" ref="X31:X34" si="10">+P31-T31</f>
        <v>-132342.59999999986</v>
      </c>
      <c r="Y31" s="4"/>
      <c r="Z31" s="12">
        <f t="shared" ref="Z31:Z34" si="11">IF(T31=0,0,X31/T31)</f>
        <v>-6.8832394799131766E-2</v>
      </c>
    </row>
    <row r="32" spans="1:26" s="24" customFormat="1" hidden="1" outlineLevel="1" x14ac:dyDescent="0.25">
      <c r="A32" s="44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19">
        <f t="shared" si="4"/>
        <v>0</v>
      </c>
      <c r="G32" s="2"/>
      <c r="H32" s="2">
        <v>291932</v>
      </c>
      <c r="I32" s="2"/>
      <c r="J32" s="19">
        <f t="shared" si="5"/>
        <v>0.34918174358827148</v>
      </c>
      <c r="K32" s="2"/>
      <c r="L32" s="2">
        <f t="shared" si="6"/>
        <v>-291932</v>
      </c>
      <c r="M32" s="2"/>
      <c r="N32" s="19">
        <f t="shared" si="7"/>
        <v>-1</v>
      </c>
      <c r="O32" s="11"/>
      <c r="P32" s="2"/>
      <c r="Q32" s="2"/>
      <c r="R32" s="19">
        <f t="shared" si="8"/>
        <v>0</v>
      </c>
      <c r="S32" s="2"/>
      <c r="T32" s="2">
        <v>1922679</v>
      </c>
      <c r="U32" s="2"/>
      <c r="V32" s="19">
        <f t="shared" si="9"/>
        <v>0.36352938533877754</v>
      </c>
      <c r="W32" s="2"/>
      <c r="X32" s="2">
        <f t="shared" si="10"/>
        <v>-1922679</v>
      </c>
      <c r="Y32" s="2"/>
      <c r="Z32" s="19">
        <f t="shared" si="11"/>
        <v>-1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213118.74</v>
      </c>
      <c r="E33" s="2"/>
      <c r="F33" s="19">
        <f t="shared" si="4"/>
        <v>0.33564393864048564</v>
      </c>
      <c r="G33" s="2"/>
      <c r="H33" s="2"/>
      <c r="I33" s="2"/>
      <c r="J33" s="19">
        <f t="shared" si="5"/>
        <v>0</v>
      </c>
      <c r="K33" s="2"/>
      <c r="L33" s="2">
        <f t="shared" si="6"/>
        <v>213118.74</v>
      </c>
      <c r="M33" s="2"/>
      <c r="N33" s="19">
        <f t="shared" si="7"/>
        <v>0</v>
      </c>
      <c r="O33" s="11"/>
      <c r="P33" s="2">
        <v>1832661.81</v>
      </c>
      <c r="Q33" s="2"/>
      <c r="R33" s="19">
        <f t="shared" si="8"/>
        <v>0.38793473120699273</v>
      </c>
      <c r="S33" s="2"/>
      <c r="T33" s="2"/>
      <c r="U33" s="2"/>
      <c r="V33" s="19">
        <f t="shared" si="9"/>
        <v>0</v>
      </c>
      <c r="W33" s="2"/>
      <c r="X33" s="2">
        <f t="shared" si="10"/>
        <v>1832661.81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23691.489999999998</v>
      </c>
      <c r="E34" s="2"/>
      <c r="F34" s="19">
        <f t="shared" si="4"/>
        <v>3.7312087223590376E-2</v>
      </c>
      <c r="G34" s="2"/>
      <c r="H34" s="2"/>
      <c r="I34" s="2"/>
      <c r="J34" s="19">
        <f t="shared" si="5"/>
        <v>0</v>
      </c>
      <c r="K34" s="2"/>
      <c r="L34" s="2">
        <f t="shared" si="6"/>
        <v>23691.489999999998</v>
      </c>
      <c r="M34" s="2"/>
      <c r="N34" s="19">
        <f t="shared" si="7"/>
        <v>0</v>
      </c>
      <c r="O34" s="11"/>
      <c r="P34" s="2">
        <v>-42325.409999999996</v>
      </c>
      <c r="Q34" s="2"/>
      <c r="R34" s="19">
        <f t="shared" si="8"/>
        <v>-8.9593707153071307E-3</v>
      </c>
      <c r="S34" s="2"/>
      <c r="T34" s="2"/>
      <c r="U34" s="2"/>
      <c r="V34" s="19">
        <f t="shared" si="9"/>
        <v>0</v>
      </c>
      <c r="W34" s="2"/>
      <c r="X34" s="2">
        <f t="shared" si="10"/>
        <v>-42325.409999999996</v>
      </c>
      <c r="Y34" s="2"/>
      <c r="Z34" s="19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9" t="s">
        <v>6</v>
      </c>
      <c r="C36" s="29"/>
      <c r="D36" s="22">
        <f>D12-D31</f>
        <v>398144.6</v>
      </c>
      <c r="E36" s="14"/>
      <c r="F36" s="20">
        <f>IF(D$12=0,0,D36/D$12)</f>
        <v>0.62704397413592394</v>
      </c>
      <c r="G36" s="14"/>
      <c r="H36" s="22">
        <f>H12-H31</f>
        <v>544114</v>
      </c>
      <c r="I36" s="14"/>
      <c r="J36" s="20">
        <f>IF(H$12=0,0,H36/H$12)</f>
        <v>0.65081825641172852</v>
      </c>
      <c r="K36" s="16"/>
      <c r="L36" s="22">
        <f>+D36-H36</f>
        <v>-145969.40000000002</v>
      </c>
      <c r="M36" s="16"/>
      <c r="N36" s="20">
        <f>IF(H36=0,0,L36/H36)</f>
        <v>-0.26826988461976725</v>
      </c>
      <c r="O36" s="28"/>
      <c r="P36" s="22">
        <f>P12-P31</f>
        <v>2933813.4700000007</v>
      </c>
      <c r="Q36" s="14"/>
      <c r="R36" s="20">
        <f>IF(P$12=0,0,P36/P$12)</f>
        <v>0.62102463950831432</v>
      </c>
      <c r="S36" s="14"/>
      <c r="T36" s="22">
        <f>T12-T31</f>
        <v>3366244.1999999993</v>
      </c>
      <c r="U36" s="14"/>
      <c r="V36" s="20">
        <f>IF(T$12=0,0,T36/T$12)</f>
        <v>0.63647061466122246</v>
      </c>
      <c r="W36" s="16"/>
      <c r="X36" s="22">
        <f>+P36-T36</f>
        <v>-432430.72999999858</v>
      </c>
      <c r="Y36" s="16"/>
      <c r="Z36" s="20">
        <f>IF(T36=0,0,X36/T36)</f>
        <v>-0.12846089122114154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9</v>
      </c>
      <c r="C38" s="10"/>
      <c r="D38" s="21">
        <f>SUM(OSRRefD22x_0)</f>
        <v>576673.31999999983</v>
      </c>
      <c r="E38" s="21"/>
      <c r="F38" s="30">
        <f t="shared" ref="F38:F49" si="12">IF(D$12=0,0,D38/D$12)</f>
        <v>0.90821156522267865</v>
      </c>
      <c r="G38" s="21"/>
      <c r="H38" s="21">
        <f>SUM(OSRRefH22x_0)</f>
        <v>528574.53351351991</v>
      </c>
      <c r="I38" s="21"/>
      <c r="J38" s="30">
        <f t="shared" ref="J38:J49" si="13">IF(H$12=0,0,H38/H$12)</f>
        <v>0.63223140056111737</v>
      </c>
      <c r="K38" s="4"/>
      <c r="L38" s="21">
        <f t="shared" ref="L38:L49" si="14">+D38-H38</f>
        <v>48098.786486479919</v>
      </c>
      <c r="M38" s="4"/>
      <c r="N38" s="30">
        <f t="shared" ref="N38:N49" si="15">IF(H38=0,0,L38/H38)</f>
        <v>9.0997169626693047E-2</v>
      </c>
      <c r="O38" s="10"/>
      <c r="P38" s="21">
        <f>SUM(OSRRefP22x_0)</f>
        <v>3508762.6800000006</v>
      </c>
      <c r="Q38" s="21"/>
      <c r="R38" s="30">
        <f t="shared" ref="R38:R49" si="16">IF(P$12=0,0,P38/P$12)</f>
        <v>0.74272890923335588</v>
      </c>
      <c r="S38" s="21"/>
      <c r="T38" s="21">
        <f>SUM(OSRRefT22x_0)</f>
        <v>3384779.5392733449</v>
      </c>
      <c r="U38" s="21"/>
      <c r="V38" s="30">
        <f t="shared" ref="V38:V49" si="17">IF(T$12=0,0,T38/T$12)</f>
        <v>0.63997517288081351</v>
      </c>
      <c r="W38" s="4"/>
      <c r="X38" s="21">
        <f t="shared" ref="X38:X49" si="18">+P38-T38</f>
        <v>123983.14072665572</v>
      </c>
      <c r="Y38" s="4"/>
      <c r="Z38" s="30">
        <f t="shared" ref="Z38:Z49" si="19">IF(T38=0,0,X38/T38)</f>
        <v>3.6629605942747105E-2</v>
      </c>
    </row>
    <row r="39" spans="1:26" s="25" customFormat="1" outlineLevel="1" collapsed="1" x14ac:dyDescent="0.25">
      <c r="A39" s="27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77437.950000000012</v>
      </c>
      <c r="E39" s="1"/>
      <c r="F39" s="5">
        <f t="shared" si="12"/>
        <v>0.121958202916576</v>
      </c>
      <c r="G39" s="1"/>
      <c r="H39" s="1">
        <f>SUM(OSRRefH22_0x_0)</f>
        <v>77959.111628904473</v>
      </c>
      <c r="I39" s="1"/>
      <c r="J39" s="5">
        <f t="shared" si="13"/>
        <v>9.324739503436949E-2</v>
      </c>
      <c r="K39" s="1"/>
      <c r="L39" s="1">
        <f t="shared" si="14"/>
        <v>-521.16162890446139</v>
      </c>
      <c r="M39" s="1"/>
      <c r="N39" s="5">
        <f t="shared" si="15"/>
        <v>-6.6850637214192314E-3</v>
      </c>
      <c r="O39" s="13"/>
      <c r="P39" s="1">
        <f>SUM(OSRRefP22_0x_0)</f>
        <v>490993.72999999992</v>
      </c>
      <c r="Q39" s="1"/>
      <c r="R39" s="5">
        <f t="shared" si="16"/>
        <v>0.10393271668157297</v>
      </c>
      <c r="S39" s="1"/>
      <c r="T39" s="1">
        <f>SUM(OSRRefT22_0x_0)</f>
        <v>476992.08117334434</v>
      </c>
      <c r="U39" s="1"/>
      <c r="V39" s="5">
        <f t="shared" si="17"/>
        <v>9.0186993294465764E-2</v>
      </c>
      <c r="W39" s="1"/>
      <c r="X39" s="1">
        <f t="shared" si="18"/>
        <v>14001.648826655583</v>
      </c>
      <c r="Y39" s="1"/>
      <c r="Z39" s="5">
        <f t="shared" si="19"/>
        <v>2.9354048797231969E-2</v>
      </c>
    </row>
    <row r="40" spans="1:26" s="24" customFormat="1" hidden="1" outlineLevel="2" x14ac:dyDescent="0.25">
      <c r="A40" s="26"/>
      <c r="B40" s="11" t="str">
        <f>CONCATENATE("          ", "6111", " - ", "F.I.C.A.")</f>
        <v xml:space="preserve">          6111 - F.I.C.A.</v>
      </c>
      <c r="C40" s="11"/>
      <c r="D40" s="6">
        <v>12463.44</v>
      </c>
      <c r="E40" s="2"/>
      <c r="F40" s="7">
        <f t="shared" si="12"/>
        <v>1.9628860843534338E-2</v>
      </c>
      <c r="G40" s="2"/>
      <c r="H40" s="6">
        <v>10339.703980686001</v>
      </c>
      <c r="I40" s="2"/>
      <c r="J40" s="7">
        <f t="shared" si="13"/>
        <v>1.2367386460417251E-2</v>
      </c>
      <c r="K40" s="2"/>
      <c r="L40" s="6">
        <f t="shared" si="14"/>
        <v>2123.7360193139993</v>
      </c>
      <c r="M40" s="2"/>
      <c r="N40" s="7">
        <f t="shared" si="15"/>
        <v>0.20539621088582627</v>
      </c>
      <c r="O40" s="11"/>
      <c r="P40" s="6">
        <v>94483.260000000009</v>
      </c>
      <c r="Q40" s="2"/>
      <c r="R40" s="7">
        <f t="shared" si="16"/>
        <v>2.0000055586720831E-2</v>
      </c>
      <c r="S40" s="2"/>
      <c r="T40" s="6">
        <v>77455.120384692011</v>
      </c>
      <c r="U40" s="2"/>
      <c r="V40" s="7">
        <f t="shared" si="17"/>
        <v>1.4644780696511536E-2</v>
      </c>
      <c r="W40" s="2"/>
      <c r="X40" s="6">
        <f t="shared" si="18"/>
        <v>17028.139615307999</v>
      </c>
      <c r="Y40" s="2"/>
      <c r="Z40" s="7">
        <f t="shared" si="19"/>
        <v>0.21984524109878456</v>
      </c>
    </row>
    <row r="41" spans="1:26" s="24" customFormat="1" hidden="1" outlineLevel="2" x14ac:dyDescent="0.25">
      <c r="A41" s="26"/>
      <c r="B41" s="11" t="str">
        <f>CONCATENATE("          ", "6112", " - ", "COMPENSATION INSURANCE")</f>
        <v xml:space="preserve">          6112 - COMPENSATION INSURANCE</v>
      </c>
      <c r="C41" s="11"/>
      <c r="D41" s="6">
        <v>12127.26</v>
      </c>
      <c r="E41" s="2"/>
      <c r="F41" s="7">
        <f t="shared" si="12"/>
        <v>1.9099405858523828E-2</v>
      </c>
      <c r="G41" s="2"/>
      <c r="H41" s="6">
        <v>8333.4535059446134</v>
      </c>
      <c r="I41" s="2"/>
      <c r="J41" s="7">
        <f t="shared" si="13"/>
        <v>9.9676973586915237E-3</v>
      </c>
      <c r="K41" s="2"/>
      <c r="L41" s="6">
        <f t="shared" si="14"/>
        <v>3793.8064940553868</v>
      </c>
      <c r="M41" s="2"/>
      <c r="N41" s="7">
        <f t="shared" si="15"/>
        <v>0.45525021425380247</v>
      </c>
      <c r="O41" s="11"/>
      <c r="P41" s="6">
        <v>43365.79</v>
      </c>
      <c r="Q41" s="2"/>
      <c r="R41" s="7">
        <f t="shared" si="16"/>
        <v>9.1795965821041981E-3</v>
      </c>
      <c r="S41" s="2"/>
      <c r="T41" s="6">
        <v>56445.75810431999</v>
      </c>
      <c r="U41" s="2"/>
      <c r="V41" s="7">
        <f t="shared" si="17"/>
        <v>1.0672448052246248E-2</v>
      </c>
      <c r="W41" s="2"/>
      <c r="X41" s="6">
        <f t="shared" si="18"/>
        <v>-13079.968104319989</v>
      </c>
      <c r="Y41" s="2"/>
      <c r="Z41" s="7">
        <f t="shared" si="19"/>
        <v>-0.23172632530058859</v>
      </c>
    </row>
    <row r="42" spans="1:26" s="24" customFormat="1" hidden="1" outlineLevel="2" x14ac:dyDescent="0.25">
      <c r="A42" s="26"/>
      <c r="B42" s="11" t="str">
        <f>CONCATENATE("          ", "6113", " - ", "GROUP INSURANCE")</f>
        <v xml:space="preserve">          6113 - GROUP INSURANCE</v>
      </c>
      <c r="C42" s="11"/>
      <c r="D42" s="6">
        <v>27691.43</v>
      </c>
      <c r="E42" s="2"/>
      <c r="F42" s="7">
        <f t="shared" si="12"/>
        <v>4.3611653446277432E-2</v>
      </c>
      <c r="G42" s="2"/>
      <c r="H42" s="6">
        <v>26882.069230769237</v>
      </c>
      <c r="I42" s="2"/>
      <c r="J42" s="7">
        <f t="shared" si="13"/>
        <v>3.2153815975160739E-2</v>
      </c>
      <c r="K42" s="2"/>
      <c r="L42" s="6">
        <f t="shared" si="14"/>
        <v>809.36076923076325</v>
      </c>
      <c r="M42" s="2"/>
      <c r="N42" s="7">
        <f t="shared" si="15"/>
        <v>3.0107829954710789E-2</v>
      </c>
      <c r="O42" s="11"/>
      <c r="P42" s="6">
        <v>165825.53</v>
      </c>
      <c r="Q42" s="2"/>
      <c r="R42" s="7">
        <f t="shared" si="16"/>
        <v>3.510166581569521E-2</v>
      </c>
      <c r="S42" s="2"/>
      <c r="T42" s="6">
        <v>167153.64230769235</v>
      </c>
      <c r="U42" s="2"/>
      <c r="V42" s="7">
        <f t="shared" si="17"/>
        <v>3.1604475237547856E-2</v>
      </c>
      <c r="W42" s="2"/>
      <c r="X42" s="6">
        <f t="shared" si="18"/>
        <v>-1328.1123076923541</v>
      </c>
      <c r="Y42" s="2"/>
      <c r="Z42" s="7">
        <f t="shared" si="19"/>
        <v>-7.9454583780328124E-3</v>
      </c>
    </row>
    <row r="43" spans="1:26" s="24" customFormat="1" hidden="1" outlineLevel="2" x14ac:dyDescent="0.25">
      <c r="A43" s="26"/>
      <c r="B43" s="11" t="str">
        <f>CONCATENATE("          ", "6114", " - ", "STATE UNEMPLOYMENT INSURANCE")</f>
        <v xml:space="preserve">          6114 - STATE UNEMPLOYMENT INSURANCE</v>
      </c>
      <c r="C43" s="11"/>
      <c r="D43" s="6">
        <v>956.95</v>
      </c>
      <c r="E43" s="2"/>
      <c r="F43" s="7">
        <f t="shared" si="12"/>
        <v>1.507115080926308E-3</v>
      </c>
      <c r="G43" s="2"/>
      <c r="H43" s="6">
        <v>664.58937012000001</v>
      </c>
      <c r="I43" s="2"/>
      <c r="J43" s="7">
        <f t="shared" si="13"/>
        <v>7.9491962179114542E-4</v>
      </c>
      <c r="K43" s="2"/>
      <c r="L43" s="6">
        <f t="shared" si="14"/>
        <v>292.36062988000003</v>
      </c>
      <c r="M43" s="2"/>
      <c r="N43" s="7">
        <f t="shared" si="15"/>
        <v>0.4399116853572464</v>
      </c>
      <c r="O43" s="11"/>
      <c r="P43" s="6">
        <v>4548.6000000000004</v>
      </c>
      <c r="Q43" s="2"/>
      <c r="R43" s="7">
        <f t="shared" si="16"/>
        <v>9.6283990245212079E-4</v>
      </c>
      <c r="S43" s="2"/>
      <c r="T43" s="6">
        <v>4467.0615246399993</v>
      </c>
      <c r="U43" s="2"/>
      <c r="V43" s="7">
        <f t="shared" si="17"/>
        <v>8.4460699384706511E-4</v>
      </c>
      <c r="W43" s="2"/>
      <c r="X43" s="6">
        <f t="shared" si="18"/>
        <v>81.53847536000103</v>
      </c>
      <c r="Y43" s="2"/>
      <c r="Z43" s="7">
        <f t="shared" si="19"/>
        <v>1.8253268935348326E-2</v>
      </c>
    </row>
    <row r="44" spans="1:26" s="24" customFormat="1" hidden="1" outlineLevel="2" x14ac:dyDescent="0.25">
      <c r="A44" s="26"/>
      <c r="B44" s="11" t="str">
        <f>CONCATENATE("          ", "6115", " - ", "P.E.R.S.")</f>
        <v xml:space="preserve">          6115 - P.E.R.S.</v>
      </c>
      <c r="C44" s="11"/>
      <c r="D44" s="6">
        <v>8126.67</v>
      </c>
      <c r="E44" s="2"/>
      <c r="F44" s="7">
        <f t="shared" si="12"/>
        <v>1.2798815940970164E-2</v>
      </c>
      <c r="G44" s="2"/>
      <c r="H44" s="6">
        <v>8289.5649400000057</v>
      </c>
      <c r="I44" s="2"/>
      <c r="J44" s="7">
        <f t="shared" si="13"/>
        <v>9.9152019625714446E-3</v>
      </c>
      <c r="K44" s="2"/>
      <c r="L44" s="6">
        <f t="shared" si="14"/>
        <v>-162.89494000000559</v>
      </c>
      <c r="M44" s="2"/>
      <c r="N44" s="7">
        <f t="shared" si="15"/>
        <v>-1.9650601832429275E-2</v>
      </c>
      <c r="O44" s="11"/>
      <c r="P44" s="6">
        <v>51960.55</v>
      </c>
      <c r="Q44" s="2"/>
      <c r="R44" s="7">
        <f t="shared" si="16"/>
        <v>1.0998920743384459E-2</v>
      </c>
      <c r="S44" s="2"/>
      <c r="T44" s="6">
        <v>53882.172110000029</v>
      </c>
      <c r="U44" s="2"/>
      <c r="V44" s="7">
        <f t="shared" si="17"/>
        <v>1.0187739559160178E-2</v>
      </c>
      <c r="W44" s="2"/>
      <c r="X44" s="6">
        <f t="shared" si="18"/>
        <v>-1921.6221100000257</v>
      </c>
      <c r="Y44" s="2"/>
      <c r="Z44" s="7">
        <f t="shared" si="19"/>
        <v>-3.5663412122233111E-2</v>
      </c>
    </row>
    <row r="45" spans="1:26" s="24" customFormat="1" hidden="1" outlineLevel="2" x14ac:dyDescent="0.25">
      <c r="A45" s="26"/>
      <c r="B45" s="11" t="str">
        <f>CONCATENATE("          ", "6116", " - ", "EDUCATIONAL BENEFITS")</f>
        <v xml:space="preserve">          6116 - EDUCATIONAL BENEFITS</v>
      </c>
      <c r="C45" s="11"/>
      <c r="D45" s="6"/>
      <c r="E45" s="2"/>
      <c r="F45" s="7">
        <f t="shared" si="12"/>
        <v>0</v>
      </c>
      <c r="G45" s="2"/>
      <c r="H45" s="6">
        <v>8000</v>
      </c>
      <c r="I45" s="2"/>
      <c r="J45" s="7">
        <f t="shared" si="13"/>
        <v>9.5688514746796235E-3</v>
      </c>
      <c r="K45" s="2"/>
      <c r="L45" s="6">
        <f t="shared" si="14"/>
        <v>-8000</v>
      </c>
      <c r="M45" s="2"/>
      <c r="N45" s="7">
        <f t="shared" si="15"/>
        <v>-1</v>
      </c>
      <c r="O45" s="11"/>
      <c r="P45" s="6"/>
      <c r="Q45" s="2"/>
      <c r="R45" s="7">
        <f t="shared" si="16"/>
        <v>0</v>
      </c>
      <c r="S45" s="2"/>
      <c r="T45" s="6">
        <v>16000</v>
      </c>
      <c r="U45" s="2"/>
      <c r="V45" s="7">
        <f t="shared" si="17"/>
        <v>3.0251904584282867E-3</v>
      </c>
      <c r="W45" s="2"/>
      <c r="X45" s="6">
        <f t="shared" si="18"/>
        <v>-16000</v>
      </c>
      <c r="Y45" s="2"/>
      <c r="Z45" s="7">
        <f t="shared" si="19"/>
        <v>-1</v>
      </c>
    </row>
    <row r="46" spans="1:26" s="24" customFormat="1" hidden="1" outlineLevel="2" x14ac:dyDescent="0.25">
      <c r="A46" s="26"/>
      <c r="B46" s="11" t="str">
        <f>CONCATENATE("          ", "6117", " - ", "RETIREMENT STAFF HOURLY")</f>
        <v xml:space="preserve">          6117 - RETIREMENT STAFF HOURLY</v>
      </c>
      <c r="C46" s="11"/>
      <c r="D46" s="6">
        <v>56</v>
      </c>
      <c r="E46" s="2"/>
      <c r="F46" s="7">
        <f t="shared" si="12"/>
        <v>8.8195250046369452E-5</v>
      </c>
      <c r="G46" s="2"/>
      <c r="H46" s="6"/>
      <c r="I46" s="2"/>
      <c r="J46" s="7">
        <f t="shared" si="13"/>
        <v>0</v>
      </c>
      <c r="K46" s="2"/>
      <c r="L46" s="6">
        <f t="shared" si="14"/>
        <v>56</v>
      </c>
      <c r="M46" s="2"/>
      <c r="N46" s="7">
        <f t="shared" si="15"/>
        <v>0</v>
      </c>
      <c r="O46" s="11"/>
      <c r="P46" s="6">
        <v>364</v>
      </c>
      <c r="Q46" s="2"/>
      <c r="R46" s="7">
        <f t="shared" si="16"/>
        <v>7.7050900165451336E-5</v>
      </c>
      <c r="S46" s="2"/>
      <c r="T46" s="6"/>
      <c r="U46" s="2"/>
      <c r="V46" s="7">
        <f t="shared" si="17"/>
        <v>0</v>
      </c>
      <c r="W46" s="2"/>
      <c r="X46" s="6">
        <f t="shared" si="18"/>
        <v>364</v>
      </c>
      <c r="Y46" s="2"/>
      <c r="Z46" s="7">
        <f t="shared" si="19"/>
        <v>0</v>
      </c>
    </row>
    <row r="47" spans="1:26" s="24" customFormat="1" hidden="1" outlineLevel="2" x14ac:dyDescent="0.25">
      <c r="A47" s="26"/>
      <c r="B47" s="11" t="str">
        <f>CONCATENATE("          ", "6118", " - ", "VACATION")</f>
        <v xml:space="preserve">          6118 - VACATION</v>
      </c>
      <c r="C47" s="11"/>
      <c r="D47" s="6">
        <v>7168.07</v>
      </c>
      <c r="E47" s="2"/>
      <c r="F47" s="7">
        <f t="shared" si="12"/>
        <v>1.1289102249997846E-2</v>
      </c>
      <c r="G47" s="2"/>
      <c r="H47" s="6">
        <v>5777.1857999999957</v>
      </c>
      <c r="I47" s="2"/>
      <c r="J47" s="7">
        <f t="shared" si="13"/>
        <v>6.9101291077285172E-3</v>
      </c>
      <c r="K47" s="2"/>
      <c r="L47" s="6">
        <f t="shared" si="14"/>
        <v>1390.8842000000041</v>
      </c>
      <c r="M47" s="2"/>
      <c r="N47" s="7">
        <f t="shared" si="15"/>
        <v>0.24075462485558369</v>
      </c>
      <c r="O47" s="11"/>
      <c r="P47" s="6">
        <v>52969.23</v>
      </c>
      <c r="Q47" s="2"/>
      <c r="R47" s="7">
        <f t="shared" si="16"/>
        <v>1.1212436408161622E-2</v>
      </c>
      <c r="S47" s="2"/>
      <c r="T47" s="6">
        <v>37868.514549999978</v>
      </c>
      <c r="U47" s="2"/>
      <c r="V47" s="7">
        <f t="shared" si="17"/>
        <v>7.1599668057195425E-3</v>
      </c>
      <c r="W47" s="2"/>
      <c r="X47" s="6">
        <f t="shared" si="18"/>
        <v>15100.715450000025</v>
      </c>
      <c r="Y47" s="2"/>
      <c r="Z47" s="7">
        <f t="shared" si="19"/>
        <v>0.39876703983362438</v>
      </c>
    </row>
    <row r="48" spans="1:26" s="24" customFormat="1" hidden="1" outlineLevel="2" x14ac:dyDescent="0.25">
      <c r="A48" s="26"/>
      <c r="B48" s="11" t="str">
        <f>CONCATENATE("          ", "6119", " - ", "SICK LEAVE")</f>
        <v xml:space="preserve">          6119 - SICK LEAVE</v>
      </c>
      <c r="C48" s="11"/>
      <c r="D48" s="6">
        <v>5383.6</v>
      </c>
      <c r="E48" s="2"/>
      <c r="F48" s="7">
        <f t="shared" si="12"/>
        <v>8.4787133598149024E-3</v>
      </c>
      <c r="G48" s="2"/>
      <c r="H48" s="6">
        <v>7947.5448013846117</v>
      </c>
      <c r="I48" s="2"/>
      <c r="J48" s="7">
        <f t="shared" si="13"/>
        <v>9.5061094741014391E-3</v>
      </c>
      <c r="K48" s="2"/>
      <c r="L48" s="6">
        <f t="shared" si="14"/>
        <v>-2563.9448013846113</v>
      </c>
      <c r="M48" s="2"/>
      <c r="N48" s="7">
        <f t="shared" si="15"/>
        <v>-0.32260841120869477</v>
      </c>
      <c r="O48" s="11"/>
      <c r="P48" s="6">
        <v>58036.800000000003</v>
      </c>
      <c r="Q48" s="2"/>
      <c r="R48" s="7">
        <f t="shared" si="16"/>
        <v>1.2285130996489743E-2</v>
      </c>
      <c r="S48" s="2"/>
      <c r="T48" s="6">
        <v>53244.81219199999</v>
      </c>
      <c r="U48" s="2"/>
      <c r="V48" s="7">
        <f t="shared" si="17"/>
        <v>1.006723111275278E-2</v>
      </c>
      <c r="W48" s="2"/>
      <c r="X48" s="6">
        <f t="shared" si="18"/>
        <v>4791.9878080000126</v>
      </c>
      <c r="Y48" s="2"/>
      <c r="Z48" s="7">
        <f t="shared" si="19"/>
        <v>8.999914941422231E-2</v>
      </c>
    </row>
    <row r="49" spans="1:26" s="24" customFormat="1" hidden="1" outlineLevel="2" x14ac:dyDescent="0.25">
      <c r="A49" s="26"/>
      <c r="B49" s="11" t="str">
        <f>CONCATENATE("          ", "6156", " - ", "EMPLOYEE MEALS")</f>
        <v xml:space="preserve">          6156 - EMPLOYEE MEALS</v>
      </c>
      <c r="C49" s="11"/>
      <c r="D49" s="6">
        <v>3464.53</v>
      </c>
      <c r="E49" s="2"/>
      <c r="F49" s="7">
        <f t="shared" si="12"/>
        <v>5.4563408864847923E-3</v>
      </c>
      <c r="G49" s="2"/>
      <c r="H49" s="6">
        <v>1725</v>
      </c>
      <c r="I49" s="2"/>
      <c r="J49" s="7">
        <f t="shared" si="13"/>
        <v>2.0632835992277936E-3</v>
      </c>
      <c r="K49" s="2"/>
      <c r="L49" s="6">
        <f t="shared" si="14"/>
        <v>1739.5300000000002</v>
      </c>
      <c r="M49" s="2"/>
      <c r="N49" s="7">
        <f t="shared" si="15"/>
        <v>1.0084231884057973</v>
      </c>
      <c r="O49" s="11"/>
      <c r="P49" s="6">
        <v>19439.969999999998</v>
      </c>
      <c r="Q49" s="2"/>
      <c r="R49" s="7">
        <f t="shared" si="16"/>
        <v>4.1150197463993652E-3</v>
      </c>
      <c r="S49" s="2"/>
      <c r="T49" s="6">
        <v>10475</v>
      </c>
      <c r="U49" s="2"/>
      <c r="V49" s="7">
        <f t="shared" si="17"/>
        <v>1.9805543782522692E-3</v>
      </c>
      <c r="W49" s="2"/>
      <c r="X49" s="6">
        <f t="shared" si="18"/>
        <v>8964.9699999999975</v>
      </c>
      <c r="Y49" s="2"/>
      <c r="Z49" s="7">
        <f t="shared" si="19"/>
        <v>0.8558443914081143</v>
      </c>
    </row>
    <row r="50" spans="1:26" s="25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233110.55000000002</v>
      </c>
      <c r="E50" s="1"/>
      <c r="F50" s="5">
        <f t="shared" ref="F50:F60" si="20">IF(D$12=0,0,D50/D$12)</f>
        <v>0.36712934367315553</v>
      </c>
      <c r="G50" s="1"/>
      <c r="H50" s="1">
        <f>SUM(OSRRefH22_1x_0)</f>
        <v>239780.26188461541</v>
      </c>
      <c r="I50" s="1"/>
      <c r="J50" s="5">
        <f t="shared" ref="J50:J60" si="21">IF(H$12=0,0,H50/H$12)</f>
        <v>0.28680271406670854</v>
      </c>
      <c r="K50" s="1"/>
      <c r="L50" s="1">
        <f t="shared" ref="L50:L60" si="22">+D50-H50</f>
        <v>-6669.7118846153899</v>
      </c>
      <c r="M50" s="1"/>
      <c r="N50" s="5">
        <f t="shared" ref="N50:N60" si="23">IF(H50=0,0,L50/H50)</f>
        <v>-2.7815933772834565E-2</v>
      </c>
      <c r="O50" s="13"/>
      <c r="P50" s="1">
        <f>SUM(OSRRefP22_1x_0)</f>
        <v>1609140.9699999997</v>
      </c>
      <c r="Q50" s="1"/>
      <c r="R50" s="5">
        <f t="shared" ref="R50:R60" si="24">IF(P$12=0,0,P50/P$12)</f>
        <v>0.34062022041650414</v>
      </c>
      <c r="S50" s="1"/>
      <c r="T50" s="1">
        <f>SUM(OSRRefT22_1x_0)</f>
        <v>1612132.9581000004</v>
      </c>
      <c r="U50" s="1"/>
      <c r="V50" s="5">
        <f t="shared" ref="V50:V60" si="25">IF(T$12=0,0,T50/T$12)</f>
        <v>0.30481307766011817</v>
      </c>
      <c r="W50" s="1"/>
      <c r="X50" s="1">
        <f t="shared" ref="X50:X60" si="26">+P50-T50</f>
        <v>-2991.9881000006571</v>
      </c>
      <c r="Y50" s="1"/>
      <c r="Z50" s="5">
        <f t="shared" ref="Z50:Z60" si="27">IF(T50=0,0,X50/T50)</f>
        <v>-1.8559189457468214E-3</v>
      </c>
    </row>
    <row r="51" spans="1:26" s="24" customFormat="1" hidden="1" outlineLevel="2" x14ac:dyDescent="0.25">
      <c r="A51" s="26"/>
      <c r="B51" s="11" t="str">
        <f>CONCATENATE("          ", "6001", " - ", "ADMINISTRATIVE SALARIES")</f>
        <v xml:space="preserve">          6001 - ADMINISTRATIVE SALARIES</v>
      </c>
      <c r="C51" s="11"/>
      <c r="D51" s="6">
        <v>17492.32</v>
      </c>
      <c r="E51" s="2"/>
      <c r="F51" s="7">
        <f t="shared" si="20"/>
        <v>2.7548920290912663E-2</v>
      </c>
      <c r="G51" s="2"/>
      <c r="H51" s="6">
        <v>33015.773538461544</v>
      </c>
      <c r="I51" s="2"/>
      <c r="J51" s="7">
        <f t="shared" si="21"/>
        <v>3.9490379163899525E-2</v>
      </c>
      <c r="K51" s="2"/>
      <c r="L51" s="6">
        <f t="shared" si="22"/>
        <v>-15523.453538461545</v>
      </c>
      <c r="M51" s="2"/>
      <c r="N51" s="7">
        <f t="shared" si="23"/>
        <v>-0.47018294211333811</v>
      </c>
      <c r="O51" s="11"/>
      <c r="P51" s="6">
        <v>104234.41</v>
      </c>
      <c r="Q51" s="2"/>
      <c r="R51" s="7">
        <f t="shared" si="24"/>
        <v>2.2064162414051437E-2</v>
      </c>
      <c r="S51" s="2"/>
      <c r="T51" s="6">
        <v>214602.52800000002</v>
      </c>
      <c r="U51" s="2"/>
      <c r="V51" s="7">
        <f t="shared" si="25"/>
        <v>4.0575845003761837E-2</v>
      </c>
      <c r="W51" s="2"/>
      <c r="X51" s="6">
        <f t="shared" si="26"/>
        <v>-110368.11800000002</v>
      </c>
      <c r="Y51" s="2"/>
      <c r="Z51" s="7">
        <f t="shared" si="27"/>
        <v>-0.51429085681600173</v>
      </c>
    </row>
    <row r="52" spans="1:26" s="24" customFormat="1" hidden="1" outlineLevel="2" x14ac:dyDescent="0.25">
      <c r="A52" s="26"/>
      <c r="B52" s="11" t="str">
        <f>CONCATENATE("          ", "6002", " - ", "STAFF SALARIES")</f>
        <v xml:space="preserve">          6002 - STAFF SALARIES</v>
      </c>
      <c r="C52" s="11"/>
      <c r="D52" s="6">
        <v>71737.91</v>
      </c>
      <c r="E52" s="2"/>
      <c r="F52" s="7">
        <f t="shared" si="20"/>
        <v>0.11298112339739191</v>
      </c>
      <c r="G52" s="2"/>
      <c r="H52" s="6">
        <v>54927.481646153872</v>
      </c>
      <c r="I52" s="2"/>
      <c r="J52" s="7">
        <f t="shared" si="21"/>
        <v>6.5699114218779678E-2</v>
      </c>
      <c r="K52" s="2"/>
      <c r="L52" s="6">
        <f t="shared" si="22"/>
        <v>16810.428353846131</v>
      </c>
      <c r="M52" s="2"/>
      <c r="N52" s="7">
        <f t="shared" si="23"/>
        <v>0.30604768050608833</v>
      </c>
      <c r="O52" s="11"/>
      <c r="P52" s="6">
        <v>458770.82</v>
      </c>
      <c r="Q52" s="2"/>
      <c r="R52" s="7">
        <f t="shared" si="24"/>
        <v>9.7111825963302881E-2</v>
      </c>
      <c r="S52" s="2"/>
      <c r="T52" s="6">
        <v>357028.6307000001</v>
      </c>
      <c r="U52" s="2"/>
      <c r="V52" s="7">
        <f t="shared" si="25"/>
        <v>6.7504975436209799E-2</v>
      </c>
      <c r="W52" s="2"/>
      <c r="X52" s="6">
        <f t="shared" si="26"/>
        <v>101742.18929999991</v>
      </c>
      <c r="Y52" s="2"/>
      <c r="Z52" s="7">
        <f t="shared" si="27"/>
        <v>0.28496927291383156</v>
      </c>
    </row>
    <row r="53" spans="1:26" s="24" customFormat="1" hidden="1" outlineLevel="2" x14ac:dyDescent="0.25">
      <c r="A53" s="26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"6004", " - ", "STAFF HOURLY")</f>
        <v xml:space="preserve">          6004 - STAFF HOURLY</v>
      </c>
      <c r="C54" s="11"/>
      <c r="D54" s="6">
        <v>18447.240000000002</v>
      </c>
      <c r="E54" s="2"/>
      <c r="F54" s="7">
        <f t="shared" si="20"/>
        <v>2.9052838294024795E-2</v>
      </c>
      <c r="G54" s="2"/>
      <c r="H54" s="6">
        <v>35527.8442</v>
      </c>
      <c r="I54" s="2"/>
      <c r="J54" s="7">
        <f t="shared" si="21"/>
        <v>4.2495083045669735E-2</v>
      </c>
      <c r="K54" s="2"/>
      <c r="L54" s="6">
        <f t="shared" si="22"/>
        <v>-17080.604199999998</v>
      </c>
      <c r="M54" s="2"/>
      <c r="N54" s="7">
        <f t="shared" si="23"/>
        <v>-0.48076669397238569</v>
      </c>
      <c r="O54" s="11"/>
      <c r="P54" s="6">
        <v>122092.62999999999</v>
      </c>
      <c r="Q54" s="2"/>
      <c r="R54" s="7">
        <f t="shared" si="24"/>
        <v>2.5844360013921396E-2</v>
      </c>
      <c r="S54" s="2"/>
      <c r="T54" s="6">
        <v>306936.32065000001</v>
      </c>
      <c r="U54" s="2"/>
      <c r="V54" s="7">
        <f t="shared" si="25"/>
        <v>5.8033801785966573E-2</v>
      </c>
      <c r="W54" s="2"/>
      <c r="X54" s="6">
        <f t="shared" si="26"/>
        <v>-184843.69065</v>
      </c>
      <c r="Y54" s="2"/>
      <c r="Z54" s="7">
        <f t="shared" si="27"/>
        <v>-0.60222162779092403</v>
      </c>
    </row>
    <row r="55" spans="1:26" s="24" customFormat="1" hidden="1" outlineLevel="2" x14ac:dyDescent="0.25">
      <c r="A55" s="26"/>
      <c r="B55" s="11" t="str">
        <f>CONCATENATE("          ", "6005", " - ", "TEMPORARY WAGES-HOURLY")</f>
        <v xml:space="preserve">          6005 - TEMPORARY WAGES-HOURLY</v>
      </c>
      <c r="C55" s="11"/>
      <c r="D55" s="6">
        <v>45964.56</v>
      </c>
      <c r="E55" s="2"/>
      <c r="F55" s="7">
        <f t="shared" si="20"/>
        <v>7.2390283258416982E-2</v>
      </c>
      <c r="G55" s="2"/>
      <c r="H55" s="6">
        <v>29713.785000000003</v>
      </c>
      <c r="I55" s="2"/>
      <c r="J55" s="7">
        <f t="shared" si="21"/>
        <v>3.5540849426945409E-2</v>
      </c>
      <c r="K55" s="2"/>
      <c r="L55" s="6">
        <f t="shared" si="22"/>
        <v>16250.774999999994</v>
      </c>
      <c r="M55" s="2"/>
      <c r="N55" s="7">
        <f t="shared" si="23"/>
        <v>0.54691029769516042</v>
      </c>
      <c r="O55" s="11"/>
      <c r="P55" s="6">
        <v>315142.83999999997</v>
      </c>
      <c r="Q55" s="2"/>
      <c r="R55" s="7">
        <f t="shared" si="24"/>
        <v>6.6708899732683527E-2</v>
      </c>
      <c r="S55" s="2"/>
      <c r="T55" s="6">
        <v>180388.81</v>
      </c>
      <c r="U55" s="2"/>
      <c r="V55" s="7">
        <f t="shared" si="25"/>
        <v>3.4106906676202073E-2</v>
      </c>
      <c r="W55" s="2"/>
      <c r="X55" s="6">
        <f t="shared" si="26"/>
        <v>134754.02999999997</v>
      </c>
      <c r="Y55" s="2"/>
      <c r="Z55" s="7">
        <f t="shared" si="27"/>
        <v>0.74701989552456149</v>
      </c>
    </row>
    <row r="56" spans="1:26" s="24" customFormat="1" hidden="1" outlineLevel="2" x14ac:dyDescent="0.25">
      <c r="A56" s="26"/>
      <c r="B56" s="11" t="str">
        <f>CONCATENATE("          ", "6006", " - ", "TEMPORARY PART TIME")</f>
        <v xml:space="preserve">          6006 - TEMPORARY PART TIME</v>
      </c>
      <c r="C56" s="11"/>
      <c r="D56" s="6">
        <v>2120.88</v>
      </c>
      <c r="E56" s="2"/>
      <c r="F56" s="7">
        <f t="shared" si="20"/>
        <v>3.340206105684715E-3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2120.88</v>
      </c>
      <c r="M56" s="2"/>
      <c r="N56" s="7">
        <f t="shared" si="23"/>
        <v>0</v>
      </c>
      <c r="O56" s="11"/>
      <c r="P56" s="6">
        <v>20676.080000000002</v>
      </c>
      <c r="Q56" s="2"/>
      <c r="R56" s="7">
        <f t="shared" si="24"/>
        <v>4.3766774062991357E-3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20676.080000000002</v>
      </c>
      <c r="Y56" s="2"/>
      <c r="Z56" s="7">
        <f t="shared" si="27"/>
        <v>0</v>
      </c>
    </row>
    <row r="57" spans="1:26" s="24" customFormat="1" hidden="1" outlineLevel="2" x14ac:dyDescent="0.25">
      <c r="A57" s="26"/>
      <c r="B57" s="11" t="str">
        <f>CONCATENATE("          ", "6007", " - ", "STUDENT HOURLY")</f>
        <v xml:space="preserve">          6007 - STUDENT HOURLY</v>
      </c>
      <c r="C57" s="11"/>
      <c r="D57" s="6">
        <v>72881.23</v>
      </c>
      <c r="E57" s="2"/>
      <c r="F57" s="7">
        <f t="shared" si="20"/>
        <v>0.11478175542030289</v>
      </c>
      <c r="G57" s="2"/>
      <c r="H57" s="6">
        <v>2445</v>
      </c>
      <c r="I57" s="2"/>
      <c r="J57" s="7">
        <f t="shared" si="21"/>
        <v>2.9244802319489597E-3</v>
      </c>
      <c r="K57" s="2"/>
      <c r="L57" s="6">
        <f t="shared" si="22"/>
        <v>70436.23</v>
      </c>
      <c r="M57" s="2"/>
      <c r="N57" s="7">
        <f t="shared" si="23"/>
        <v>28.808274028629857</v>
      </c>
      <c r="O57" s="11"/>
      <c r="P57" s="6">
        <v>557882.73</v>
      </c>
      <c r="Q57" s="2"/>
      <c r="R57" s="7">
        <f t="shared" si="24"/>
        <v>0.11809166630016331</v>
      </c>
      <c r="S57" s="2"/>
      <c r="T57" s="6">
        <v>64078.943750000006</v>
      </c>
      <c r="U57" s="2"/>
      <c r="V57" s="7">
        <f t="shared" si="25"/>
        <v>1.2115688076166434E-2</v>
      </c>
      <c r="W57" s="2"/>
      <c r="X57" s="6">
        <f t="shared" si="26"/>
        <v>493803.78625</v>
      </c>
      <c r="Y57" s="2"/>
      <c r="Z57" s="7">
        <f t="shared" si="27"/>
        <v>7.7061786189320571</v>
      </c>
    </row>
    <row r="58" spans="1:26" s="24" customFormat="1" hidden="1" outlineLevel="2" x14ac:dyDescent="0.25">
      <c r="A58" s="26"/>
      <c r="B58" s="11" t="str">
        <f>CONCATENATE("          ", "6008", " - ", "STUDENT HOURLY-FICA EXEMPT")</f>
        <v xml:space="preserve">          6008 - STUDENT HOURLY-FICA EXEMPT</v>
      </c>
      <c r="C58" s="11"/>
      <c r="D58" s="6">
        <v>4466.41</v>
      </c>
      <c r="E58" s="2"/>
      <c r="F58" s="7">
        <f t="shared" si="20"/>
        <v>7.0342169064215171E-3</v>
      </c>
      <c r="G58" s="2"/>
      <c r="H58" s="6">
        <v>84150.377499999988</v>
      </c>
      <c r="I58" s="2"/>
      <c r="J58" s="7">
        <f t="shared" si="21"/>
        <v>0.10065280797946523</v>
      </c>
      <c r="K58" s="2"/>
      <c r="L58" s="6">
        <f t="shared" si="22"/>
        <v>-79683.967499999984</v>
      </c>
      <c r="M58" s="2"/>
      <c r="N58" s="7">
        <f t="shared" si="23"/>
        <v>-0.94692347042649927</v>
      </c>
      <c r="O58" s="11"/>
      <c r="P58" s="6">
        <v>30341.459999999995</v>
      </c>
      <c r="Q58" s="2"/>
      <c r="R58" s="7">
        <f t="shared" si="24"/>
        <v>6.4226285860825129E-3</v>
      </c>
      <c r="S58" s="2"/>
      <c r="T58" s="6">
        <v>489097.72500000003</v>
      </c>
      <c r="U58" s="2"/>
      <c r="V58" s="7">
        <f t="shared" si="25"/>
        <v>9.2475860681811392E-2</v>
      </c>
      <c r="W58" s="2"/>
      <c r="X58" s="6">
        <f t="shared" si="26"/>
        <v>-458756.26500000001</v>
      </c>
      <c r="Y58" s="2"/>
      <c r="Z58" s="7">
        <f t="shared" si="27"/>
        <v>-0.9379644221407899</v>
      </c>
    </row>
    <row r="59" spans="1:26" s="24" customFormat="1" hidden="1" outlineLevel="2" x14ac:dyDescent="0.25">
      <c r="A59" s="26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6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5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3323.74</v>
      </c>
      <c r="E61" s="1"/>
      <c r="F61" s="5">
        <f t="shared" ref="F61:F71" si="28">IF(D$12=0,0,D61/D$12)</f>
        <v>5.2346085783771422E-3</v>
      </c>
      <c r="G61" s="1"/>
      <c r="H61" s="1">
        <f>SUM(OSRRefH22_2x_0)</f>
        <v>1800</v>
      </c>
      <c r="I61" s="1"/>
      <c r="J61" s="5">
        <f t="shared" ref="J61:J71" si="29">IF(H$12=0,0,H61/H$12)</f>
        <v>2.1529915818029152E-3</v>
      </c>
      <c r="K61" s="1"/>
      <c r="L61" s="1">
        <f t="shared" ref="L61:L71" si="30">+D61-H61</f>
        <v>1523.7399999999998</v>
      </c>
      <c r="M61" s="1"/>
      <c r="N61" s="5">
        <f t="shared" ref="N61:N71" si="31">IF(H61=0,0,L61/H61)</f>
        <v>0.84652222222222206</v>
      </c>
      <c r="O61" s="13"/>
      <c r="P61" s="1">
        <f>SUM(OSRRefP22_2x_0)</f>
        <v>22074.84</v>
      </c>
      <c r="Q61" s="1"/>
      <c r="R61" s="5">
        <f t="shared" ref="R61:R71" si="32">IF(P$12=0,0,P61/P$12)</f>
        <v>4.6727645412316257E-3</v>
      </c>
      <c r="S61" s="1"/>
      <c r="T61" s="1">
        <f>SUM(OSRRefT22_2x_0)</f>
        <v>14690</v>
      </c>
      <c r="U61" s="1"/>
      <c r="V61" s="5">
        <f t="shared" ref="V61:V71" si="33">IF(T$12=0,0,T61/T$12)</f>
        <v>2.7775029896444708E-3</v>
      </c>
      <c r="W61" s="1"/>
      <c r="X61" s="1">
        <f t="shared" ref="X61:X71" si="34">+P61-T61</f>
        <v>7384.84</v>
      </c>
      <c r="Y61" s="1"/>
      <c r="Z61" s="5">
        <f t="shared" ref="Z61:Z71" si="35">IF(T61=0,0,X61/T61)</f>
        <v>0.50271204901293398</v>
      </c>
    </row>
    <row r="62" spans="1:26" s="24" customFormat="1" hidden="1" outlineLevel="2" x14ac:dyDescent="0.25">
      <c r="A62" s="26"/>
      <c r="B62" s="11" t="str">
        <f>CONCATENATE("          ", "6362", " - ", "ADVERTISING EXPENSE")</f>
        <v xml:space="preserve">          6362 - ADVERTISING EXPENSE</v>
      </c>
      <c r="C62" s="11"/>
      <c r="D62" s="6">
        <v>3323.74</v>
      </c>
      <c r="E62" s="2"/>
      <c r="F62" s="7">
        <f t="shared" si="28"/>
        <v>5.2346085783771422E-3</v>
      </c>
      <c r="G62" s="2"/>
      <c r="H62" s="6">
        <v>1800</v>
      </c>
      <c r="I62" s="2"/>
      <c r="J62" s="7">
        <f t="shared" si="29"/>
        <v>2.1529915818029152E-3</v>
      </c>
      <c r="K62" s="2"/>
      <c r="L62" s="6">
        <f t="shared" si="30"/>
        <v>1523.7399999999998</v>
      </c>
      <c r="M62" s="2"/>
      <c r="N62" s="7">
        <f t="shared" si="31"/>
        <v>0.84652222222222206</v>
      </c>
      <c r="O62" s="11"/>
      <c r="P62" s="6">
        <v>22074.84</v>
      </c>
      <c r="Q62" s="2"/>
      <c r="R62" s="7">
        <f t="shared" si="32"/>
        <v>4.6727645412316257E-3</v>
      </c>
      <c r="S62" s="2"/>
      <c r="T62" s="6">
        <v>14690</v>
      </c>
      <c r="U62" s="2"/>
      <c r="V62" s="7">
        <f t="shared" si="33"/>
        <v>2.7775029896444708E-3</v>
      </c>
      <c r="W62" s="2"/>
      <c r="X62" s="6">
        <f t="shared" si="34"/>
        <v>7384.84</v>
      </c>
      <c r="Y62" s="2"/>
      <c r="Z62" s="7">
        <f t="shared" si="35"/>
        <v>0.50271204901293398</v>
      </c>
    </row>
    <row r="63" spans="1:26" s="25" customFormat="1" outlineLevel="1" collapsed="1" x14ac:dyDescent="0.25">
      <c r="A63" s="27"/>
      <c r="B63" s="13" t="str">
        <f>CONCATENATE("     ","Bad Debts/Over/Short                              ")</f>
        <v xml:space="preserve">     Bad Debts/Over/Short                              </v>
      </c>
      <c r="C63" s="13"/>
      <c r="D63" s="1">
        <f>SUM(OSRRefD22_3x_0)</f>
        <v>-98.61</v>
      </c>
      <c r="E63" s="1"/>
      <c r="F63" s="5">
        <f t="shared" si="28"/>
        <v>-1.553023858405802E-4</v>
      </c>
      <c r="G63" s="1"/>
      <c r="H63" s="1">
        <f>SUM(OSRRefH22_3x_0)</f>
        <v>154</v>
      </c>
      <c r="I63" s="1"/>
      <c r="J63" s="5">
        <f t="shared" si="29"/>
        <v>1.8420039088758275E-4</v>
      </c>
      <c r="K63" s="1"/>
      <c r="L63" s="1">
        <f t="shared" si="30"/>
        <v>-252.61</v>
      </c>
      <c r="M63" s="1"/>
      <c r="N63" s="5">
        <f t="shared" si="31"/>
        <v>-1.6403246753246754</v>
      </c>
      <c r="O63" s="13"/>
      <c r="P63" s="1">
        <f>SUM(OSRRefP22_3x_0)</f>
        <v>-374.93</v>
      </c>
      <c r="Q63" s="1"/>
      <c r="R63" s="5">
        <f t="shared" si="32"/>
        <v>-7.9364543953386465E-5</v>
      </c>
      <c r="S63" s="1"/>
      <c r="T63" s="1">
        <f>SUM(OSRRefT22_3x_0)</f>
        <v>904</v>
      </c>
      <c r="U63" s="1"/>
      <c r="V63" s="5">
        <f t="shared" si="33"/>
        <v>1.709232609011982E-4</v>
      </c>
      <c r="W63" s="1"/>
      <c r="X63" s="1">
        <f t="shared" si="34"/>
        <v>-1278.93</v>
      </c>
      <c r="Y63" s="1"/>
      <c r="Z63" s="5">
        <f t="shared" si="35"/>
        <v>-1.414745575221239</v>
      </c>
    </row>
    <row r="64" spans="1:26" s="24" customFormat="1" hidden="1" outlineLevel="2" x14ac:dyDescent="0.25">
      <c r="A64" s="26"/>
      <c r="B64" s="11" t="str">
        <f>CONCATENATE("          ", "6272", " - ", "CASH (OVER/SHORT)")</f>
        <v xml:space="preserve">          6272 - CASH (OVER/SHORT)</v>
      </c>
      <c r="C64" s="11"/>
      <c r="D64" s="6">
        <v>-98.61</v>
      </c>
      <c r="E64" s="2"/>
      <c r="F64" s="7">
        <f t="shared" si="28"/>
        <v>-1.553023858405802E-4</v>
      </c>
      <c r="G64" s="2"/>
      <c r="H64" s="6">
        <v>154</v>
      </c>
      <c r="I64" s="2"/>
      <c r="J64" s="7">
        <f t="shared" si="29"/>
        <v>1.8420039088758275E-4</v>
      </c>
      <c r="K64" s="2"/>
      <c r="L64" s="6">
        <f t="shared" si="30"/>
        <v>-252.61</v>
      </c>
      <c r="M64" s="2"/>
      <c r="N64" s="7">
        <f t="shared" si="31"/>
        <v>-1.6403246753246754</v>
      </c>
      <c r="O64" s="11"/>
      <c r="P64" s="6">
        <v>-374.93</v>
      </c>
      <c r="Q64" s="2"/>
      <c r="R64" s="7">
        <f t="shared" si="32"/>
        <v>-7.9364543953386465E-5</v>
      </c>
      <c r="S64" s="2"/>
      <c r="T64" s="6">
        <v>904</v>
      </c>
      <c r="U64" s="2"/>
      <c r="V64" s="7">
        <f t="shared" si="33"/>
        <v>1.709232609011982E-4</v>
      </c>
      <c r="W64" s="2"/>
      <c r="X64" s="6">
        <f t="shared" si="34"/>
        <v>-1278.93</v>
      </c>
      <c r="Y64" s="2"/>
      <c r="Z64" s="7">
        <f t="shared" si="35"/>
        <v>-1.414745575221239</v>
      </c>
    </row>
    <row r="65" spans="1:26" s="25" customFormat="1" outlineLevel="1" collapsed="1" x14ac:dyDescent="0.25">
      <c r="A65" s="27"/>
      <c r="B65" s="13" t="str">
        <f>CONCATENATE("     ","Bank/card Fees                                    ")</f>
        <v xml:space="preserve">     Bank/card Fees                                    </v>
      </c>
      <c r="C65" s="13"/>
      <c r="D65" s="1">
        <f>SUM(OSRRefD22_4x_0)</f>
        <v>32106.499999999996</v>
      </c>
      <c r="E65" s="1"/>
      <c r="F65" s="5">
        <f t="shared" si="28"/>
        <v>5.0565014207388577E-2</v>
      </c>
      <c r="G65" s="1"/>
      <c r="H65" s="1">
        <f>SUM(OSRRefH22_4x_0)</f>
        <v>16108</v>
      </c>
      <c r="I65" s="1"/>
      <c r="J65" s="5">
        <f t="shared" si="29"/>
        <v>1.9266882444267421E-2</v>
      </c>
      <c r="K65" s="1"/>
      <c r="L65" s="1">
        <f t="shared" si="30"/>
        <v>15998.499999999996</v>
      </c>
      <c r="M65" s="1"/>
      <c r="N65" s="5">
        <f t="shared" si="31"/>
        <v>0.9932021355848023</v>
      </c>
      <c r="O65" s="13"/>
      <c r="P65" s="1">
        <f>SUM(OSRRefP22_4x_0)</f>
        <v>160126.79999999999</v>
      </c>
      <c r="Q65" s="1"/>
      <c r="R65" s="5">
        <f t="shared" si="32"/>
        <v>3.3895368353332948E-2</v>
      </c>
      <c r="S65" s="1"/>
      <c r="T65" s="1">
        <f>SUM(OSRRefT22_4x_0)</f>
        <v>112577</v>
      </c>
      <c r="U65" s="1"/>
      <c r="V65" s="5">
        <f t="shared" si="33"/>
        <v>2.1285429139905079E-2</v>
      </c>
      <c r="W65" s="1"/>
      <c r="X65" s="1">
        <f t="shared" si="34"/>
        <v>47549.799999999988</v>
      </c>
      <c r="Y65" s="1"/>
      <c r="Z65" s="5">
        <f t="shared" si="35"/>
        <v>0.42237579612176546</v>
      </c>
    </row>
    <row r="66" spans="1:26" s="24" customFormat="1" hidden="1" outlineLevel="2" x14ac:dyDescent="0.25">
      <c r="A66" s="26"/>
      <c r="B66" s="11" t="str">
        <f>CONCATENATE("          ", "6381", " - ", "BANK/CREDIT CARD FEES")</f>
        <v xml:space="preserve">          6381 - BANK/CREDIT CARD FEES</v>
      </c>
      <c r="C66" s="11"/>
      <c r="D66" s="6">
        <v>32106.499999999996</v>
      </c>
      <c r="E66" s="2"/>
      <c r="F66" s="7">
        <f t="shared" si="28"/>
        <v>5.0565014207388577E-2</v>
      </c>
      <c r="G66" s="2"/>
      <c r="H66" s="6">
        <v>16108</v>
      </c>
      <c r="I66" s="2"/>
      <c r="J66" s="7">
        <f t="shared" si="29"/>
        <v>1.9266882444267421E-2</v>
      </c>
      <c r="K66" s="2"/>
      <c r="L66" s="6">
        <f t="shared" si="30"/>
        <v>15998.499999999996</v>
      </c>
      <c r="M66" s="2"/>
      <c r="N66" s="7">
        <f t="shared" si="31"/>
        <v>0.9932021355848023</v>
      </c>
      <c r="O66" s="11"/>
      <c r="P66" s="6">
        <v>160126.79999999999</v>
      </c>
      <c r="Q66" s="2"/>
      <c r="R66" s="7">
        <f t="shared" si="32"/>
        <v>3.3895368353332948E-2</v>
      </c>
      <c r="S66" s="2"/>
      <c r="T66" s="6">
        <v>112577</v>
      </c>
      <c r="U66" s="2"/>
      <c r="V66" s="7">
        <f t="shared" si="33"/>
        <v>2.1285429139905079E-2</v>
      </c>
      <c r="W66" s="2"/>
      <c r="X66" s="6">
        <f t="shared" si="34"/>
        <v>47549.799999999988</v>
      </c>
      <c r="Y66" s="2"/>
      <c r="Z66" s="7">
        <f t="shared" si="35"/>
        <v>0.42237579612176546</v>
      </c>
    </row>
    <row r="67" spans="1:26" s="25" customFormat="1" outlineLevel="1" collapsed="1" x14ac:dyDescent="0.25">
      <c r="A67" s="27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SUM(OSRRefD22_5x_0)</f>
        <v>49292.520000000004</v>
      </c>
      <c r="E67" s="1"/>
      <c r="F67" s="5">
        <f t="shared" si="28"/>
        <v>7.7631537978851195E-2</v>
      </c>
      <c r="G67" s="1"/>
      <c r="H67" s="1">
        <f>SUM(OSRRefH22_5x_0)</f>
        <v>53322</v>
      </c>
      <c r="I67" s="1"/>
      <c r="J67" s="5">
        <f t="shared" si="29"/>
        <v>6.3778787291608352E-2</v>
      </c>
      <c r="K67" s="1"/>
      <c r="L67" s="1">
        <f t="shared" si="30"/>
        <v>-4029.4799999999959</v>
      </c>
      <c r="M67" s="1"/>
      <c r="N67" s="5">
        <f t="shared" si="31"/>
        <v>-7.5568808371778928E-2</v>
      </c>
      <c r="O67" s="13"/>
      <c r="P67" s="1">
        <f>SUM(OSRRefP22_5x_0)</f>
        <v>289165.17000000004</v>
      </c>
      <c r="Q67" s="1"/>
      <c r="R67" s="5">
        <f t="shared" si="32"/>
        <v>6.1209990782955408E-2</v>
      </c>
      <c r="S67" s="1"/>
      <c r="T67" s="1">
        <f>SUM(OSRRefT22_5x_0)</f>
        <v>304376</v>
      </c>
      <c r="U67" s="1"/>
      <c r="V67" s="5">
        <f t="shared" si="33"/>
        <v>5.7549710685910513E-2</v>
      </c>
      <c r="W67" s="1"/>
      <c r="X67" s="1">
        <f t="shared" si="34"/>
        <v>-15210.829999999958</v>
      </c>
      <c r="Y67" s="1"/>
      <c r="Z67" s="5">
        <f t="shared" si="35"/>
        <v>-4.9973815281099558E-2</v>
      </c>
    </row>
    <row r="68" spans="1:26" s="24" customFormat="1" hidden="1" outlineLevel="2" x14ac:dyDescent="0.25">
      <c r="A68" s="26"/>
      <c r="B68" s="11" t="str">
        <f>CONCATENATE("          ", "6321", " - ", "BUILDING DEPRECIATION")</f>
        <v xml:space="preserve">          6321 - BUILDING DEPRECIATION</v>
      </c>
      <c r="C68" s="11"/>
      <c r="D68" s="6">
        <v>29123.47</v>
      </c>
      <c r="E68" s="2"/>
      <c r="F68" s="7">
        <f t="shared" si="28"/>
        <v>4.586699497978463E-2</v>
      </c>
      <c r="G68" s="2"/>
      <c r="H68" s="6">
        <v>28118</v>
      </c>
      <c r="I68" s="2"/>
      <c r="J68" s="7">
        <f t="shared" si="29"/>
        <v>3.3632120720630203E-2</v>
      </c>
      <c r="K68" s="2"/>
      <c r="L68" s="6">
        <f t="shared" si="30"/>
        <v>1005.4700000000012</v>
      </c>
      <c r="M68" s="2"/>
      <c r="N68" s="7">
        <f t="shared" si="31"/>
        <v>3.5758944448396085E-2</v>
      </c>
      <c r="O68" s="11"/>
      <c r="P68" s="6">
        <v>174740.82</v>
      </c>
      <c r="Q68" s="2"/>
      <c r="R68" s="7">
        <f t="shared" si="32"/>
        <v>3.6988839221563471E-2</v>
      </c>
      <c r="S68" s="2"/>
      <c r="T68" s="6">
        <v>168954</v>
      </c>
      <c r="U68" s="2"/>
      <c r="V68" s="7">
        <f t="shared" si="33"/>
        <v>3.1944876794580801E-2</v>
      </c>
      <c r="W68" s="2"/>
      <c r="X68" s="6">
        <f t="shared" si="34"/>
        <v>5786.820000000007</v>
      </c>
      <c r="Y68" s="2"/>
      <c r="Z68" s="7">
        <f t="shared" si="35"/>
        <v>3.4250861181149943E-2</v>
      </c>
    </row>
    <row r="69" spans="1:26" s="24" customFormat="1" hidden="1" outlineLevel="2" x14ac:dyDescent="0.25">
      <c r="A69" s="26"/>
      <c r="B69" s="11" t="str">
        <f>CONCATENATE("          ", "6322", " - ", "EQUIPMENT DEPRECIATION EXPENSE")</f>
        <v xml:space="preserve">          6322 - EQUIPMENT DEPRECIATION EXPENSE</v>
      </c>
      <c r="C69" s="11"/>
      <c r="D69" s="6">
        <v>19744.8</v>
      </c>
      <c r="E69" s="2"/>
      <c r="F69" s="7">
        <f t="shared" si="28"/>
        <v>3.1096385234206346E-2</v>
      </c>
      <c r="G69" s="2"/>
      <c r="H69" s="6">
        <v>18476</v>
      </c>
      <c r="I69" s="2"/>
      <c r="J69" s="7">
        <f t="shared" si="29"/>
        <v>2.209926248077259E-2</v>
      </c>
      <c r="K69" s="2"/>
      <c r="L69" s="6">
        <f t="shared" si="30"/>
        <v>1268.7999999999993</v>
      </c>
      <c r="M69" s="2"/>
      <c r="N69" s="7">
        <f t="shared" si="31"/>
        <v>6.8672872916215585E-2</v>
      </c>
      <c r="O69" s="11"/>
      <c r="P69" s="6">
        <v>111878.85</v>
      </c>
      <c r="Q69" s="2"/>
      <c r="R69" s="7">
        <f t="shared" si="32"/>
        <v>2.3682324455976664E-2</v>
      </c>
      <c r="S69" s="2"/>
      <c r="T69" s="6">
        <v>110856</v>
      </c>
      <c r="U69" s="2"/>
      <c r="V69" s="7">
        <f t="shared" si="33"/>
        <v>2.0960032091220385E-2</v>
      </c>
      <c r="W69" s="2"/>
      <c r="X69" s="6">
        <f t="shared" si="34"/>
        <v>1022.8500000000058</v>
      </c>
      <c r="Y69" s="2"/>
      <c r="Z69" s="7">
        <f t="shared" si="35"/>
        <v>9.2268348127300809E-3</v>
      </c>
    </row>
    <row r="70" spans="1:26" s="24" customFormat="1" hidden="1" outlineLevel="2" x14ac:dyDescent="0.25">
      <c r="A70" s="26"/>
      <c r="B70" s="11" t="str">
        <f>CONCATENATE("          ", "6324", " - ", "FURNITURE + FIXT DEPRECIATION")</f>
        <v xml:space="preserve">          6324 - FURNITURE + FIXT DEPRECIATION</v>
      </c>
      <c r="C70" s="11"/>
      <c r="D70" s="6"/>
      <c r="E70" s="2"/>
      <c r="F70" s="7">
        <f t="shared" si="28"/>
        <v>0</v>
      </c>
      <c r="G70" s="2"/>
      <c r="H70" s="6">
        <v>4554</v>
      </c>
      <c r="I70" s="2"/>
      <c r="J70" s="7">
        <f t="shared" si="29"/>
        <v>5.4470687019613755E-3</v>
      </c>
      <c r="K70" s="2"/>
      <c r="L70" s="6">
        <f t="shared" si="30"/>
        <v>-4554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16772</v>
      </c>
      <c r="U70" s="2"/>
      <c r="V70" s="7">
        <f t="shared" si="33"/>
        <v>3.1711558980474517E-3</v>
      </c>
      <c r="W70" s="2"/>
      <c r="X70" s="6">
        <f t="shared" si="34"/>
        <v>-16772</v>
      </c>
      <c r="Y70" s="2"/>
      <c r="Z70" s="7">
        <f t="shared" si="35"/>
        <v>-1</v>
      </c>
    </row>
    <row r="71" spans="1:26" s="24" customFormat="1" hidden="1" outlineLevel="2" x14ac:dyDescent="0.25">
      <c r="A71" s="26"/>
      <c r="B71" s="11" t="str">
        <f>CONCATENATE("          ", "6326", " - ", "VEHICLES DEPRECIATION EXPENSE")</f>
        <v xml:space="preserve">          6326 - VEHICLES DEPRECIATION EXPENSE</v>
      </c>
      <c r="C71" s="11"/>
      <c r="D71" s="6">
        <v>424.25</v>
      </c>
      <c r="E71" s="2"/>
      <c r="F71" s="7">
        <f t="shared" si="28"/>
        <v>6.6815776486021852E-4</v>
      </c>
      <c r="G71" s="2"/>
      <c r="H71" s="6">
        <v>2174</v>
      </c>
      <c r="I71" s="2"/>
      <c r="J71" s="7">
        <f t="shared" si="29"/>
        <v>2.6003353882441877E-3</v>
      </c>
      <c r="K71" s="2"/>
      <c r="L71" s="6">
        <f t="shared" si="30"/>
        <v>-1749.75</v>
      </c>
      <c r="M71" s="2"/>
      <c r="N71" s="7">
        <f t="shared" si="31"/>
        <v>-0.80485280588776453</v>
      </c>
      <c r="O71" s="11"/>
      <c r="P71" s="6">
        <v>2545.5</v>
      </c>
      <c r="Q71" s="2"/>
      <c r="R71" s="7">
        <f t="shared" si="32"/>
        <v>5.3882710541526481E-4</v>
      </c>
      <c r="S71" s="2"/>
      <c r="T71" s="6">
        <v>7794</v>
      </c>
      <c r="U71" s="2"/>
      <c r="V71" s="7">
        <f t="shared" si="33"/>
        <v>1.4736459020618792E-3</v>
      </c>
      <c r="W71" s="2"/>
      <c r="X71" s="6">
        <f t="shared" si="34"/>
        <v>-5248.5</v>
      </c>
      <c r="Y71" s="2"/>
      <c r="Z71" s="7">
        <f t="shared" si="35"/>
        <v>-0.67340261739799845</v>
      </c>
    </row>
    <row r="72" spans="1:26" s="25" customFormat="1" outlineLevel="1" collapsed="1" x14ac:dyDescent="0.25">
      <c r="A72" s="27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SUM(OSRRefD22_6x_0)</f>
        <v>16.62</v>
      </c>
      <c r="E72" s="1"/>
      <c r="F72" s="5">
        <f t="shared" ref="F72:F84" si="36">IF(D$12=0,0,D72/D$12)</f>
        <v>2.6175090281618935E-5</v>
      </c>
      <c r="G72" s="1"/>
      <c r="H72" s="1">
        <f>SUM(OSRRefH22_6x_0)</f>
        <v>0</v>
      </c>
      <c r="I72" s="1"/>
      <c r="J72" s="5">
        <f t="shared" ref="J72:J84" si="37">IF(H$12=0,0,H72/H$12)</f>
        <v>0</v>
      </c>
      <c r="K72" s="1"/>
      <c r="L72" s="1">
        <f t="shared" ref="L72:L84" si="38">+D72-H72</f>
        <v>16.62</v>
      </c>
      <c r="M72" s="1"/>
      <c r="N72" s="5">
        <f t="shared" ref="N72:N84" si="39">IF(H72=0,0,L72/H72)</f>
        <v>0</v>
      </c>
      <c r="O72" s="13"/>
      <c r="P72" s="1">
        <f>SUM(OSRRefP22_6x_0)</f>
        <v>76.37</v>
      </c>
      <c r="Q72" s="1"/>
      <c r="R72" s="5">
        <f t="shared" ref="R72:R84" si="40">IF(P$12=0,0,P72/P$12)</f>
        <v>1.6165871553943733E-5</v>
      </c>
      <c r="S72" s="1"/>
      <c r="T72" s="1">
        <f>SUM(OSRRefT22_6x_0)</f>
        <v>0</v>
      </c>
      <c r="U72" s="1"/>
      <c r="V72" s="5">
        <f t="shared" ref="V72:V84" si="41">IF(T$12=0,0,T72/T$12)</f>
        <v>0</v>
      </c>
      <c r="W72" s="1"/>
      <c r="X72" s="1">
        <f t="shared" ref="X72:X84" si="42">+P72-T72</f>
        <v>76.37</v>
      </c>
      <c r="Y72" s="1"/>
      <c r="Z72" s="5">
        <f t="shared" ref="Z72:Z84" si="43">IF(T72=0,0,X72/T72)</f>
        <v>0</v>
      </c>
    </row>
    <row r="73" spans="1:26" s="24" customFormat="1" hidden="1" outlineLevel="2" x14ac:dyDescent="0.25">
      <c r="A73" s="26"/>
      <c r="B73" s="11" t="str">
        <f>CONCATENATE("          ", "6382", " - ", "DISCOUNTS/MARK DOWNS")</f>
        <v xml:space="preserve">          6382 - DISCOUNTS/MARK DOWNS</v>
      </c>
      <c r="C73" s="11"/>
      <c r="D73" s="6">
        <v>16.62</v>
      </c>
      <c r="E73" s="2"/>
      <c r="F73" s="7">
        <f t="shared" si="36"/>
        <v>2.6175090281618935E-5</v>
      </c>
      <c r="G73" s="2"/>
      <c r="H73" s="6"/>
      <c r="I73" s="2"/>
      <c r="J73" s="7">
        <f t="shared" si="37"/>
        <v>0</v>
      </c>
      <c r="K73" s="2"/>
      <c r="L73" s="6">
        <f t="shared" si="38"/>
        <v>16.62</v>
      </c>
      <c r="M73" s="2"/>
      <c r="N73" s="7">
        <f t="shared" si="39"/>
        <v>0</v>
      </c>
      <c r="O73" s="11"/>
      <c r="P73" s="6">
        <v>76.37</v>
      </c>
      <c r="Q73" s="2"/>
      <c r="R73" s="7">
        <f t="shared" si="40"/>
        <v>1.6165871553943733E-5</v>
      </c>
      <c r="S73" s="2"/>
      <c r="T73" s="6"/>
      <c r="U73" s="2"/>
      <c r="V73" s="7">
        <f t="shared" si="41"/>
        <v>0</v>
      </c>
      <c r="W73" s="2"/>
      <c r="X73" s="6">
        <f t="shared" si="42"/>
        <v>76.37</v>
      </c>
      <c r="Y73" s="2"/>
      <c r="Z73" s="7">
        <f t="shared" si="43"/>
        <v>0</v>
      </c>
    </row>
    <row r="74" spans="1:26" s="25" customFormat="1" outlineLevel="1" collapsed="1" x14ac:dyDescent="0.25">
      <c r="A74" s="27"/>
      <c r="B74" s="13" t="str">
        <f>CONCATENATE("     ","Donations                                         ")</f>
        <v xml:space="preserve">     Donations                                         </v>
      </c>
      <c r="C74" s="13"/>
      <c r="D74" s="1">
        <f>SUM(OSRRefD22_7x_0)</f>
        <v>73</v>
      </c>
      <c r="E74" s="1"/>
      <c r="F74" s="5">
        <f t="shared" si="36"/>
        <v>1.1496880809616017E-4</v>
      </c>
      <c r="G74" s="1"/>
      <c r="H74" s="1">
        <f>SUM(OSRRefH22_7x_0)</f>
        <v>2000</v>
      </c>
      <c r="I74" s="1"/>
      <c r="J74" s="5">
        <f t="shared" si="37"/>
        <v>2.3922128686699059E-3</v>
      </c>
      <c r="K74" s="1"/>
      <c r="L74" s="1">
        <f t="shared" si="38"/>
        <v>-1927</v>
      </c>
      <c r="M74" s="1"/>
      <c r="N74" s="5">
        <f t="shared" si="39"/>
        <v>-0.96350000000000002</v>
      </c>
      <c r="O74" s="13"/>
      <c r="P74" s="1">
        <f>SUM(OSRRefP22_7x_0)</f>
        <v>236.68</v>
      </c>
      <c r="Q74" s="1"/>
      <c r="R74" s="5">
        <f t="shared" si="40"/>
        <v>5.0100019371315998E-5</v>
      </c>
      <c r="S74" s="1"/>
      <c r="T74" s="1">
        <f>SUM(OSRRefT22_7x_0)</f>
        <v>3000</v>
      </c>
      <c r="U74" s="1"/>
      <c r="V74" s="5">
        <f t="shared" si="41"/>
        <v>5.6722321095530384E-4</v>
      </c>
      <c r="W74" s="1"/>
      <c r="X74" s="1">
        <f t="shared" si="42"/>
        <v>-2763.32</v>
      </c>
      <c r="Y74" s="1"/>
      <c r="Z74" s="5">
        <f t="shared" si="43"/>
        <v>-0.92110666666666674</v>
      </c>
    </row>
    <row r="75" spans="1:26" s="24" customFormat="1" hidden="1" outlineLevel="2" x14ac:dyDescent="0.25">
      <c r="A75" s="26"/>
      <c r="B75" s="11" t="str">
        <f>CONCATENATE("          ", "6399", " - ", "DONATION-ON CAMPUS")</f>
        <v xml:space="preserve">          6399 - DONATION-ON CAMPUS</v>
      </c>
      <c r="C75" s="11"/>
      <c r="D75" s="6">
        <v>73</v>
      </c>
      <c r="E75" s="2"/>
      <c r="F75" s="7">
        <f t="shared" si="36"/>
        <v>1.1496880809616017E-4</v>
      </c>
      <c r="G75" s="2"/>
      <c r="H75" s="6">
        <v>2000</v>
      </c>
      <c r="I75" s="2"/>
      <c r="J75" s="7">
        <f t="shared" si="37"/>
        <v>2.3922128686699059E-3</v>
      </c>
      <c r="K75" s="2"/>
      <c r="L75" s="6">
        <f t="shared" si="38"/>
        <v>-1927</v>
      </c>
      <c r="M75" s="2"/>
      <c r="N75" s="7">
        <f t="shared" si="39"/>
        <v>-0.96350000000000002</v>
      </c>
      <c r="O75" s="11"/>
      <c r="P75" s="6">
        <v>236.68</v>
      </c>
      <c r="Q75" s="2"/>
      <c r="R75" s="7">
        <f t="shared" si="40"/>
        <v>5.0100019371315998E-5</v>
      </c>
      <c r="S75" s="2"/>
      <c r="T75" s="6">
        <v>3000</v>
      </c>
      <c r="U75" s="2"/>
      <c r="V75" s="7">
        <f t="shared" si="41"/>
        <v>5.6722321095530384E-4</v>
      </c>
      <c r="W75" s="2"/>
      <c r="X75" s="6">
        <f t="shared" si="42"/>
        <v>-2763.32</v>
      </c>
      <c r="Y75" s="2"/>
      <c r="Z75" s="7">
        <f t="shared" si="43"/>
        <v>-0.92110666666666674</v>
      </c>
    </row>
    <row r="76" spans="1:26" s="25" customFormat="1" outlineLevel="1" collapsed="1" x14ac:dyDescent="0.25">
      <c r="A76" s="27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SUM(OSRRefD22_8x_0)</f>
        <v>292.13</v>
      </c>
      <c r="E76" s="1"/>
      <c r="F76" s="5">
        <f t="shared" si="36"/>
        <v>4.6007997135796261E-4</v>
      </c>
      <c r="G76" s="1"/>
      <c r="H76" s="1">
        <f>SUM(OSRRefH22_8x_0)</f>
        <v>2150</v>
      </c>
      <c r="I76" s="1"/>
      <c r="J76" s="5">
        <f t="shared" si="37"/>
        <v>2.5716288338201486E-3</v>
      </c>
      <c r="K76" s="1"/>
      <c r="L76" s="1">
        <f t="shared" si="38"/>
        <v>-1857.87</v>
      </c>
      <c r="M76" s="1"/>
      <c r="N76" s="5">
        <f t="shared" si="39"/>
        <v>-0.86412558139534879</v>
      </c>
      <c r="O76" s="13"/>
      <c r="P76" s="1">
        <f>SUM(OSRRefP22_8x_0)</f>
        <v>1306.78</v>
      </c>
      <c r="Q76" s="1"/>
      <c r="R76" s="5">
        <f t="shared" si="40"/>
        <v>2.7661696515991345E-4</v>
      </c>
      <c r="S76" s="1"/>
      <c r="T76" s="1">
        <f>SUM(OSRRefT22_8x_0)</f>
        <v>3765</v>
      </c>
      <c r="U76" s="1"/>
      <c r="V76" s="5">
        <f t="shared" si="41"/>
        <v>7.1186512974890628E-4</v>
      </c>
      <c r="W76" s="1"/>
      <c r="X76" s="1">
        <f t="shared" si="42"/>
        <v>-2458.2200000000003</v>
      </c>
      <c r="Y76" s="1"/>
      <c r="Z76" s="5">
        <f t="shared" si="43"/>
        <v>-0.65291367861885796</v>
      </c>
    </row>
    <row r="77" spans="1:26" s="24" customFormat="1" hidden="1" outlineLevel="2" x14ac:dyDescent="0.25">
      <c r="A77" s="26"/>
      <c r="B77" s="11" t="str">
        <f>CONCATENATE("          ", "6277", " - ", "EMPLOYEE APPRECIATION")</f>
        <v xml:space="preserve">          6277 - EMPLOYEE APPRECIATION</v>
      </c>
      <c r="C77" s="11"/>
      <c r="D77" s="6">
        <v>292.13</v>
      </c>
      <c r="E77" s="2"/>
      <c r="F77" s="7">
        <f t="shared" si="36"/>
        <v>4.6007997135796261E-4</v>
      </c>
      <c r="G77" s="2"/>
      <c r="H77" s="6">
        <v>2150</v>
      </c>
      <c r="I77" s="2"/>
      <c r="J77" s="7">
        <f t="shared" si="37"/>
        <v>2.5716288338201486E-3</v>
      </c>
      <c r="K77" s="2"/>
      <c r="L77" s="6">
        <f t="shared" si="38"/>
        <v>-1857.87</v>
      </c>
      <c r="M77" s="2"/>
      <c r="N77" s="7">
        <f t="shared" si="39"/>
        <v>-0.86412558139534879</v>
      </c>
      <c r="O77" s="11"/>
      <c r="P77" s="6">
        <v>1306.78</v>
      </c>
      <c r="Q77" s="2"/>
      <c r="R77" s="7">
        <f t="shared" si="40"/>
        <v>2.7661696515991345E-4</v>
      </c>
      <c r="S77" s="2"/>
      <c r="T77" s="6">
        <v>3765</v>
      </c>
      <c r="U77" s="2"/>
      <c r="V77" s="7">
        <f t="shared" si="41"/>
        <v>7.1186512974890628E-4</v>
      </c>
      <c r="W77" s="2"/>
      <c r="X77" s="6">
        <f t="shared" si="42"/>
        <v>-2458.2200000000003</v>
      </c>
      <c r="Y77" s="2"/>
      <c r="Z77" s="7">
        <f t="shared" si="43"/>
        <v>-0.65291367861885796</v>
      </c>
    </row>
    <row r="78" spans="1:26" s="25" customFormat="1" outlineLevel="1" collapsed="1" x14ac:dyDescent="0.25">
      <c r="A78" s="27"/>
      <c r="B78" s="13" t="str">
        <f>CONCATENATE("     ","Equipment Rental                                  ")</f>
        <v xml:space="preserve">     Equipment Rental                                  </v>
      </c>
      <c r="C78" s="13"/>
      <c r="D78" s="1">
        <f>SUM(OSRRefD22_9x_0)</f>
        <v>2816.55</v>
      </c>
      <c r="E78" s="1"/>
      <c r="F78" s="5">
        <f t="shared" si="36"/>
        <v>4.4358273485375337E-3</v>
      </c>
      <c r="G78" s="1"/>
      <c r="H78" s="1">
        <f>SUM(OSRRefH22_9x_0)</f>
        <v>1245</v>
      </c>
      <c r="I78" s="1"/>
      <c r="J78" s="5">
        <f t="shared" si="37"/>
        <v>1.4891525107470164E-3</v>
      </c>
      <c r="K78" s="1"/>
      <c r="L78" s="1">
        <f t="shared" si="38"/>
        <v>1571.5500000000002</v>
      </c>
      <c r="M78" s="1"/>
      <c r="N78" s="5">
        <f t="shared" si="39"/>
        <v>1.2622891566265062</v>
      </c>
      <c r="O78" s="13"/>
      <c r="P78" s="1">
        <f>SUM(OSRRefP22_9x_0)</f>
        <v>15563.98</v>
      </c>
      <c r="Q78" s="1"/>
      <c r="R78" s="5">
        <f t="shared" si="40"/>
        <v>3.2945567833985749E-3</v>
      </c>
      <c r="S78" s="1"/>
      <c r="T78" s="1">
        <f>SUM(OSRRefT22_9x_0)</f>
        <v>9526</v>
      </c>
      <c r="U78" s="1"/>
      <c r="V78" s="5">
        <f t="shared" si="41"/>
        <v>1.8011227691867413E-3</v>
      </c>
      <c r="W78" s="1"/>
      <c r="X78" s="1">
        <f t="shared" si="42"/>
        <v>6037.98</v>
      </c>
      <c r="Y78" s="1"/>
      <c r="Z78" s="5">
        <f t="shared" si="43"/>
        <v>0.63384211631324794</v>
      </c>
    </row>
    <row r="79" spans="1:26" s="24" customFormat="1" hidden="1" outlineLevel="2" x14ac:dyDescent="0.25">
      <c r="A79" s="26"/>
      <c r="B79" s="11" t="str">
        <f>CONCATENATE("          ", "6351", " - ", "EQUIPMENT RENTAL")</f>
        <v xml:space="preserve">          6351 - EQUIPMENT RENTAL</v>
      </c>
      <c r="C79" s="11"/>
      <c r="D79" s="6">
        <v>2816.55</v>
      </c>
      <c r="E79" s="2"/>
      <c r="F79" s="7">
        <f t="shared" si="36"/>
        <v>4.4358273485375337E-3</v>
      </c>
      <c r="G79" s="2"/>
      <c r="H79" s="6">
        <v>1245</v>
      </c>
      <c r="I79" s="2"/>
      <c r="J79" s="7">
        <f t="shared" si="37"/>
        <v>1.4891525107470164E-3</v>
      </c>
      <c r="K79" s="2"/>
      <c r="L79" s="6">
        <f t="shared" si="38"/>
        <v>1571.5500000000002</v>
      </c>
      <c r="M79" s="2"/>
      <c r="N79" s="7">
        <f t="shared" si="39"/>
        <v>1.2622891566265062</v>
      </c>
      <c r="O79" s="11"/>
      <c r="P79" s="6">
        <v>15563.98</v>
      </c>
      <c r="Q79" s="2"/>
      <c r="R79" s="7">
        <f t="shared" si="40"/>
        <v>3.2945567833985749E-3</v>
      </c>
      <c r="S79" s="2"/>
      <c r="T79" s="6">
        <v>9526</v>
      </c>
      <c r="U79" s="2"/>
      <c r="V79" s="7">
        <f t="shared" si="41"/>
        <v>1.8011227691867413E-3</v>
      </c>
      <c r="W79" s="2"/>
      <c r="X79" s="6">
        <f t="shared" si="42"/>
        <v>6037.98</v>
      </c>
      <c r="Y79" s="2"/>
      <c r="Z79" s="7">
        <f t="shared" si="43"/>
        <v>0.63384211631324794</v>
      </c>
    </row>
    <row r="80" spans="1:26" s="25" customFormat="1" outlineLevel="1" collapsed="1" x14ac:dyDescent="0.25">
      <c r="A80" s="27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SUM(OSRRefD22_10x_0)</f>
        <v>37.380000000000003</v>
      </c>
      <c r="E80" s="1"/>
      <c r="F80" s="5">
        <f t="shared" si="36"/>
        <v>5.8870329405951609E-5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37.380000000000003</v>
      </c>
      <c r="M80" s="1"/>
      <c r="N80" s="5">
        <f t="shared" si="39"/>
        <v>0</v>
      </c>
      <c r="O80" s="13"/>
      <c r="P80" s="1">
        <f>SUM(OSRRefP22_10x_0)</f>
        <v>225.99</v>
      </c>
      <c r="Q80" s="1"/>
      <c r="R80" s="5">
        <f t="shared" si="40"/>
        <v>4.7837178374698763E-5</v>
      </c>
      <c r="S80" s="1"/>
      <c r="T80" s="1">
        <f>SUM(OSRRefT22_10x_0)</f>
        <v>0</v>
      </c>
      <c r="U80" s="1"/>
      <c r="V80" s="5">
        <f t="shared" si="41"/>
        <v>0</v>
      </c>
      <c r="W80" s="1"/>
      <c r="X80" s="1">
        <f t="shared" si="42"/>
        <v>225.99</v>
      </c>
      <c r="Y80" s="1"/>
      <c r="Z80" s="5">
        <f t="shared" si="43"/>
        <v>0</v>
      </c>
    </row>
    <row r="81" spans="1:26" s="24" customFormat="1" hidden="1" outlineLevel="2" x14ac:dyDescent="0.25">
      <c r="A81" s="26"/>
      <c r="B81" s="11" t="str">
        <f>CONCATENATE("          ", "6305", " - ", "FREIGHT OUT")</f>
        <v xml:space="preserve">          6305 - FREIGHT OUT</v>
      </c>
      <c r="C81" s="11"/>
      <c r="D81" s="6">
        <v>37.380000000000003</v>
      </c>
      <c r="E81" s="2"/>
      <c r="F81" s="7">
        <f t="shared" si="36"/>
        <v>5.8870329405951609E-5</v>
      </c>
      <c r="G81" s="2"/>
      <c r="H81" s="6"/>
      <c r="I81" s="2"/>
      <c r="J81" s="7">
        <f t="shared" si="37"/>
        <v>0</v>
      </c>
      <c r="K81" s="2"/>
      <c r="L81" s="6">
        <f t="shared" si="38"/>
        <v>37.380000000000003</v>
      </c>
      <c r="M81" s="2"/>
      <c r="N81" s="7">
        <f t="shared" si="39"/>
        <v>0</v>
      </c>
      <c r="O81" s="11"/>
      <c r="P81" s="6">
        <v>225.99</v>
      </c>
      <c r="Q81" s="2"/>
      <c r="R81" s="7">
        <f t="shared" si="40"/>
        <v>4.7837178374698763E-5</v>
      </c>
      <c r="S81" s="2"/>
      <c r="T81" s="6"/>
      <c r="U81" s="2"/>
      <c r="V81" s="7">
        <f t="shared" si="41"/>
        <v>0</v>
      </c>
      <c r="W81" s="2"/>
      <c r="X81" s="6">
        <f t="shared" si="42"/>
        <v>225.99</v>
      </c>
      <c r="Y81" s="2"/>
      <c r="Z81" s="7">
        <f t="shared" si="43"/>
        <v>0</v>
      </c>
    </row>
    <row r="82" spans="1:26" s="25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SUM(OSRRefD22_11x_0)</f>
        <v>5364.27</v>
      </c>
      <c r="E82" s="1"/>
      <c r="F82" s="5">
        <f t="shared" si="36"/>
        <v>8.4482702493971114E-3</v>
      </c>
      <c r="G82" s="1"/>
      <c r="H82" s="1">
        <f>SUM(OSRRefH22_11x_0)</f>
        <v>4394</v>
      </c>
      <c r="I82" s="1"/>
      <c r="J82" s="5">
        <f t="shared" si="37"/>
        <v>5.2556916724677827E-3</v>
      </c>
      <c r="K82" s="1"/>
      <c r="L82" s="1">
        <f t="shared" si="38"/>
        <v>970.27000000000044</v>
      </c>
      <c r="M82" s="1"/>
      <c r="N82" s="5">
        <f t="shared" si="39"/>
        <v>0.22081702321347302</v>
      </c>
      <c r="O82" s="13"/>
      <c r="P82" s="1">
        <f>SUM(OSRRefP22_11x_0)</f>
        <v>72404.649999999994</v>
      </c>
      <c r="Q82" s="1"/>
      <c r="R82" s="5">
        <f t="shared" si="40"/>
        <v>1.5326493018308917E-2</v>
      </c>
      <c r="S82" s="1"/>
      <c r="T82" s="1">
        <f>SUM(OSRRefT22_11x_0)</f>
        <v>37112</v>
      </c>
      <c r="U82" s="1"/>
      <c r="V82" s="5">
        <f t="shared" si="41"/>
        <v>7.0169292683244112E-3</v>
      </c>
      <c r="W82" s="1"/>
      <c r="X82" s="1">
        <f t="shared" si="42"/>
        <v>35292.649999999994</v>
      </c>
      <c r="Y82" s="1"/>
      <c r="Z82" s="5">
        <f t="shared" si="43"/>
        <v>0.95097677301142469</v>
      </c>
    </row>
    <row r="83" spans="1:26" s="24" customFormat="1" hidden="1" outlineLevel="2" x14ac:dyDescent="0.25">
      <c r="A83" s="26"/>
      <c r="B83" s="11" t="str">
        <f>CONCATENATE("          ", "6269", " - ", "ENTERTAINMENT")</f>
        <v xml:space="preserve">          6269 - ENTERTAINMENT</v>
      </c>
      <c r="C83" s="11"/>
      <c r="D83" s="6">
        <v>1250</v>
      </c>
      <c r="E83" s="2"/>
      <c r="F83" s="7">
        <f t="shared" si="36"/>
        <v>1.9686439742493179E-3</v>
      </c>
      <c r="G83" s="2"/>
      <c r="H83" s="6">
        <v>600</v>
      </c>
      <c r="I83" s="2"/>
      <c r="J83" s="7">
        <f t="shared" si="37"/>
        <v>7.1766386060097167E-4</v>
      </c>
      <c r="K83" s="2"/>
      <c r="L83" s="6">
        <f t="shared" si="38"/>
        <v>650</v>
      </c>
      <c r="M83" s="2"/>
      <c r="N83" s="7">
        <f t="shared" si="39"/>
        <v>1.0833333333333333</v>
      </c>
      <c r="O83" s="11"/>
      <c r="P83" s="6">
        <v>7350</v>
      </c>
      <c r="Q83" s="2"/>
      <c r="R83" s="7">
        <f t="shared" si="40"/>
        <v>1.5558354841100751E-3</v>
      </c>
      <c r="S83" s="2"/>
      <c r="T83" s="6">
        <v>4350</v>
      </c>
      <c r="U83" s="2"/>
      <c r="V83" s="7">
        <f t="shared" si="41"/>
        <v>8.2247365588519056E-4</v>
      </c>
      <c r="W83" s="2"/>
      <c r="X83" s="6">
        <f t="shared" si="42"/>
        <v>3000</v>
      </c>
      <c r="Y83" s="2"/>
      <c r="Z83" s="7">
        <f t="shared" si="43"/>
        <v>0.68965517241379315</v>
      </c>
    </row>
    <row r="84" spans="1:26" s="24" customFormat="1" hidden="1" outlineLevel="2" x14ac:dyDescent="0.25">
      <c r="A84" s="26"/>
      <c r="B84" s="11" t="str">
        <f>CONCATENATE("          ", "6279", " - ", "GENERAL EXPENSE")</f>
        <v xml:space="preserve">          6279 - GENERAL EXPENSE</v>
      </c>
      <c r="C84" s="11"/>
      <c r="D84" s="6">
        <v>4114.2700000000004</v>
      </c>
      <c r="E84" s="2"/>
      <c r="F84" s="7">
        <f t="shared" si="36"/>
        <v>6.4796262751477939E-3</v>
      </c>
      <c r="G84" s="2"/>
      <c r="H84" s="6">
        <v>3794</v>
      </c>
      <c r="I84" s="2"/>
      <c r="J84" s="7">
        <f t="shared" si="37"/>
        <v>4.5380278118668108E-3</v>
      </c>
      <c r="K84" s="2"/>
      <c r="L84" s="6">
        <f t="shared" si="38"/>
        <v>320.27000000000044</v>
      </c>
      <c r="M84" s="2"/>
      <c r="N84" s="7">
        <f t="shared" si="39"/>
        <v>8.4414865577227313E-2</v>
      </c>
      <c r="O84" s="11"/>
      <c r="P84" s="6">
        <v>65054.65</v>
      </c>
      <c r="Q84" s="2"/>
      <c r="R84" s="7">
        <f t="shared" si="40"/>
        <v>1.3770657534198844E-2</v>
      </c>
      <c r="S84" s="2"/>
      <c r="T84" s="6">
        <v>32762</v>
      </c>
      <c r="U84" s="2"/>
      <c r="V84" s="7">
        <f t="shared" si="41"/>
        <v>6.1944556124392206E-3</v>
      </c>
      <c r="W84" s="2"/>
      <c r="X84" s="6">
        <f t="shared" si="42"/>
        <v>32292.65</v>
      </c>
      <c r="Y84" s="2"/>
      <c r="Z84" s="7">
        <f t="shared" si="43"/>
        <v>0.98567395152921067</v>
      </c>
    </row>
    <row r="85" spans="1:26" s="25" customFormat="1" outlineLevel="1" collapsed="1" x14ac:dyDescent="0.25">
      <c r="A85" s="27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SUM(OSRRefD22_12x_0)</f>
        <v>4483.67</v>
      </c>
      <c r="E85" s="1"/>
      <c r="F85" s="5">
        <f t="shared" ref="F85:F99" si="44">IF(D$12=0,0,D85/D$12)</f>
        <v>7.0613999424179522E-3</v>
      </c>
      <c r="G85" s="1"/>
      <c r="H85" s="1">
        <f>SUM(OSRRefH22_12x_0)</f>
        <v>4234</v>
      </c>
      <c r="I85" s="1"/>
      <c r="J85" s="5">
        <f t="shared" ref="J85:J99" si="45">IF(H$12=0,0,H85/H$12)</f>
        <v>5.0643146429741907E-3</v>
      </c>
      <c r="K85" s="1"/>
      <c r="L85" s="1">
        <f t="shared" ref="L85:L99" si="46">+D85-H85</f>
        <v>249.67000000000007</v>
      </c>
      <c r="M85" s="1"/>
      <c r="N85" s="5">
        <f t="shared" ref="N85:N99" si="47">IF(H85=0,0,L85/H85)</f>
        <v>5.8967879074161567E-2</v>
      </c>
      <c r="O85" s="13"/>
      <c r="P85" s="1">
        <f>SUM(OSRRefP22_12x_0)</f>
        <v>26902.02</v>
      </c>
      <c r="Q85" s="1"/>
      <c r="R85" s="5">
        <f t="shared" ref="R85:R99" si="48">IF(P$12=0,0,P85/P$12)</f>
        <v>5.6945737837059756E-3</v>
      </c>
      <c r="S85" s="1"/>
      <c r="T85" s="1">
        <f>SUM(OSRRefT22_12x_0)</f>
        <v>25404</v>
      </c>
      <c r="U85" s="1"/>
      <c r="V85" s="5">
        <f t="shared" ref="V85:V99" si="49">IF(T$12=0,0,T85/T$12)</f>
        <v>4.8032461503695126E-3</v>
      </c>
      <c r="W85" s="1"/>
      <c r="X85" s="1">
        <f t="shared" ref="X85:X99" si="50">+P85-T85</f>
        <v>1498.0200000000004</v>
      </c>
      <c r="Y85" s="1"/>
      <c r="Z85" s="5">
        <f t="shared" ref="Z85:Z99" si="51">IF(T85=0,0,X85/T85)</f>
        <v>5.8967879074161567E-2</v>
      </c>
    </row>
    <row r="86" spans="1:26" s="24" customFormat="1" hidden="1" outlineLevel="2" x14ac:dyDescent="0.25">
      <c r="A86" s="26"/>
      <c r="B86" s="11" t="str">
        <f>CONCATENATE("          ", "6314", " - ", "LIABILITY INSURANCE")</f>
        <v xml:space="preserve">          6314 - LIABILITY INSURANCE</v>
      </c>
      <c r="C86" s="11"/>
      <c r="D86" s="6">
        <v>4483.67</v>
      </c>
      <c r="E86" s="2"/>
      <c r="F86" s="7">
        <f t="shared" si="44"/>
        <v>7.0613999424179522E-3</v>
      </c>
      <c r="G86" s="2"/>
      <c r="H86" s="6">
        <v>4234</v>
      </c>
      <c r="I86" s="2"/>
      <c r="J86" s="7">
        <f t="shared" si="45"/>
        <v>5.0643146429741907E-3</v>
      </c>
      <c r="K86" s="2"/>
      <c r="L86" s="6">
        <f t="shared" si="46"/>
        <v>249.67000000000007</v>
      </c>
      <c r="M86" s="2"/>
      <c r="N86" s="7">
        <f t="shared" si="47"/>
        <v>5.8967879074161567E-2</v>
      </c>
      <c r="O86" s="11"/>
      <c r="P86" s="6">
        <v>26902.02</v>
      </c>
      <c r="Q86" s="2"/>
      <c r="R86" s="7">
        <f t="shared" si="48"/>
        <v>5.6945737837059756E-3</v>
      </c>
      <c r="S86" s="2"/>
      <c r="T86" s="6">
        <v>25404</v>
      </c>
      <c r="U86" s="2"/>
      <c r="V86" s="7">
        <f t="shared" si="49"/>
        <v>4.8032461503695126E-3</v>
      </c>
      <c r="W86" s="2"/>
      <c r="X86" s="6">
        <f t="shared" si="50"/>
        <v>1498.0200000000004</v>
      </c>
      <c r="Y86" s="2"/>
      <c r="Z86" s="7">
        <f t="shared" si="51"/>
        <v>5.8967879074161567E-2</v>
      </c>
    </row>
    <row r="87" spans="1:26" s="25" customFormat="1" outlineLevel="1" collapsed="1" x14ac:dyDescent="0.25">
      <c r="A87" s="27"/>
      <c r="B87" s="13" t="str">
        <f>CONCATENATE("     ","Interest                                          ")</f>
        <v xml:space="preserve">     Interest                                          </v>
      </c>
      <c r="C87" s="13"/>
      <c r="D87" s="1">
        <f>SUM(OSRRefD22_13x_0)</f>
        <v>11929</v>
      </c>
      <c r="E87" s="1"/>
      <c r="F87" s="5">
        <f t="shared" si="44"/>
        <v>1.878716317505609E-2</v>
      </c>
      <c r="G87" s="1"/>
      <c r="H87" s="1">
        <f>SUM(OSRRefH22_13x_0)</f>
        <v>11929</v>
      </c>
      <c r="I87" s="1"/>
      <c r="J87" s="5">
        <f t="shared" si="45"/>
        <v>1.4268353655181653E-2</v>
      </c>
      <c r="K87" s="1"/>
      <c r="L87" s="1">
        <f t="shared" si="46"/>
        <v>0</v>
      </c>
      <c r="M87" s="1"/>
      <c r="N87" s="5">
        <f t="shared" si="47"/>
        <v>0</v>
      </c>
      <c r="O87" s="13"/>
      <c r="P87" s="1">
        <f>SUM(OSRRefP22_13x_0)</f>
        <v>70975</v>
      </c>
      <c r="Q87" s="1"/>
      <c r="R87" s="5">
        <f t="shared" si="48"/>
        <v>1.5023867140777221E-2</v>
      </c>
      <c r="S87" s="1"/>
      <c r="T87" s="1">
        <f>SUM(OSRRefT22_13x_0)</f>
        <v>71574</v>
      </c>
      <c r="U87" s="1"/>
      <c r="V87" s="5">
        <f t="shared" si="49"/>
        <v>1.3532811366971638E-2</v>
      </c>
      <c r="W87" s="1"/>
      <c r="X87" s="1">
        <f t="shared" si="50"/>
        <v>-599</v>
      </c>
      <c r="Y87" s="1"/>
      <c r="Z87" s="5">
        <f t="shared" si="51"/>
        <v>-8.3689607958197104E-3</v>
      </c>
    </row>
    <row r="88" spans="1:26" s="24" customFormat="1" hidden="1" outlineLevel="2" x14ac:dyDescent="0.25">
      <c r="A88" s="26"/>
      <c r="B88" s="11" t="str">
        <f>CONCATENATE("          ", "6401", " - ", "INTEREST EXPENSE")</f>
        <v xml:space="preserve">          6401 - INTEREST EXPENSE</v>
      </c>
      <c r="C88" s="11"/>
      <c r="D88" s="6">
        <v>11929</v>
      </c>
      <c r="E88" s="2"/>
      <c r="F88" s="7">
        <f t="shared" si="44"/>
        <v>1.878716317505609E-2</v>
      </c>
      <c r="G88" s="2"/>
      <c r="H88" s="6">
        <v>11929</v>
      </c>
      <c r="I88" s="2"/>
      <c r="J88" s="7">
        <f t="shared" si="45"/>
        <v>1.4268353655181653E-2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70975</v>
      </c>
      <c r="Q88" s="2"/>
      <c r="R88" s="7">
        <f t="shared" si="48"/>
        <v>1.5023867140777221E-2</v>
      </c>
      <c r="S88" s="2"/>
      <c r="T88" s="6">
        <v>71574</v>
      </c>
      <c r="U88" s="2"/>
      <c r="V88" s="7">
        <f t="shared" si="49"/>
        <v>1.3532811366971638E-2</v>
      </c>
      <c r="W88" s="2"/>
      <c r="X88" s="6">
        <f t="shared" si="50"/>
        <v>-599</v>
      </c>
      <c r="Y88" s="2"/>
      <c r="Z88" s="7">
        <f t="shared" si="51"/>
        <v>-8.3689607958197104E-3</v>
      </c>
    </row>
    <row r="89" spans="1:26" s="25" customFormat="1" outlineLevel="1" collapsed="1" x14ac:dyDescent="0.25">
      <c r="A89" s="27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SUM(OSRRefD22_14x_0)</f>
        <v>0</v>
      </c>
      <c r="E89" s="1"/>
      <c r="F89" s="5">
        <f t="shared" si="44"/>
        <v>0</v>
      </c>
      <c r="G89" s="1"/>
      <c r="H89" s="1">
        <f>SUM(OSRRefH22_14x_0)</f>
        <v>0</v>
      </c>
      <c r="I89" s="1"/>
      <c r="J89" s="5">
        <f t="shared" si="45"/>
        <v>0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SUM(OSRRefP22_14x_0)</f>
        <v>125</v>
      </c>
      <c r="Q89" s="1"/>
      <c r="R89" s="5">
        <f t="shared" si="48"/>
        <v>2.6459787144729167E-5</v>
      </c>
      <c r="S89" s="1"/>
      <c r="T89" s="1">
        <f>SUM(OSRRefT22_14x_0)</f>
        <v>0</v>
      </c>
      <c r="U89" s="1"/>
      <c r="V89" s="5">
        <f t="shared" si="49"/>
        <v>0</v>
      </c>
      <c r="W89" s="1"/>
      <c r="X89" s="1">
        <f t="shared" si="50"/>
        <v>125</v>
      </c>
      <c r="Y89" s="1"/>
      <c r="Z89" s="5">
        <f t="shared" si="51"/>
        <v>0</v>
      </c>
    </row>
    <row r="90" spans="1:26" s="24" customFormat="1" hidden="1" outlineLevel="2" x14ac:dyDescent="0.25">
      <c r="A90" s="26"/>
      <c r="B90" s="11" t="str">
        <f>CONCATENATE("          ", "6336", " - ", "PROFESSIONAL SERVICES")</f>
        <v xml:space="preserve">          6336 - PROFESSIONAL SERVICES</v>
      </c>
      <c r="C90" s="11"/>
      <c r="D90" s="6"/>
      <c r="E90" s="2"/>
      <c r="F90" s="7">
        <f t="shared" si="44"/>
        <v>0</v>
      </c>
      <c r="G90" s="2"/>
      <c r="H90" s="6"/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125</v>
      </c>
      <c r="Q90" s="2"/>
      <c r="R90" s="7">
        <f t="shared" si="48"/>
        <v>2.6459787144729167E-5</v>
      </c>
      <c r="S90" s="2"/>
      <c r="T90" s="6"/>
      <c r="U90" s="2"/>
      <c r="V90" s="7">
        <f t="shared" si="49"/>
        <v>0</v>
      </c>
      <c r="W90" s="2"/>
      <c r="X90" s="6">
        <f t="shared" si="50"/>
        <v>125</v>
      </c>
      <c r="Y90" s="2"/>
      <c r="Z90" s="7">
        <f t="shared" si="51"/>
        <v>0</v>
      </c>
    </row>
    <row r="91" spans="1:26" s="25" customFormat="1" outlineLevel="1" collapsed="1" x14ac:dyDescent="0.25">
      <c r="A91" s="27"/>
      <c r="B91" s="13" t="str">
        <f>CONCATENATE("     ","R/H Commissions                                   ")</f>
        <v xml:space="preserve">     R/H Commissions                                   </v>
      </c>
      <c r="C91" s="13"/>
      <c r="D91" s="1">
        <f>SUM(OSRRefD22_15x_0)</f>
        <v>0</v>
      </c>
      <c r="E91" s="1"/>
      <c r="F91" s="5">
        <f t="shared" si="44"/>
        <v>0</v>
      </c>
      <c r="G91" s="1"/>
      <c r="H91" s="1">
        <f>SUM(OSRRefH22_15x_0)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SUM(OSRRefP22_15x_0)</f>
        <v>0</v>
      </c>
      <c r="Q91" s="1"/>
      <c r="R91" s="5">
        <f t="shared" si="48"/>
        <v>0</v>
      </c>
      <c r="S91" s="1"/>
      <c r="T91" s="1">
        <f>SUM(OSRRefT22_15x_0)</f>
        <v>0</v>
      </c>
      <c r="U91" s="1"/>
      <c r="V91" s="5">
        <f t="shared" si="49"/>
        <v>0</v>
      </c>
      <c r="W91" s="1"/>
      <c r="X91" s="1">
        <f t="shared" si="50"/>
        <v>0</v>
      </c>
      <c r="Y91" s="1"/>
      <c r="Z91" s="5">
        <f t="shared" si="51"/>
        <v>0</v>
      </c>
    </row>
    <row r="92" spans="1:26" s="24" customFormat="1" hidden="1" outlineLevel="2" x14ac:dyDescent="0.25">
      <c r="A92" s="26"/>
      <c r="B92" s="11" t="str">
        <f>CONCATENATE("          ", "6387", " - ", "COMMISSION DUE HOUSING")</f>
        <v xml:space="preserve">          6387 - COMMISSION DUE HOUSING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0</v>
      </c>
      <c r="U92" s="2"/>
      <c r="V92" s="7">
        <f t="shared" si="49"/>
        <v>0</v>
      </c>
      <c r="W92" s="2"/>
      <c r="X92" s="6">
        <f t="shared" si="50"/>
        <v>0</v>
      </c>
      <c r="Y92" s="2"/>
      <c r="Z92" s="7">
        <f t="shared" si="51"/>
        <v>0</v>
      </c>
    </row>
    <row r="93" spans="1:26" s="25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SUM(OSRRefD22_16x_0)</f>
        <v>3000</v>
      </c>
      <c r="E93" s="1"/>
      <c r="F93" s="5">
        <f t="shared" si="44"/>
        <v>4.7247455381983633E-3</v>
      </c>
      <c r="G93" s="1"/>
      <c r="H93" s="1">
        <f>SUM(OSRRefH22_16x_0)</f>
        <v>3000</v>
      </c>
      <c r="I93" s="1"/>
      <c r="J93" s="5">
        <f t="shared" si="45"/>
        <v>3.5883193030048586E-3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SUM(OSRRefP22_16x_0)</f>
        <v>18000</v>
      </c>
      <c r="Q93" s="1"/>
      <c r="R93" s="5">
        <f t="shared" si="48"/>
        <v>3.8102093488410001E-3</v>
      </c>
      <c r="S93" s="1"/>
      <c r="T93" s="1">
        <f>SUM(OSRRefT22_16x_0)</f>
        <v>18000</v>
      </c>
      <c r="U93" s="1"/>
      <c r="V93" s="5">
        <f t="shared" si="49"/>
        <v>3.4033392657318228E-3</v>
      </c>
      <c r="W93" s="1"/>
      <c r="X93" s="1">
        <f t="shared" si="50"/>
        <v>0</v>
      </c>
      <c r="Y93" s="1"/>
      <c r="Z93" s="5">
        <f t="shared" si="51"/>
        <v>0</v>
      </c>
    </row>
    <row r="94" spans="1:26" s="24" customFormat="1" hidden="1" outlineLevel="2" x14ac:dyDescent="0.25">
      <c r="A94" s="26"/>
      <c r="B94" s="11" t="str">
        <f>CONCATENATE("          ", "6273", " - ", "RENT")</f>
        <v xml:space="preserve">          6273 - RENT</v>
      </c>
      <c r="C94" s="11"/>
      <c r="D94" s="6">
        <v>3000</v>
      </c>
      <c r="E94" s="2"/>
      <c r="F94" s="7">
        <f t="shared" si="44"/>
        <v>4.7247455381983633E-3</v>
      </c>
      <c r="G94" s="2"/>
      <c r="H94" s="6">
        <v>3000</v>
      </c>
      <c r="I94" s="2"/>
      <c r="J94" s="7">
        <f t="shared" si="45"/>
        <v>3.5883193030048586E-3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18000</v>
      </c>
      <c r="Q94" s="2"/>
      <c r="R94" s="7">
        <f t="shared" si="48"/>
        <v>3.8102093488410001E-3</v>
      </c>
      <c r="S94" s="2"/>
      <c r="T94" s="6">
        <v>18000</v>
      </c>
      <c r="U94" s="2"/>
      <c r="V94" s="7">
        <f t="shared" si="49"/>
        <v>3.4033392657318228E-3</v>
      </c>
      <c r="W94" s="2"/>
      <c r="X94" s="6">
        <f t="shared" si="50"/>
        <v>0</v>
      </c>
      <c r="Y94" s="2"/>
      <c r="Z94" s="7">
        <f t="shared" si="51"/>
        <v>0</v>
      </c>
    </row>
    <row r="95" spans="1:26" s="25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SUM(OSRRefD22_17x_0)</f>
        <v>28951.740000000005</v>
      </c>
      <c r="E95" s="1"/>
      <c r="F95" s="5">
        <f t="shared" si="44"/>
        <v>4.5596534796026371E-2</v>
      </c>
      <c r="G95" s="1"/>
      <c r="H95" s="1">
        <f>SUM(OSRRefH22_17x_0)</f>
        <v>27246</v>
      </c>
      <c r="I95" s="1"/>
      <c r="J95" s="5">
        <f t="shared" si="45"/>
        <v>3.2589115909890123E-2</v>
      </c>
      <c r="K95" s="1"/>
      <c r="L95" s="1">
        <f t="shared" si="46"/>
        <v>1705.7400000000052</v>
      </c>
      <c r="M95" s="1"/>
      <c r="N95" s="5">
        <f t="shared" si="47"/>
        <v>6.2605153049989176E-2</v>
      </c>
      <c r="O95" s="13"/>
      <c r="P95" s="1">
        <f>SUM(OSRRefP22_17x_0)</f>
        <v>158836.99</v>
      </c>
      <c r="Q95" s="1"/>
      <c r="R95" s="5">
        <f t="shared" si="48"/>
        <v>3.36223435688758E-2</v>
      </c>
      <c r="S95" s="1"/>
      <c r="T95" s="1">
        <f>SUM(OSRRefT22_17x_0)</f>
        <v>145122</v>
      </c>
      <c r="U95" s="1"/>
      <c r="V95" s="5">
        <f t="shared" si="49"/>
        <v>2.7438855606751866E-2</v>
      </c>
      <c r="W95" s="1"/>
      <c r="X95" s="1">
        <f t="shared" si="50"/>
        <v>13714.989999999991</v>
      </c>
      <c r="Y95" s="1"/>
      <c r="Z95" s="5">
        <f t="shared" si="51"/>
        <v>9.4506622014580766E-2</v>
      </c>
    </row>
    <row r="96" spans="1:26" s="24" customFormat="1" hidden="1" outlineLevel="2" x14ac:dyDescent="0.25">
      <c r="A96" s="26"/>
      <c r="B96" s="11" t="str">
        <f>CONCATENATE("          ", "6371", " - ", "COMPUTER SOFTWARE MAINTENANCE")</f>
        <v xml:space="preserve">          6371 - COMPUTER SOFTWARE MAINTENANCE</v>
      </c>
      <c r="C96" s="11"/>
      <c r="D96" s="6"/>
      <c r="E96" s="2"/>
      <c r="F96" s="7">
        <f t="shared" si="44"/>
        <v>0</v>
      </c>
      <c r="G96" s="2"/>
      <c r="H96" s="6">
        <v>50</v>
      </c>
      <c r="I96" s="2"/>
      <c r="J96" s="7">
        <f t="shared" si="45"/>
        <v>5.9805321716747644E-5</v>
      </c>
      <c r="K96" s="2"/>
      <c r="L96" s="6">
        <f t="shared" si="46"/>
        <v>-50</v>
      </c>
      <c r="M96" s="2"/>
      <c r="N96" s="7">
        <f t="shared" si="47"/>
        <v>-1</v>
      </c>
      <c r="O96" s="11"/>
      <c r="P96" s="6">
        <v>12244.62</v>
      </c>
      <c r="Q96" s="2"/>
      <c r="R96" s="7">
        <f t="shared" si="48"/>
        <v>2.5919203109447497E-3</v>
      </c>
      <c r="S96" s="2"/>
      <c r="T96" s="6">
        <v>1300</v>
      </c>
      <c r="U96" s="2"/>
      <c r="V96" s="7">
        <f t="shared" si="49"/>
        <v>2.4579672474729831E-4</v>
      </c>
      <c r="W96" s="2"/>
      <c r="X96" s="6">
        <f t="shared" si="50"/>
        <v>10944.62</v>
      </c>
      <c r="Y96" s="2"/>
      <c r="Z96" s="7">
        <f t="shared" si="51"/>
        <v>8.4189384615384615</v>
      </c>
    </row>
    <row r="97" spans="1:26" s="24" customFormat="1" hidden="1" outlineLevel="2" x14ac:dyDescent="0.25">
      <c r="A97" s="26"/>
      <c r="B97" s="11" t="str">
        <f>CONCATENATE("          ", "6372", " - ", "COMPUTER HARDWARE MAINTENANCE")</f>
        <v xml:space="preserve">          6372 - COMPUTER HARDWARE MAINTENANCE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/>
      <c r="Q97" s="2"/>
      <c r="R97" s="7">
        <f t="shared" si="48"/>
        <v>0</v>
      </c>
      <c r="S97" s="2"/>
      <c r="T97" s="6">
        <v>200</v>
      </c>
      <c r="U97" s="2"/>
      <c r="V97" s="7">
        <f t="shared" si="49"/>
        <v>3.7814880730353584E-5</v>
      </c>
      <c r="W97" s="2"/>
      <c r="X97" s="6">
        <f t="shared" si="50"/>
        <v>-200</v>
      </c>
      <c r="Y97" s="2"/>
      <c r="Z97" s="7">
        <f t="shared" si="51"/>
        <v>-1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6">
        <v>17552.390000000003</v>
      </c>
      <c r="E98" s="2"/>
      <c r="F98" s="7">
        <f t="shared" si="44"/>
        <v>2.7643525445739194E-2</v>
      </c>
      <c r="G98" s="2"/>
      <c r="H98" s="6">
        <v>2448</v>
      </c>
      <c r="I98" s="2"/>
      <c r="J98" s="7">
        <f t="shared" si="45"/>
        <v>2.9280685512519645E-3</v>
      </c>
      <c r="K98" s="2"/>
      <c r="L98" s="6">
        <f t="shared" si="46"/>
        <v>15104.390000000003</v>
      </c>
      <c r="M98" s="2"/>
      <c r="N98" s="7">
        <f t="shared" si="47"/>
        <v>6.170093954248367</v>
      </c>
      <c r="O98" s="11"/>
      <c r="P98" s="6">
        <v>58904.24</v>
      </c>
      <c r="Q98" s="2"/>
      <c r="R98" s="7">
        <f t="shared" si="48"/>
        <v>1.2468749218576334E-2</v>
      </c>
      <c r="S98" s="2"/>
      <c r="T98" s="6">
        <v>13946</v>
      </c>
      <c r="U98" s="2"/>
      <c r="V98" s="7">
        <f t="shared" si="49"/>
        <v>2.6368316333275554E-3</v>
      </c>
      <c r="W98" s="2"/>
      <c r="X98" s="6">
        <f t="shared" si="50"/>
        <v>44958.239999999998</v>
      </c>
      <c r="Y98" s="2"/>
      <c r="Z98" s="7">
        <f t="shared" si="51"/>
        <v>3.2237372723361535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6">
        <v>11399.35</v>
      </c>
      <c r="E99" s="2"/>
      <c r="F99" s="7">
        <f t="shared" si="44"/>
        <v>1.795300935028717E-2</v>
      </c>
      <c r="G99" s="2"/>
      <c r="H99" s="6">
        <v>24748</v>
      </c>
      <c r="I99" s="2"/>
      <c r="J99" s="7">
        <f t="shared" si="45"/>
        <v>2.9601242036921414E-2</v>
      </c>
      <c r="K99" s="2"/>
      <c r="L99" s="6">
        <f t="shared" si="46"/>
        <v>-13348.65</v>
      </c>
      <c r="M99" s="2"/>
      <c r="N99" s="7">
        <f t="shared" si="47"/>
        <v>-0.53938298044286404</v>
      </c>
      <c r="O99" s="11"/>
      <c r="P99" s="6">
        <v>87688.13</v>
      </c>
      <c r="Q99" s="2"/>
      <c r="R99" s="7">
        <f t="shared" si="48"/>
        <v>1.8561674039354721E-2</v>
      </c>
      <c r="S99" s="2"/>
      <c r="T99" s="6">
        <v>129676</v>
      </c>
      <c r="U99" s="2"/>
      <c r="V99" s="7">
        <f t="shared" si="49"/>
        <v>2.4518412367946659E-2</v>
      </c>
      <c r="W99" s="2"/>
      <c r="X99" s="6">
        <f t="shared" si="50"/>
        <v>-41987.869999999995</v>
      </c>
      <c r="Y99" s="2"/>
      <c r="Z99" s="7">
        <f t="shared" si="51"/>
        <v>-0.32379060119065978</v>
      </c>
    </row>
    <row r="100" spans="1:26" s="25" customFormat="1" outlineLevel="1" collapsed="1" x14ac:dyDescent="0.25">
      <c r="A100" s="27"/>
      <c r="B100" s="13" t="str">
        <f>CONCATENATE("     ","Royalty &amp; Commissions                             ")</f>
        <v xml:space="preserve">     Royalty &amp; Commissions                             </v>
      </c>
      <c r="C100" s="13"/>
      <c r="D100" s="1">
        <f>SUM(OSRRefD22_18x_0)</f>
        <v>28613.919999999998</v>
      </c>
      <c r="E100" s="1"/>
      <c r="F100" s="5">
        <f t="shared" ref="F100:F103" si="52">IF(D$12=0,0,D100/D$12)</f>
        <v>4.5064496950121637E-2</v>
      </c>
      <c r="G100" s="1"/>
      <c r="H100" s="1">
        <f>SUM(OSRRefH22_18x_0)</f>
        <v>24384</v>
      </c>
      <c r="I100" s="1"/>
      <c r="J100" s="5">
        <f t="shared" ref="J100:J103" si="53">IF(H$12=0,0,H100/H$12)</f>
        <v>2.9165859294823491E-2</v>
      </c>
      <c r="K100" s="1"/>
      <c r="L100" s="1">
        <f t="shared" ref="L100:L103" si="54">+D100-H100</f>
        <v>4229.9199999999983</v>
      </c>
      <c r="M100" s="1"/>
      <c r="N100" s="5">
        <f t="shared" ref="N100:N103" si="55">IF(H100=0,0,L100/H100)</f>
        <v>0.1734711286089238</v>
      </c>
      <c r="O100" s="13"/>
      <c r="P100" s="1">
        <f>SUM(OSRRefP22_18x_0)</f>
        <v>149006.96999999997</v>
      </c>
      <c r="Q100" s="1"/>
      <c r="R100" s="5">
        <f t="shared" ref="R100:R103" si="56">IF(P$12=0,0,P100/P$12)</f>
        <v>3.1541541674248351E-2</v>
      </c>
      <c r="S100" s="1"/>
      <c r="T100" s="1">
        <f>SUM(OSRRefT22_18x_0)</f>
        <v>143663</v>
      </c>
      <c r="U100" s="1"/>
      <c r="V100" s="5">
        <f t="shared" ref="V100:V103" si="57">IF(T$12=0,0,T100/T$12)</f>
        <v>2.7162996051823936E-2</v>
      </c>
      <c r="W100" s="1"/>
      <c r="X100" s="1">
        <f t="shared" ref="X100:X103" si="58">+P100-T100</f>
        <v>5343.9699999999721</v>
      </c>
      <c r="Y100" s="1"/>
      <c r="Z100" s="5">
        <f t="shared" ref="Z100:Z103" si="59">IF(T100=0,0,X100/T100)</f>
        <v>3.7197956328351572E-2</v>
      </c>
    </row>
    <row r="101" spans="1:26" s="24" customFormat="1" hidden="1" outlineLevel="2" x14ac:dyDescent="0.25">
      <c r="A101" s="26"/>
      <c r="B101" s="11" t="str">
        <f>CONCATENATE("          ", "6253", " - ", "ROYALTY DUE ATHLETICS-LRG")</f>
        <v xml:space="preserve">          6253 - ROYALTY DUE ATHLETICS-LRG</v>
      </c>
      <c r="C101" s="11"/>
      <c r="D101" s="6"/>
      <c r="E101" s="2"/>
      <c r="F101" s="7">
        <f t="shared" si="52"/>
        <v>0</v>
      </c>
      <c r="G101" s="2"/>
      <c r="H101" s="6">
        <v>8000</v>
      </c>
      <c r="I101" s="2"/>
      <c r="J101" s="7">
        <f t="shared" si="53"/>
        <v>9.5688514746796235E-3</v>
      </c>
      <c r="K101" s="2"/>
      <c r="L101" s="6">
        <f t="shared" si="54"/>
        <v>-8000</v>
      </c>
      <c r="M101" s="2"/>
      <c r="N101" s="7">
        <f t="shared" si="55"/>
        <v>-1</v>
      </c>
      <c r="O101" s="11"/>
      <c r="P101" s="6"/>
      <c r="Q101" s="2"/>
      <c r="R101" s="7">
        <f t="shared" si="56"/>
        <v>0</v>
      </c>
      <c r="S101" s="2"/>
      <c r="T101" s="6">
        <v>35000</v>
      </c>
      <c r="U101" s="2"/>
      <c r="V101" s="7">
        <f t="shared" si="57"/>
        <v>6.6176041278118774E-3</v>
      </c>
      <c r="W101" s="2"/>
      <c r="X101" s="6">
        <f t="shared" si="58"/>
        <v>-35000</v>
      </c>
      <c r="Y101" s="2"/>
      <c r="Z101" s="7">
        <f t="shared" si="59"/>
        <v>-1</v>
      </c>
    </row>
    <row r="102" spans="1:26" s="24" customFormat="1" hidden="1" outlineLevel="2" x14ac:dyDescent="0.25">
      <c r="A102" s="26"/>
      <c r="B102" s="11" t="str">
        <f>CONCATENATE("          ", "6254", " - ", "ROYALTY &amp; COMMISSIONS")</f>
        <v xml:space="preserve">          6254 - ROYALTY &amp; COMMISSIONS</v>
      </c>
      <c r="C102" s="11"/>
      <c r="D102" s="6">
        <v>17701.68</v>
      </c>
      <c r="E102" s="2"/>
      <c r="F102" s="7">
        <f t="shared" si="52"/>
        <v>2.7878644532871734E-2</v>
      </c>
      <c r="G102" s="2"/>
      <c r="H102" s="6"/>
      <c r="I102" s="2"/>
      <c r="J102" s="7">
        <f t="shared" si="53"/>
        <v>0</v>
      </c>
      <c r="K102" s="2"/>
      <c r="L102" s="6">
        <f t="shared" si="54"/>
        <v>17701.68</v>
      </c>
      <c r="M102" s="2"/>
      <c r="N102" s="7">
        <f t="shared" si="55"/>
        <v>0</v>
      </c>
      <c r="O102" s="11"/>
      <c r="P102" s="6">
        <v>76361.849999999991</v>
      </c>
      <c r="Q102" s="2"/>
      <c r="R102" s="7">
        <f t="shared" si="56"/>
        <v>1.6164146375821895E-2</v>
      </c>
      <c r="S102" s="2"/>
      <c r="T102" s="6">
        <v>5117</v>
      </c>
      <c r="U102" s="2"/>
      <c r="V102" s="7">
        <f t="shared" si="57"/>
        <v>9.6749372348609649E-4</v>
      </c>
      <c r="W102" s="2"/>
      <c r="X102" s="6">
        <f t="shared" si="58"/>
        <v>71244.849999999991</v>
      </c>
      <c r="Y102" s="2"/>
      <c r="Z102" s="7">
        <f t="shared" si="59"/>
        <v>13.923167871799881</v>
      </c>
    </row>
    <row r="103" spans="1:26" s="24" customFormat="1" hidden="1" outlineLevel="2" x14ac:dyDescent="0.25">
      <c r="A103" s="26"/>
      <c r="B103" s="11" t="str">
        <f>CONCATENATE("          ", "6259", " - ", "ROYALTY &amp; COMMISSIONS")</f>
        <v xml:space="preserve">          6259 - ROYALTY &amp; COMMISSIONS</v>
      </c>
      <c r="C103" s="11"/>
      <c r="D103" s="6">
        <v>10912.24</v>
      </c>
      <c r="E103" s="2"/>
      <c r="F103" s="7">
        <f t="shared" si="52"/>
        <v>1.7185852417249903E-2</v>
      </c>
      <c r="G103" s="2"/>
      <c r="H103" s="6">
        <v>16384</v>
      </c>
      <c r="I103" s="2"/>
      <c r="J103" s="7">
        <f t="shared" si="53"/>
        <v>1.9597007820143869E-2</v>
      </c>
      <c r="K103" s="2"/>
      <c r="L103" s="6">
        <f t="shared" si="54"/>
        <v>-5471.76</v>
      </c>
      <c r="M103" s="2"/>
      <c r="N103" s="7">
        <f t="shared" si="55"/>
        <v>-0.33396972656250001</v>
      </c>
      <c r="O103" s="11"/>
      <c r="P103" s="6">
        <v>72645.119999999995</v>
      </c>
      <c r="Q103" s="2"/>
      <c r="R103" s="7">
        <f t="shared" si="56"/>
        <v>1.5377395298426461E-2</v>
      </c>
      <c r="S103" s="2"/>
      <c r="T103" s="6">
        <v>103546</v>
      </c>
      <c r="U103" s="2"/>
      <c r="V103" s="7">
        <f t="shared" si="57"/>
        <v>1.9577898200525964E-2</v>
      </c>
      <c r="W103" s="2"/>
      <c r="X103" s="6">
        <f t="shared" si="58"/>
        <v>-30900.880000000005</v>
      </c>
      <c r="Y103" s="2"/>
      <c r="Z103" s="7">
        <f t="shared" si="59"/>
        <v>-0.29842659301180158</v>
      </c>
    </row>
    <row r="104" spans="1:26" s="25" customFormat="1" outlineLevel="1" collapsed="1" x14ac:dyDescent="0.25">
      <c r="A104" s="27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SUM(OSRRefD22_19x_0)</f>
        <v>31074.21</v>
      </c>
      <c r="E104" s="1"/>
      <c r="F104" s="5">
        <f t="shared" ref="F104:F110" si="60">IF(D$12=0,0,D104/D$12)</f>
        <v>4.8939245016846315E-2</v>
      </c>
      <c r="G104" s="1"/>
      <c r="H104" s="1">
        <f>SUM(OSRRefH22_19x_0)</f>
        <v>22821</v>
      </c>
      <c r="I104" s="1"/>
      <c r="J104" s="5">
        <f t="shared" ref="J104:J110" si="61">IF(H$12=0,0,H104/H$12)</f>
        <v>2.7296344937957958E-2</v>
      </c>
      <c r="K104" s="1"/>
      <c r="L104" s="1">
        <f t="shared" ref="L104:L110" si="62">+D104-H104</f>
        <v>8253.2099999999991</v>
      </c>
      <c r="M104" s="1"/>
      <c r="N104" s="5">
        <f t="shared" ref="N104:N110" si="63">IF(H104=0,0,L104/H104)</f>
        <v>0.36164979624030497</v>
      </c>
      <c r="O104" s="13"/>
      <c r="P104" s="1">
        <f>SUM(OSRRefP22_19x_0)</f>
        <v>142624.26</v>
      </c>
      <c r="Q104" s="1"/>
      <c r="R104" s="5">
        <f t="shared" ref="R104:R110" si="64">IF(P$12=0,0,P104/P$12)</f>
        <v>3.0190460490196087E-2</v>
      </c>
      <c r="S104" s="1"/>
      <c r="T104" s="1">
        <f>SUM(OSRRefT22_19x_0)</f>
        <v>139161</v>
      </c>
      <c r="U104" s="1"/>
      <c r="V104" s="5">
        <f t="shared" ref="V104:V110" si="65">IF(T$12=0,0,T104/T$12)</f>
        <v>2.6311783086583676E-2</v>
      </c>
      <c r="W104" s="1"/>
      <c r="X104" s="1">
        <f t="shared" ref="X104:X110" si="66">+P104-T104</f>
        <v>3463.2600000000093</v>
      </c>
      <c r="Y104" s="1"/>
      <c r="Z104" s="5">
        <f t="shared" ref="Z104:Z110" si="67">IF(T104=0,0,X104/T104)</f>
        <v>2.4886713950029171E-2</v>
      </c>
    </row>
    <row r="105" spans="1:26" s="24" customFormat="1" hidden="1" outlineLevel="2" x14ac:dyDescent="0.25">
      <c r="A105" s="26"/>
      <c r="B105" s="11" t="str">
        <f>CONCATENATE("          ", "6281", " - ", "STORAGE FEE")</f>
        <v xml:space="preserve">          6281 - STORAGE FEE</v>
      </c>
      <c r="C105" s="11"/>
      <c r="D105" s="6"/>
      <c r="E105" s="2"/>
      <c r="F105" s="7">
        <f t="shared" si="60"/>
        <v>0</v>
      </c>
      <c r="G105" s="2"/>
      <c r="H105" s="6"/>
      <c r="I105" s="2"/>
      <c r="J105" s="7">
        <f t="shared" si="61"/>
        <v>0</v>
      </c>
      <c r="K105" s="2"/>
      <c r="L105" s="6">
        <f t="shared" si="62"/>
        <v>0</v>
      </c>
      <c r="M105" s="2"/>
      <c r="N105" s="7">
        <f t="shared" si="63"/>
        <v>0</v>
      </c>
      <c r="O105" s="11"/>
      <c r="P105" s="6"/>
      <c r="Q105" s="2"/>
      <c r="R105" s="7">
        <f t="shared" si="64"/>
        <v>0</v>
      </c>
      <c r="S105" s="2"/>
      <c r="T105" s="6">
        <v>0</v>
      </c>
      <c r="U105" s="2"/>
      <c r="V105" s="7">
        <f t="shared" si="65"/>
        <v>0</v>
      </c>
      <c r="W105" s="2"/>
      <c r="X105" s="6">
        <f t="shared" si="66"/>
        <v>0</v>
      </c>
      <c r="Y105" s="2"/>
      <c r="Z105" s="7">
        <f t="shared" si="67"/>
        <v>0</v>
      </c>
    </row>
    <row r="106" spans="1:26" s="24" customFormat="1" hidden="1" outlineLevel="2" x14ac:dyDescent="0.25">
      <c r="A106" s="26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3827.63</v>
      </c>
      <c r="E106" s="2"/>
      <c r="F106" s="7">
        <f t="shared" si="60"/>
        <v>6.0281925881247337E-3</v>
      </c>
      <c r="G106" s="2"/>
      <c r="H106" s="6">
        <v>1776</v>
      </c>
      <c r="I106" s="2"/>
      <c r="J106" s="7">
        <f t="shared" si="61"/>
        <v>2.1242850273788761E-3</v>
      </c>
      <c r="K106" s="2"/>
      <c r="L106" s="6">
        <f t="shared" si="62"/>
        <v>2051.63</v>
      </c>
      <c r="M106" s="2"/>
      <c r="N106" s="7">
        <f t="shared" si="63"/>
        <v>1.1551970720720721</v>
      </c>
      <c r="O106" s="11"/>
      <c r="P106" s="6">
        <v>13094.62</v>
      </c>
      <c r="Q106" s="2"/>
      <c r="R106" s="7">
        <f t="shared" si="64"/>
        <v>2.7718468635289078E-3</v>
      </c>
      <c r="S106" s="2"/>
      <c r="T106" s="6">
        <v>10762</v>
      </c>
      <c r="U106" s="2"/>
      <c r="V106" s="7">
        <f t="shared" si="65"/>
        <v>2.0348187321003264E-3</v>
      </c>
      <c r="W106" s="2"/>
      <c r="X106" s="6">
        <f t="shared" si="66"/>
        <v>2332.6200000000008</v>
      </c>
      <c r="Y106" s="2"/>
      <c r="Z106" s="7">
        <f t="shared" si="67"/>
        <v>0.21674595800037175</v>
      </c>
    </row>
    <row r="107" spans="1:26" s="24" customFormat="1" hidden="1" outlineLevel="2" x14ac:dyDescent="0.25">
      <c r="A107" s="26"/>
      <c r="B107" s="11" t="str">
        <f>CONCATENATE("          ", "6283", " - ", "PLANT SERVICE")</f>
        <v xml:space="preserve">          6283 - PLANT SERVICE</v>
      </c>
      <c r="C107" s="11"/>
      <c r="D107" s="6"/>
      <c r="E107" s="2"/>
      <c r="F107" s="7">
        <f t="shared" si="60"/>
        <v>0</v>
      </c>
      <c r="G107" s="2"/>
      <c r="H107" s="6">
        <v>185</v>
      </c>
      <c r="I107" s="2"/>
      <c r="J107" s="7">
        <f t="shared" si="61"/>
        <v>2.2127969035196627E-4</v>
      </c>
      <c r="K107" s="2"/>
      <c r="L107" s="6">
        <f t="shared" si="62"/>
        <v>-185</v>
      </c>
      <c r="M107" s="2"/>
      <c r="N107" s="7">
        <f t="shared" si="63"/>
        <v>-1</v>
      </c>
      <c r="O107" s="11"/>
      <c r="P107" s="6">
        <v>799.12</v>
      </c>
      <c r="Q107" s="2"/>
      <c r="R107" s="7">
        <f t="shared" si="64"/>
        <v>1.6915636082476777E-4</v>
      </c>
      <c r="S107" s="2"/>
      <c r="T107" s="6">
        <v>1075</v>
      </c>
      <c r="U107" s="2"/>
      <c r="V107" s="7">
        <f t="shared" si="65"/>
        <v>2.0325498392565053E-4</v>
      </c>
      <c r="W107" s="2"/>
      <c r="X107" s="6">
        <f t="shared" si="66"/>
        <v>-275.88</v>
      </c>
      <c r="Y107" s="2"/>
      <c r="Z107" s="7">
        <f t="shared" si="67"/>
        <v>-0.25663255813953489</v>
      </c>
    </row>
    <row r="108" spans="1:26" s="24" customFormat="1" hidden="1" outlineLevel="2" x14ac:dyDescent="0.25">
      <c r="A108" s="26"/>
      <c r="B108" s="11" t="str">
        <f>CONCATENATE("          ", "6284", " - ", "TRASH REMOVAL EXPENSE")</f>
        <v xml:space="preserve">          6284 - TRASH REMOVAL EXPENSE</v>
      </c>
      <c r="C108" s="11"/>
      <c r="D108" s="6">
        <v>10458</v>
      </c>
      <c r="E108" s="2"/>
      <c r="F108" s="7">
        <f t="shared" si="60"/>
        <v>1.6470462946159493E-2</v>
      </c>
      <c r="G108" s="2"/>
      <c r="H108" s="6">
        <v>3665</v>
      </c>
      <c r="I108" s="2"/>
      <c r="J108" s="7">
        <f t="shared" si="61"/>
        <v>4.3837300818376024E-3</v>
      </c>
      <c r="K108" s="2"/>
      <c r="L108" s="6">
        <f t="shared" si="62"/>
        <v>6793</v>
      </c>
      <c r="M108" s="2"/>
      <c r="N108" s="7">
        <f t="shared" si="63"/>
        <v>1.8534788540245566</v>
      </c>
      <c r="O108" s="11"/>
      <c r="P108" s="6">
        <v>24626</v>
      </c>
      <c r="Q108" s="2"/>
      <c r="R108" s="7">
        <f t="shared" si="64"/>
        <v>5.2127897458088043E-3</v>
      </c>
      <c r="S108" s="2"/>
      <c r="T108" s="6">
        <v>21990</v>
      </c>
      <c r="U108" s="2"/>
      <c r="V108" s="7">
        <f t="shared" si="65"/>
        <v>4.1577461363023769E-3</v>
      </c>
      <c r="W108" s="2"/>
      <c r="X108" s="6">
        <f t="shared" si="66"/>
        <v>2636</v>
      </c>
      <c r="Y108" s="2"/>
      <c r="Z108" s="7">
        <f t="shared" si="67"/>
        <v>0.11987266939517963</v>
      </c>
    </row>
    <row r="109" spans="1:26" s="24" customFormat="1" hidden="1" outlineLevel="2" x14ac:dyDescent="0.25">
      <c r="A109" s="26"/>
      <c r="B109" s="11" t="str">
        <f>CONCATENATE("          ", "6285", " - ", "JANITORIAL SERVICES")</f>
        <v xml:space="preserve">          6285 - JANITORIAL SERVICES</v>
      </c>
      <c r="C109" s="11"/>
      <c r="D109" s="6">
        <v>13444.69</v>
      </c>
      <c r="E109" s="2"/>
      <c r="F109" s="7">
        <f t="shared" si="60"/>
        <v>2.1174246363320052E-2</v>
      </c>
      <c r="G109" s="2"/>
      <c r="H109" s="6">
        <v>13322</v>
      </c>
      <c r="I109" s="2"/>
      <c r="J109" s="7">
        <f t="shared" si="61"/>
        <v>1.5934529918210243E-2</v>
      </c>
      <c r="K109" s="2"/>
      <c r="L109" s="6">
        <f t="shared" si="62"/>
        <v>122.69000000000051</v>
      </c>
      <c r="M109" s="2"/>
      <c r="N109" s="7">
        <f t="shared" si="63"/>
        <v>9.2095781414202448E-3</v>
      </c>
      <c r="O109" s="11"/>
      <c r="P109" s="6">
        <v>80298.14</v>
      </c>
      <c r="Q109" s="2"/>
      <c r="R109" s="7">
        <f t="shared" si="64"/>
        <v>1.6997373540141303E-2</v>
      </c>
      <c r="S109" s="2"/>
      <c r="T109" s="6">
        <v>80512</v>
      </c>
      <c r="U109" s="2"/>
      <c r="V109" s="7">
        <f t="shared" si="65"/>
        <v>1.522275838681114E-2</v>
      </c>
      <c r="W109" s="2"/>
      <c r="X109" s="6">
        <f t="shared" si="66"/>
        <v>-213.86000000000058</v>
      </c>
      <c r="Y109" s="2"/>
      <c r="Z109" s="7">
        <f t="shared" si="67"/>
        <v>-2.6562500000000071E-3</v>
      </c>
    </row>
    <row r="110" spans="1:26" s="24" customFormat="1" hidden="1" outlineLevel="2" x14ac:dyDescent="0.25">
      <c r="A110" s="26"/>
      <c r="B110" s="11" t="str">
        <f>CONCATENATE("          ", "6286", " - ", "LAUNDRY EXPENSE")</f>
        <v xml:space="preserve">          6286 - LAUNDRY EXPENSE</v>
      </c>
      <c r="C110" s="11"/>
      <c r="D110" s="6">
        <v>3343.89</v>
      </c>
      <c r="E110" s="2"/>
      <c r="F110" s="7">
        <f t="shared" si="60"/>
        <v>5.2663431192420413E-3</v>
      </c>
      <c r="G110" s="2"/>
      <c r="H110" s="6">
        <v>3873</v>
      </c>
      <c r="I110" s="2"/>
      <c r="J110" s="7">
        <f t="shared" si="61"/>
        <v>4.6325202201792726E-3</v>
      </c>
      <c r="K110" s="2"/>
      <c r="L110" s="6">
        <f t="shared" si="62"/>
        <v>-529.11000000000013</v>
      </c>
      <c r="M110" s="2"/>
      <c r="N110" s="7">
        <f t="shared" si="63"/>
        <v>-0.13661502711076687</v>
      </c>
      <c r="O110" s="11"/>
      <c r="P110" s="6">
        <v>23806.38</v>
      </c>
      <c r="Q110" s="2"/>
      <c r="R110" s="7">
        <f t="shared" si="64"/>
        <v>5.0392939798923012E-3</v>
      </c>
      <c r="S110" s="2"/>
      <c r="T110" s="6">
        <v>24822</v>
      </c>
      <c r="U110" s="2"/>
      <c r="V110" s="7">
        <f t="shared" si="65"/>
        <v>4.6932048474441837E-3</v>
      </c>
      <c r="W110" s="2"/>
      <c r="X110" s="6">
        <f t="shared" si="66"/>
        <v>-1015.619999999999</v>
      </c>
      <c r="Y110" s="2"/>
      <c r="Z110" s="7">
        <f t="shared" si="67"/>
        <v>-4.0916122794295344E-2</v>
      </c>
    </row>
    <row r="111" spans="1:26" s="25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SUM(OSRRefD22_20x_0)</f>
        <v>4476.22</v>
      </c>
      <c r="E111" s="1"/>
      <c r="F111" s="5">
        <f t="shared" ref="F111:F113" si="68">IF(D$12=0,0,D111/D$12)</f>
        <v>7.0496668243314265E-3</v>
      </c>
      <c r="G111" s="1"/>
      <c r="H111" s="1">
        <f>SUM(OSRRefH22_20x_0)</f>
        <v>574</v>
      </c>
      <c r="I111" s="1"/>
      <c r="J111" s="5">
        <f t="shared" ref="J111:J113" si="69">IF(H$12=0,0,H111/H$12)</f>
        <v>6.865650933082629E-4</v>
      </c>
      <c r="K111" s="1"/>
      <c r="L111" s="1">
        <f t="shared" ref="L111:L113" si="70">+D111-H111</f>
        <v>3902.2200000000003</v>
      </c>
      <c r="M111" s="1"/>
      <c r="N111" s="5">
        <f t="shared" ref="N111:N113" si="71">IF(H111=0,0,L111/H111)</f>
        <v>6.7982926829268298</v>
      </c>
      <c r="O111" s="13"/>
      <c r="P111" s="1">
        <f>SUM(OSRRefP22_20x_0)</f>
        <v>7333</v>
      </c>
      <c r="Q111" s="1"/>
      <c r="R111" s="5">
        <f t="shared" ref="R111:R113" si="72">IF(P$12=0,0,P111/P$12)</f>
        <v>1.552236953058392E-3</v>
      </c>
      <c r="S111" s="1"/>
      <c r="T111" s="1">
        <f>SUM(OSRRefT22_20x_0)</f>
        <v>3269</v>
      </c>
      <c r="U111" s="1"/>
      <c r="V111" s="5">
        <f t="shared" ref="V111:V113" si="73">IF(T$12=0,0,T111/T$12)</f>
        <v>6.1808422553762934E-4</v>
      </c>
      <c r="W111" s="1"/>
      <c r="X111" s="1">
        <f t="shared" ref="X111:X113" si="74">+P111-T111</f>
        <v>4064</v>
      </c>
      <c r="Y111" s="1"/>
      <c r="Z111" s="5">
        <f t="shared" ref="Z111:Z113" si="75">IF(T111=0,0,X111/T111)</f>
        <v>1.2431936371979198</v>
      </c>
    </row>
    <row r="112" spans="1:26" s="24" customFormat="1" hidden="1" outlineLevel="2" x14ac:dyDescent="0.25">
      <c r="A112" s="26"/>
      <c r="B112" s="11" t="str">
        <f>CONCATENATE("          ", "6258", " - ", "MEMBERSHIP DUES")</f>
        <v xml:space="preserve">          6258 - MEMBERSHIP DUES</v>
      </c>
      <c r="C112" s="11"/>
      <c r="D112" s="6">
        <v>3730</v>
      </c>
      <c r="E112" s="2"/>
      <c r="F112" s="7">
        <f t="shared" si="68"/>
        <v>5.8744336191599647E-3</v>
      </c>
      <c r="G112" s="2"/>
      <c r="H112" s="6"/>
      <c r="I112" s="2"/>
      <c r="J112" s="7">
        <f t="shared" si="69"/>
        <v>0</v>
      </c>
      <c r="K112" s="2"/>
      <c r="L112" s="6">
        <f t="shared" si="70"/>
        <v>3730</v>
      </c>
      <c r="M112" s="2"/>
      <c r="N112" s="7">
        <f t="shared" si="71"/>
        <v>0</v>
      </c>
      <c r="O112" s="11"/>
      <c r="P112" s="6">
        <v>3730</v>
      </c>
      <c r="Q112" s="2"/>
      <c r="R112" s="7">
        <f t="shared" si="72"/>
        <v>7.8956004839871843E-4</v>
      </c>
      <c r="S112" s="2"/>
      <c r="T112" s="6"/>
      <c r="U112" s="2"/>
      <c r="V112" s="7">
        <f t="shared" si="73"/>
        <v>0</v>
      </c>
      <c r="W112" s="2"/>
      <c r="X112" s="6">
        <f t="shared" si="74"/>
        <v>3730</v>
      </c>
      <c r="Y112" s="2"/>
      <c r="Z112" s="7">
        <f t="shared" si="75"/>
        <v>0</v>
      </c>
    </row>
    <row r="113" spans="1:26" s="24" customFormat="1" hidden="1" outlineLevel="2" x14ac:dyDescent="0.25">
      <c r="A113" s="26"/>
      <c r="B113" s="11" t="str">
        <f>CONCATENATE("          ", "6275", " - ", "SUBSCRIPTIONS")</f>
        <v xml:space="preserve">          6275 - SUBSCRIPTIONS</v>
      </c>
      <c r="C113" s="11"/>
      <c r="D113" s="6">
        <v>746.22</v>
      </c>
      <c r="E113" s="2"/>
      <c r="F113" s="7">
        <f t="shared" si="68"/>
        <v>1.1752332051714609E-3</v>
      </c>
      <c r="G113" s="2"/>
      <c r="H113" s="6">
        <v>574</v>
      </c>
      <c r="I113" s="2"/>
      <c r="J113" s="7">
        <f t="shared" si="69"/>
        <v>6.865650933082629E-4</v>
      </c>
      <c r="K113" s="2"/>
      <c r="L113" s="6">
        <f t="shared" si="70"/>
        <v>172.22000000000003</v>
      </c>
      <c r="M113" s="2"/>
      <c r="N113" s="7">
        <f t="shared" si="71"/>
        <v>0.30003484320557494</v>
      </c>
      <c r="O113" s="11"/>
      <c r="P113" s="6">
        <v>3603</v>
      </c>
      <c r="Q113" s="2"/>
      <c r="R113" s="7">
        <f t="shared" si="72"/>
        <v>7.6267690465967356E-4</v>
      </c>
      <c r="S113" s="2"/>
      <c r="T113" s="6">
        <v>3269</v>
      </c>
      <c r="U113" s="2"/>
      <c r="V113" s="7">
        <f t="shared" si="73"/>
        <v>6.1808422553762934E-4</v>
      </c>
      <c r="W113" s="2"/>
      <c r="X113" s="6">
        <f t="shared" si="74"/>
        <v>334</v>
      </c>
      <c r="Y113" s="2"/>
      <c r="Z113" s="7">
        <f t="shared" si="75"/>
        <v>0.10217191801774243</v>
      </c>
    </row>
    <row r="114" spans="1:26" s="25" customFormat="1" outlineLevel="1" collapsed="1" x14ac:dyDescent="0.25">
      <c r="A114" s="27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SUM(OSRRefD22_21x_0)</f>
        <v>15451.4</v>
      </c>
      <c r="E114" s="1"/>
      <c r="F114" s="5">
        <f t="shared" ref="F114:F124" si="76">IF(D$12=0,0,D114/D$12)</f>
        <v>2.4334644402972731E-2</v>
      </c>
      <c r="G114" s="1"/>
      <c r="H114" s="1">
        <f>SUM(OSRRefH22_21x_0)</f>
        <v>14390.16</v>
      </c>
      <c r="I114" s="1"/>
      <c r="J114" s="5">
        <f t="shared" ref="J114:J124" si="77">IF(H$12=0,0,H114/H$12)</f>
        <v>1.7212162967109465E-2</v>
      </c>
      <c r="K114" s="1"/>
      <c r="L114" s="1">
        <f t="shared" ref="L114:L124" si="78">+D114-H114</f>
        <v>1061.2399999999998</v>
      </c>
      <c r="M114" s="1"/>
      <c r="N114" s="5">
        <f t="shared" ref="N114:N124" si="79">IF(H114=0,0,L114/H114)</f>
        <v>7.3747616426780502E-2</v>
      </c>
      <c r="O114" s="13"/>
      <c r="P114" s="1">
        <f>SUM(OSRRefP22_21x_0)</f>
        <v>154285.19</v>
      </c>
      <c r="Q114" s="1"/>
      <c r="R114" s="5">
        <f t="shared" ref="R114:R124" si="80">IF(P$12=0,0,P114/P$12)</f>
        <v>3.265882629587278E-2</v>
      </c>
      <c r="S114" s="1"/>
      <c r="T114" s="1">
        <f>SUM(OSRRefT22_21x_0)</f>
        <v>113415.50000000001</v>
      </c>
      <c r="U114" s="1"/>
      <c r="V114" s="5">
        <f t="shared" ref="V114:V124" si="81">IF(T$12=0,0,T114/T$12)</f>
        <v>2.1443968027367089E-2</v>
      </c>
      <c r="W114" s="1"/>
      <c r="X114" s="1">
        <f t="shared" ref="X114:X124" si="82">+P114-T114</f>
        <v>40869.689999999988</v>
      </c>
      <c r="Y114" s="1"/>
      <c r="Z114" s="5">
        <f t="shared" ref="Z114:Z124" si="83">IF(T114=0,0,X114/T114)</f>
        <v>0.36035365536456643</v>
      </c>
    </row>
    <row r="115" spans="1:26" s="24" customFormat="1" hidden="1" outlineLevel="2" x14ac:dyDescent="0.25">
      <c r="A115" s="26"/>
      <c r="B115" s="11" t="str">
        <f>CONCATENATE("          ", "6234", " - ", "EXPENDABLE SUPPLIES &amp; EQUIPMEN")</f>
        <v xml:space="preserve">          6234 - EXPENDABLE SUPPLIES &amp; EQUIPMEN</v>
      </c>
      <c r="C115" s="11"/>
      <c r="D115" s="6"/>
      <c r="E115" s="2"/>
      <c r="F115" s="7">
        <f t="shared" si="76"/>
        <v>0</v>
      </c>
      <c r="G115" s="2"/>
      <c r="H115" s="6">
        <v>150</v>
      </c>
      <c r="I115" s="2"/>
      <c r="J115" s="7">
        <f t="shared" si="77"/>
        <v>1.7941596515024292E-4</v>
      </c>
      <c r="K115" s="2"/>
      <c r="L115" s="6">
        <f t="shared" si="78"/>
        <v>-150</v>
      </c>
      <c r="M115" s="2"/>
      <c r="N115" s="7">
        <f t="shared" si="79"/>
        <v>-1</v>
      </c>
      <c r="O115" s="11"/>
      <c r="P115" s="6">
        <v>13295.18</v>
      </c>
      <c r="Q115" s="2"/>
      <c r="R115" s="7">
        <f t="shared" si="80"/>
        <v>2.8143010628068829E-3</v>
      </c>
      <c r="S115" s="2"/>
      <c r="T115" s="6">
        <v>6800</v>
      </c>
      <c r="U115" s="2"/>
      <c r="V115" s="7">
        <f t="shared" si="81"/>
        <v>1.2857059448320219E-3</v>
      </c>
      <c r="W115" s="2"/>
      <c r="X115" s="6">
        <f t="shared" si="82"/>
        <v>6495.18</v>
      </c>
      <c r="Y115" s="2"/>
      <c r="Z115" s="7">
        <f t="shared" si="83"/>
        <v>0.9551735294117647</v>
      </c>
    </row>
    <row r="116" spans="1:26" s="24" customFormat="1" hidden="1" outlineLevel="2" x14ac:dyDescent="0.25">
      <c r="A116" s="26"/>
      <c r="B116" s="11" t="str">
        <f>CONCATENATE("          ", "6237", " - ", "JANITORIAL SUPPLIES")</f>
        <v xml:space="preserve">          6237 - JANITORIAL SUPPLIES</v>
      </c>
      <c r="C116" s="11"/>
      <c r="D116" s="6">
        <v>5789.29</v>
      </c>
      <c r="E116" s="2"/>
      <c r="F116" s="7">
        <f t="shared" si="76"/>
        <v>9.1176406989454672E-3</v>
      </c>
      <c r="G116" s="2"/>
      <c r="H116" s="6">
        <v>5071</v>
      </c>
      <c r="I116" s="2"/>
      <c r="J116" s="7">
        <f t="shared" si="77"/>
        <v>6.0654557285125463E-3</v>
      </c>
      <c r="K116" s="2"/>
      <c r="L116" s="6">
        <f t="shared" si="78"/>
        <v>718.29</v>
      </c>
      <c r="M116" s="2"/>
      <c r="N116" s="7">
        <f t="shared" si="79"/>
        <v>0.14164661802405837</v>
      </c>
      <c r="O116" s="11"/>
      <c r="P116" s="6">
        <v>32997.910000000003</v>
      </c>
      <c r="Q116" s="2"/>
      <c r="R116" s="7">
        <f t="shared" si="80"/>
        <v>6.9849413985674409E-3</v>
      </c>
      <c r="S116" s="2"/>
      <c r="T116" s="6">
        <v>27156</v>
      </c>
      <c r="U116" s="2"/>
      <c r="V116" s="7">
        <f t="shared" si="81"/>
        <v>5.1345045055674098E-3</v>
      </c>
      <c r="W116" s="2"/>
      <c r="X116" s="6">
        <f t="shared" si="82"/>
        <v>5841.9100000000035</v>
      </c>
      <c r="Y116" s="2"/>
      <c r="Z116" s="7">
        <f t="shared" si="83"/>
        <v>0.21512409780527336</v>
      </c>
    </row>
    <row r="117" spans="1:26" s="24" customFormat="1" hidden="1" outlineLevel="2" x14ac:dyDescent="0.25">
      <c r="A117" s="26"/>
      <c r="B117" s="11" t="str">
        <f>CONCATENATE("          ", "6239", " - ", "KITCHEN SUPPLIES")</f>
        <v xml:space="preserve">          6239 - KITCHEN SUPPLIES</v>
      </c>
      <c r="C117" s="11"/>
      <c r="D117" s="6">
        <v>2898.44</v>
      </c>
      <c r="E117" s="2"/>
      <c r="F117" s="7">
        <f t="shared" si="76"/>
        <v>4.5647971525785546E-3</v>
      </c>
      <c r="G117" s="2"/>
      <c r="H117" s="6">
        <v>1800</v>
      </c>
      <c r="I117" s="2"/>
      <c r="J117" s="7">
        <f t="shared" si="77"/>
        <v>2.1529915818029152E-3</v>
      </c>
      <c r="K117" s="2"/>
      <c r="L117" s="6">
        <f t="shared" si="78"/>
        <v>1098.44</v>
      </c>
      <c r="M117" s="2"/>
      <c r="N117" s="7">
        <f t="shared" si="79"/>
        <v>0.61024444444444448</v>
      </c>
      <c r="O117" s="11"/>
      <c r="P117" s="6">
        <v>33433.839999999997</v>
      </c>
      <c r="Q117" s="2"/>
      <c r="R117" s="7">
        <f t="shared" si="80"/>
        <v>7.0772183186474545E-3</v>
      </c>
      <c r="S117" s="2"/>
      <c r="T117" s="6">
        <v>18427.710000000003</v>
      </c>
      <c r="U117" s="2"/>
      <c r="V117" s="7">
        <f t="shared" si="81"/>
        <v>3.4842082789177209E-3</v>
      </c>
      <c r="W117" s="2"/>
      <c r="X117" s="6">
        <f t="shared" si="82"/>
        <v>15006.129999999994</v>
      </c>
      <c r="Y117" s="2"/>
      <c r="Z117" s="7">
        <f t="shared" si="83"/>
        <v>0.81432418895239789</v>
      </c>
    </row>
    <row r="118" spans="1:26" s="24" customFormat="1" hidden="1" outlineLevel="2" x14ac:dyDescent="0.25">
      <c r="A118" s="26"/>
      <c r="B118" s="11" t="str">
        <f>CONCATENATE("          ", "6241", " - ", "OFFICE EXPENSE")</f>
        <v xml:space="preserve">          6241 - OFFICE EXPENSE</v>
      </c>
      <c r="C118" s="11"/>
      <c r="D118" s="6">
        <v>1593.7</v>
      </c>
      <c r="E118" s="2"/>
      <c r="F118" s="7">
        <f t="shared" si="76"/>
        <v>2.5099423214089106E-3</v>
      </c>
      <c r="G118" s="2"/>
      <c r="H118" s="6">
        <v>645</v>
      </c>
      <c r="I118" s="2"/>
      <c r="J118" s="7">
        <f t="shared" si="77"/>
        <v>7.7148865014604461E-4</v>
      </c>
      <c r="K118" s="2"/>
      <c r="L118" s="6">
        <f t="shared" si="78"/>
        <v>948.7</v>
      </c>
      <c r="M118" s="2"/>
      <c r="N118" s="7">
        <f t="shared" si="79"/>
        <v>1.4708527131782947</v>
      </c>
      <c r="O118" s="11"/>
      <c r="P118" s="6">
        <v>16409.28</v>
      </c>
      <c r="Q118" s="2"/>
      <c r="R118" s="7">
        <f t="shared" si="80"/>
        <v>3.4734884479860912E-3</v>
      </c>
      <c r="S118" s="2"/>
      <c r="T118" s="6">
        <v>5581.25</v>
      </c>
      <c r="U118" s="2"/>
      <c r="V118" s="7">
        <f t="shared" si="81"/>
        <v>1.0552715153814298E-3</v>
      </c>
      <c r="W118" s="2"/>
      <c r="X118" s="6">
        <f t="shared" si="82"/>
        <v>10828.029999999999</v>
      </c>
      <c r="Y118" s="2"/>
      <c r="Z118" s="7">
        <f t="shared" si="83"/>
        <v>1.9400725643896974</v>
      </c>
    </row>
    <row r="119" spans="1:26" s="24" customFormat="1" hidden="1" outlineLevel="2" x14ac:dyDescent="0.25">
      <c r="A119" s="26"/>
      <c r="B119" s="11" t="str">
        <f>CONCATENATE("          ", "6243", " - ", "PAPER SUPPLIES")</f>
        <v xml:space="preserve">          6243 - PAPER SUPPLIES</v>
      </c>
      <c r="C119" s="11"/>
      <c r="D119" s="6">
        <v>2616.14</v>
      </c>
      <c r="E119" s="2"/>
      <c r="F119" s="7">
        <f t="shared" si="76"/>
        <v>4.1201985974340886E-3</v>
      </c>
      <c r="G119" s="2"/>
      <c r="H119" s="6">
        <v>2650</v>
      </c>
      <c r="I119" s="2"/>
      <c r="J119" s="7">
        <f t="shared" si="77"/>
        <v>3.1696820509876252E-3</v>
      </c>
      <c r="K119" s="2"/>
      <c r="L119" s="6">
        <f t="shared" si="78"/>
        <v>-33.860000000000127</v>
      </c>
      <c r="M119" s="2"/>
      <c r="N119" s="7">
        <f t="shared" si="79"/>
        <v>-1.2777358490566085E-2</v>
      </c>
      <c r="O119" s="11"/>
      <c r="P119" s="6">
        <v>22198.85</v>
      </c>
      <c r="Q119" s="2"/>
      <c r="R119" s="7">
        <f t="shared" si="80"/>
        <v>4.6990147668621689E-3</v>
      </c>
      <c r="S119" s="2"/>
      <c r="T119" s="6">
        <v>22839.52</v>
      </c>
      <c r="U119" s="2"/>
      <c r="V119" s="7">
        <f t="shared" si="81"/>
        <v>4.3183686236926266E-3</v>
      </c>
      <c r="W119" s="2"/>
      <c r="X119" s="6">
        <f t="shared" si="82"/>
        <v>-640.67000000000189</v>
      </c>
      <c r="Y119" s="2"/>
      <c r="Z119" s="7">
        <f t="shared" si="83"/>
        <v>-2.8050939774566273E-2</v>
      </c>
    </row>
    <row r="120" spans="1:26" s="24" customFormat="1" hidden="1" outlineLevel="2" x14ac:dyDescent="0.25">
      <c r="A120" s="26"/>
      <c r="B120" s="11" t="str">
        <f>CONCATENATE("          ", "6244", " - ", "SAFETY SUPPLY EXPENSE")</f>
        <v xml:space="preserve">          6244 - SAFETY SUPPLY EXPENSE</v>
      </c>
      <c r="C120" s="11"/>
      <c r="D120" s="6"/>
      <c r="E120" s="2"/>
      <c r="F120" s="7">
        <f t="shared" si="76"/>
        <v>0</v>
      </c>
      <c r="G120" s="2"/>
      <c r="H120" s="6">
        <v>110</v>
      </c>
      <c r="I120" s="2"/>
      <c r="J120" s="7">
        <f t="shared" si="77"/>
        <v>1.3157170777684481E-4</v>
      </c>
      <c r="K120" s="2"/>
      <c r="L120" s="6">
        <f t="shared" si="78"/>
        <v>-110</v>
      </c>
      <c r="M120" s="2"/>
      <c r="N120" s="7">
        <f t="shared" si="79"/>
        <v>-1</v>
      </c>
      <c r="O120" s="11"/>
      <c r="P120" s="6"/>
      <c r="Q120" s="2"/>
      <c r="R120" s="7">
        <f t="shared" si="80"/>
        <v>0</v>
      </c>
      <c r="S120" s="2"/>
      <c r="T120" s="6">
        <v>690</v>
      </c>
      <c r="U120" s="2"/>
      <c r="V120" s="7">
        <f t="shared" si="81"/>
        <v>1.3046133851971986E-4</v>
      </c>
      <c r="W120" s="2"/>
      <c r="X120" s="6">
        <f t="shared" si="82"/>
        <v>-690</v>
      </c>
      <c r="Y120" s="2"/>
      <c r="Z120" s="7">
        <f t="shared" si="83"/>
        <v>-1</v>
      </c>
    </row>
    <row r="121" spans="1:26" s="24" customFormat="1" hidden="1" outlineLevel="2" x14ac:dyDescent="0.25">
      <c r="A121" s="26"/>
      <c r="B121" s="11" t="str">
        <f>CONCATENATE("          ", "6245", " - ", "PRINTING")</f>
        <v xml:space="preserve">          6245 - PRINTING</v>
      </c>
      <c r="C121" s="11"/>
      <c r="D121" s="6"/>
      <c r="E121" s="2"/>
      <c r="F121" s="7">
        <f t="shared" si="76"/>
        <v>0</v>
      </c>
      <c r="G121" s="2"/>
      <c r="H121" s="6">
        <v>50</v>
      </c>
      <c r="I121" s="2"/>
      <c r="J121" s="7">
        <f t="shared" si="77"/>
        <v>5.9805321716747644E-5</v>
      </c>
      <c r="K121" s="2"/>
      <c r="L121" s="6">
        <f t="shared" si="78"/>
        <v>-50</v>
      </c>
      <c r="M121" s="2"/>
      <c r="N121" s="7">
        <f t="shared" si="79"/>
        <v>-1</v>
      </c>
      <c r="O121" s="11"/>
      <c r="P121" s="6">
        <v>352.64</v>
      </c>
      <c r="Q121" s="2"/>
      <c r="R121" s="7">
        <f t="shared" si="80"/>
        <v>7.4646234709738342E-5</v>
      </c>
      <c r="S121" s="2"/>
      <c r="T121" s="6">
        <v>1350</v>
      </c>
      <c r="U121" s="2"/>
      <c r="V121" s="7">
        <f t="shared" si="81"/>
        <v>2.5525044492988671E-4</v>
      </c>
      <c r="W121" s="2"/>
      <c r="X121" s="6">
        <f t="shared" si="82"/>
        <v>-997.36</v>
      </c>
      <c r="Y121" s="2"/>
      <c r="Z121" s="7">
        <f t="shared" si="83"/>
        <v>-0.73878518518518521</v>
      </c>
    </row>
    <row r="122" spans="1:26" s="24" customFormat="1" hidden="1" outlineLevel="2" x14ac:dyDescent="0.25">
      <c r="A122" s="26"/>
      <c r="B122" s="11" t="str">
        <f>CONCATENATE("          ", "6246", " - ", "REPLACEMENTS")</f>
        <v xml:space="preserve">          6246 - REPLACEMENTS</v>
      </c>
      <c r="C122" s="11"/>
      <c r="D122" s="6"/>
      <c r="E122" s="2"/>
      <c r="F122" s="7">
        <f t="shared" si="76"/>
        <v>0</v>
      </c>
      <c r="G122" s="2"/>
      <c r="H122" s="6"/>
      <c r="I122" s="2"/>
      <c r="J122" s="7">
        <f t="shared" si="77"/>
        <v>0</v>
      </c>
      <c r="K122" s="2"/>
      <c r="L122" s="6">
        <f t="shared" si="78"/>
        <v>0</v>
      </c>
      <c r="M122" s="2"/>
      <c r="N122" s="7">
        <f t="shared" si="79"/>
        <v>0</v>
      </c>
      <c r="O122" s="11"/>
      <c r="P122" s="6"/>
      <c r="Q122" s="2"/>
      <c r="R122" s="7">
        <f t="shared" si="80"/>
        <v>0</v>
      </c>
      <c r="S122" s="2"/>
      <c r="T122" s="6">
        <v>2400</v>
      </c>
      <c r="U122" s="2"/>
      <c r="V122" s="7">
        <f t="shared" si="81"/>
        <v>4.5377856876424306E-4</v>
      </c>
      <c r="W122" s="2"/>
      <c r="X122" s="6">
        <f t="shared" si="82"/>
        <v>-2400</v>
      </c>
      <c r="Y122" s="2"/>
      <c r="Z122" s="7">
        <f t="shared" si="83"/>
        <v>-1</v>
      </c>
    </row>
    <row r="123" spans="1:26" s="24" customFormat="1" hidden="1" outlineLevel="2" x14ac:dyDescent="0.25">
      <c r="A123" s="26"/>
      <c r="B123" s="11" t="str">
        <f>CONCATENATE("          ", "6247", " - ", "STORE SUPPLIES")</f>
        <v xml:space="preserve">          6247 - STORE SUPPLIES</v>
      </c>
      <c r="C123" s="11"/>
      <c r="D123" s="6">
        <v>2553.83</v>
      </c>
      <c r="E123" s="2"/>
      <c r="F123" s="7">
        <f t="shared" si="76"/>
        <v>4.0220656326057083E-3</v>
      </c>
      <c r="G123" s="2"/>
      <c r="H123" s="6">
        <v>3114.16</v>
      </c>
      <c r="I123" s="2"/>
      <c r="J123" s="7">
        <f t="shared" si="77"/>
        <v>3.7248668135485366E-3</v>
      </c>
      <c r="K123" s="2"/>
      <c r="L123" s="6">
        <f t="shared" si="78"/>
        <v>-560.32999999999993</v>
      </c>
      <c r="M123" s="2"/>
      <c r="N123" s="7">
        <f t="shared" si="79"/>
        <v>-0.17992974028309397</v>
      </c>
      <c r="O123" s="11"/>
      <c r="P123" s="6">
        <v>31863.74</v>
      </c>
      <c r="Q123" s="2"/>
      <c r="R123" s="7">
        <f t="shared" si="80"/>
        <v>6.7448622242799409E-3</v>
      </c>
      <c r="S123" s="2"/>
      <c r="T123" s="6">
        <v>21221.02</v>
      </c>
      <c r="U123" s="2"/>
      <c r="V123" s="7">
        <f t="shared" si="81"/>
        <v>4.0123517013822404E-3</v>
      </c>
      <c r="W123" s="2"/>
      <c r="X123" s="6">
        <f t="shared" si="82"/>
        <v>10642.720000000001</v>
      </c>
      <c r="Y123" s="2"/>
      <c r="Z123" s="7">
        <f t="shared" si="83"/>
        <v>0.5015178346752418</v>
      </c>
    </row>
    <row r="124" spans="1:26" s="24" customFormat="1" hidden="1" outlineLevel="2" x14ac:dyDescent="0.25">
      <c r="A124" s="26"/>
      <c r="B124" s="11" t="str">
        <f>CONCATENATE("          ", "6248", " - ", "UNIFORMS")</f>
        <v xml:space="preserve">          6248 - UNIFORMS</v>
      </c>
      <c r="C124" s="11"/>
      <c r="D124" s="6"/>
      <c r="E124" s="2"/>
      <c r="F124" s="7">
        <f t="shared" si="76"/>
        <v>0</v>
      </c>
      <c r="G124" s="2"/>
      <c r="H124" s="6">
        <v>800</v>
      </c>
      <c r="I124" s="2"/>
      <c r="J124" s="7">
        <f t="shared" si="77"/>
        <v>9.568851474679623E-4</v>
      </c>
      <c r="K124" s="2"/>
      <c r="L124" s="6">
        <f t="shared" si="78"/>
        <v>-800</v>
      </c>
      <c r="M124" s="2"/>
      <c r="N124" s="7">
        <f t="shared" si="79"/>
        <v>-1</v>
      </c>
      <c r="O124" s="11"/>
      <c r="P124" s="6">
        <v>3733.75</v>
      </c>
      <c r="Q124" s="2"/>
      <c r="R124" s="7">
        <f t="shared" si="80"/>
        <v>7.9035384201306023E-4</v>
      </c>
      <c r="S124" s="2"/>
      <c r="T124" s="6">
        <v>6950</v>
      </c>
      <c r="U124" s="2"/>
      <c r="V124" s="7">
        <f t="shared" si="81"/>
        <v>1.3140671053797871E-3</v>
      </c>
      <c r="W124" s="2"/>
      <c r="X124" s="6">
        <f t="shared" si="82"/>
        <v>-3216.25</v>
      </c>
      <c r="Y124" s="2"/>
      <c r="Z124" s="7">
        <f t="shared" si="83"/>
        <v>-0.46276978417266185</v>
      </c>
    </row>
    <row r="125" spans="1:26" s="25" customFormat="1" outlineLevel="1" collapsed="1" x14ac:dyDescent="0.25">
      <c r="A125" s="27"/>
      <c r="B125" s="13" t="str">
        <f>CONCATENATE("     ","Telephone/Data Lines                              ")</f>
        <v xml:space="preserve">     Telephone/Data Lines                              </v>
      </c>
      <c r="C125" s="13"/>
      <c r="D125" s="1">
        <f>SUM(OSRRefD22_22x_0)</f>
        <v>2261.65</v>
      </c>
      <c r="E125" s="1"/>
      <c r="F125" s="5">
        <f t="shared" ref="F125:F127" si="84">IF(D$12=0,0,D125/D$12)</f>
        <v>3.561906915488776E-3</v>
      </c>
      <c r="G125" s="1"/>
      <c r="H125" s="1">
        <f>SUM(OSRRefH22_22x_0)</f>
        <v>2351</v>
      </c>
      <c r="I125" s="1"/>
      <c r="J125" s="5">
        <f t="shared" ref="J125:J127" si="85">IF(H$12=0,0,H125/H$12)</f>
        <v>2.8120462271214743E-3</v>
      </c>
      <c r="K125" s="1"/>
      <c r="L125" s="1">
        <f t="shared" ref="L125:L127" si="86">+D125-H125</f>
        <v>-89.349999999999909</v>
      </c>
      <c r="M125" s="1"/>
      <c r="N125" s="5">
        <f t="shared" ref="N125:N127" si="87">IF(H125=0,0,L125/H125)</f>
        <v>-3.8005104210974014E-2</v>
      </c>
      <c r="O125" s="13"/>
      <c r="P125" s="1">
        <f>SUM(OSRRefP22_22x_0)</f>
        <v>12544.78</v>
      </c>
      <c r="Q125" s="1"/>
      <c r="R125" s="5">
        <f t="shared" ref="R125:R127" si="88">IF(P$12=0,0,P125/P$12)</f>
        <v>2.6554576686196448E-3</v>
      </c>
      <c r="S125" s="1"/>
      <c r="T125" s="1">
        <f>SUM(OSRRefT22_22x_0)</f>
        <v>13087</v>
      </c>
      <c r="U125" s="1"/>
      <c r="V125" s="5">
        <f t="shared" ref="V125:V127" si="89">IF(T$12=0,0,T125/T$12)</f>
        <v>2.4744167205906871E-3</v>
      </c>
      <c r="W125" s="1"/>
      <c r="X125" s="1">
        <f t="shared" ref="X125:X127" si="90">+P125-T125</f>
        <v>-542.21999999999935</v>
      </c>
      <c r="Y125" s="1"/>
      <c r="Z125" s="5">
        <f t="shared" ref="Z125:Z127" si="91">IF(T125=0,0,X125/T125)</f>
        <v>-4.143195537556349E-2</v>
      </c>
    </row>
    <row r="126" spans="1:26" s="24" customFormat="1" hidden="1" outlineLevel="2" x14ac:dyDescent="0.25">
      <c r="A126" s="26"/>
      <c r="B126" s="11" t="str">
        <f>CONCATENATE("          ", "6303", " - ", "DATA PHONE LINES")</f>
        <v xml:space="preserve">          6303 - DATA PHONE LINES</v>
      </c>
      <c r="C126" s="11"/>
      <c r="D126" s="6"/>
      <c r="E126" s="2"/>
      <c r="F126" s="7">
        <f t="shared" si="84"/>
        <v>0</v>
      </c>
      <c r="G126" s="2"/>
      <c r="H126" s="6">
        <v>696</v>
      </c>
      <c r="I126" s="2"/>
      <c r="J126" s="7">
        <f t="shared" si="85"/>
        <v>8.3249007829712721E-4</v>
      </c>
      <c r="K126" s="2"/>
      <c r="L126" s="6">
        <f t="shared" si="86"/>
        <v>-696</v>
      </c>
      <c r="M126" s="2"/>
      <c r="N126" s="7">
        <f t="shared" si="87"/>
        <v>-1</v>
      </c>
      <c r="O126" s="11"/>
      <c r="P126" s="6"/>
      <c r="Q126" s="2"/>
      <c r="R126" s="7">
        <f t="shared" si="88"/>
        <v>0</v>
      </c>
      <c r="S126" s="2"/>
      <c r="T126" s="6">
        <v>3382</v>
      </c>
      <c r="U126" s="2"/>
      <c r="V126" s="7">
        <f t="shared" si="89"/>
        <v>6.3944963315027911E-4</v>
      </c>
      <c r="W126" s="2"/>
      <c r="X126" s="6">
        <f t="shared" si="90"/>
        <v>-3382</v>
      </c>
      <c r="Y126" s="2"/>
      <c r="Z126" s="7">
        <f t="shared" si="91"/>
        <v>-1</v>
      </c>
    </row>
    <row r="127" spans="1:26" s="24" customFormat="1" hidden="1" outlineLevel="2" x14ac:dyDescent="0.25">
      <c r="A127" s="26"/>
      <c r="B127" s="11" t="str">
        <f>CONCATENATE("          ", "6309", " - ", "TELEPHONE")</f>
        <v xml:space="preserve">          6309 - TELEPHONE</v>
      </c>
      <c r="C127" s="11"/>
      <c r="D127" s="6">
        <v>2261.65</v>
      </c>
      <c r="E127" s="2"/>
      <c r="F127" s="7">
        <f t="shared" si="84"/>
        <v>3.561906915488776E-3</v>
      </c>
      <c r="G127" s="2"/>
      <c r="H127" s="6">
        <v>1655</v>
      </c>
      <c r="I127" s="2"/>
      <c r="J127" s="7">
        <f t="shared" si="85"/>
        <v>1.9795561488243469E-3</v>
      </c>
      <c r="K127" s="2"/>
      <c r="L127" s="6">
        <f t="shared" si="86"/>
        <v>606.65000000000009</v>
      </c>
      <c r="M127" s="2"/>
      <c r="N127" s="7">
        <f t="shared" si="87"/>
        <v>0.36655589123867077</v>
      </c>
      <c r="O127" s="11"/>
      <c r="P127" s="6">
        <v>12544.78</v>
      </c>
      <c r="Q127" s="2"/>
      <c r="R127" s="7">
        <f t="shared" si="88"/>
        <v>2.6554576686196448E-3</v>
      </c>
      <c r="S127" s="2"/>
      <c r="T127" s="6">
        <v>9705</v>
      </c>
      <c r="U127" s="2"/>
      <c r="V127" s="7">
        <f t="shared" si="89"/>
        <v>1.8349670874404078E-3</v>
      </c>
      <c r="W127" s="2"/>
      <c r="X127" s="6">
        <f t="shared" si="90"/>
        <v>2839.7800000000007</v>
      </c>
      <c r="Y127" s="2"/>
      <c r="Z127" s="7">
        <f t="shared" si="91"/>
        <v>0.29260999484801653</v>
      </c>
    </row>
    <row r="128" spans="1:26" s="25" customFormat="1" outlineLevel="1" collapsed="1" x14ac:dyDescent="0.25">
      <c r="A128" s="27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SUM(OSRRefD22_23x_0)</f>
        <v>159</v>
      </c>
      <c r="E128" s="1"/>
      <c r="F128" s="5">
        <f t="shared" ref="F128:F133" si="92">IF(D$12=0,0,D128/D$12)</f>
        <v>2.5041151352451325E-4</v>
      </c>
      <c r="G128" s="1"/>
      <c r="H128" s="1">
        <f>SUM(OSRRefH22_23x_0)</f>
        <v>160</v>
      </c>
      <c r="I128" s="1"/>
      <c r="J128" s="5">
        <f t="shared" ref="J128:J133" si="93">IF(H$12=0,0,H128/H$12)</f>
        <v>1.9137702949359244E-4</v>
      </c>
      <c r="K128" s="1"/>
      <c r="L128" s="1">
        <f t="shared" ref="L128:L133" si="94">+D128-H128</f>
        <v>-1</v>
      </c>
      <c r="M128" s="1"/>
      <c r="N128" s="5">
        <f t="shared" ref="N128:N133" si="95">IF(H128=0,0,L128/H128)</f>
        <v>-6.2500000000000003E-3</v>
      </c>
      <c r="O128" s="13"/>
      <c r="P128" s="1">
        <f>SUM(OSRRefP22_23x_0)</f>
        <v>1907.5</v>
      </c>
      <c r="Q128" s="1"/>
      <c r="R128" s="5">
        <f t="shared" ref="R128:R133" si="96">IF(P$12=0,0,P128/P$12)</f>
        <v>4.037763518285671E-4</v>
      </c>
      <c r="S128" s="1"/>
      <c r="T128" s="1">
        <f>SUM(OSRRefT22_23x_0)</f>
        <v>6840</v>
      </c>
      <c r="U128" s="1"/>
      <c r="V128" s="5">
        <f t="shared" ref="V128:V133" si="97">IF(T$12=0,0,T128/T$12)</f>
        <v>1.2932689209780926E-3</v>
      </c>
      <c r="W128" s="1"/>
      <c r="X128" s="1">
        <f t="shared" ref="X128:X133" si="98">+P128-T128</f>
        <v>-4932.5</v>
      </c>
      <c r="Y128" s="1"/>
      <c r="Z128" s="5">
        <f t="shared" ref="Z128:Z133" si="99">IF(T128=0,0,X128/T128)</f>
        <v>-0.721125730994152</v>
      </c>
    </row>
    <row r="129" spans="1:26" s="24" customFormat="1" hidden="1" outlineLevel="2" x14ac:dyDescent="0.25">
      <c r="A129" s="26"/>
      <c r="B129" s="11" t="str">
        <f>CONCATENATE("          ", "6376", " - ", "TRAINING")</f>
        <v xml:space="preserve">          6376 - TRAINING</v>
      </c>
      <c r="C129" s="11"/>
      <c r="D129" s="6">
        <v>159</v>
      </c>
      <c r="E129" s="2"/>
      <c r="F129" s="7">
        <f t="shared" si="92"/>
        <v>2.5041151352451325E-4</v>
      </c>
      <c r="G129" s="2"/>
      <c r="H129" s="6">
        <v>160</v>
      </c>
      <c r="I129" s="2"/>
      <c r="J129" s="7">
        <f t="shared" si="93"/>
        <v>1.9137702949359244E-4</v>
      </c>
      <c r="K129" s="2"/>
      <c r="L129" s="6">
        <f t="shared" si="94"/>
        <v>-1</v>
      </c>
      <c r="M129" s="2"/>
      <c r="N129" s="7">
        <f t="shared" si="95"/>
        <v>-6.2500000000000003E-3</v>
      </c>
      <c r="O129" s="11"/>
      <c r="P129" s="6">
        <v>1907.5</v>
      </c>
      <c r="Q129" s="2"/>
      <c r="R129" s="7">
        <f t="shared" si="96"/>
        <v>4.037763518285671E-4</v>
      </c>
      <c r="S129" s="2"/>
      <c r="T129" s="6">
        <v>6840</v>
      </c>
      <c r="U129" s="2"/>
      <c r="V129" s="7">
        <f t="shared" si="97"/>
        <v>1.2932689209780926E-3</v>
      </c>
      <c r="W129" s="2"/>
      <c r="X129" s="6">
        <f t="shared" si="98"/>
        <v>-4932.5</v>
      </c>
      <c r="Y129" s="2"/>
      <c r="Z129" s="7">
        <f t="shared" si="99"/>
        <v>-0.721125730994152</v>
      </c>
    </row>
    <row r="130" spans="1:26" s="25" customFormat="1" outlineLevel="1" collapsed="1" x14ac:dyDescent="0.25">
      <c r="A130" s="27"/>
      <c r="B130" s="13" t="str">
        <f>CONCATENATE("     ","Travel                                            ")</f>
        <v xml:space="preserve">     Travel                                            </v>
      </c>
      <c r="C130" s="13"/>
      <c r="D130" s="1">
        <f>SUM(OSRRefD22_24x_0)</f>
        <v>1540.91</v>
      </c>
      <c r="E130" s="1"/>
      <c r="F130" s="5">
        <f t="shared" si="92"/>
        <v>2.4268025490884132E-3</v>
      </c>
      <c r="G130" s="1"/>
      <c r="H130" s="1">
        <f>SUM(OSRRefH22_24x_0)</f>
        <v>0</v>
      </c>
      <c r="I130" s="1"/>
      <c r="J130" s="5">
        <f t="shared" si="93"/>
        <v>0</v>
      </c>
      <c r="K130" s="1"/>
      <c r="L130" s="1">
        <f t="shared" si="94"/>
        <v>1540.91</v>
      </c>
      <c r="M130" s="1"/>
      <c r="N130" s="5">
        <f t="shared" si="95"/>
        <v>0</v>
      </c>
      <c r="O130" s="13"/>
      <c r="P130" s="1">
        <f>SUM(OSRRefP22_24x_0)</f>
        <v>2943.8199999999997</v>
      </c>
      <c r="Q130" s="1"/>
      <c r="R130" s="5">
        <f t="shared" si="96"/>
        <v>6.231428047391729E-4</v>
      </c>
      <c r="S130" s="1"/>
      <c r="T130" s="1">
        <f>SUM(OSRRefT22_24x_0)</f>
        <v>8700</v>
      </c>
      <c r="U130" s="1"/>
      <c r="V130" s="5">
        <f t="shared" si="97"/>
        <v>1.6449473117703811E-3</v>
      </c>
      <c r="W130" s="1"/>
      <c r="X130" s="1">
        <f t="shared" si="98"/>
        <v>-5756.18</v>
      </c>
      <c r="Y130" s="1"/>
      <c r="Z130" s="5">
        <f t="shared" si="99"/>
        <v>-0.66162988505747133</v>
      </c>
    </row>
    <row r="131" spans="1:26" s="24" customFormat="1" hidden="1" outlineLevel="2" x14ac:dyDescent="0.25">
      <c r="A131" s="26"/>
      <c r="B131" s="11" t="str">
        <f>CONCATENATE("          ", "6292", " - ", "TRAVEL/CONFERENCE")</f>
        <v xml:space="preserve">          6292 - TRAVEL/CONFERENCE</v>
      </c>
      <c r="C131" s="11"/>
      <c r="D131" s="6">
        <v>1426.23</v>
      </c>
      <c r="E131" s="2"/>
      <c r="F131" s="7">
        <f t="shared" si="92"/>
        <v>2.246191276314884E-3</v>
      </c>
      <c r="G131" s="2"/>
      <c r="H131" s="6"/>
      <c r="I131" s="2"/>
      <c r="J131" s="7">
        <f t="shared" si="93"/>
        <v>0</v>
      </c>
      <c r="K131" s="2"/>
      <c r="L131" s="6">
        <f t="shared" si="94"/>
        <v>1426.23</v>
      </c>
      <c r="M131" s="2"/>
      <c r="N131" s="7">
        <f t="shared" si="95"/>
        <v>0</v>
      </c>
      <c r="O131" s="11"/>
      <c r="P131" s="6">
        <v>2125.6</v>
      </c>
      <c r="Q131" s="2"/>
      <c r="R131" s="7">
        <f t="shared" si="96"/>
        <v>4.4994338843869057E-4</v>
      </c>
      <c r="S131" s="2"/>
      <c r="T131" s="6">
        <v>8700</v>
      </c>
      <c r="U131" s="2"/>
      <c r="V131" s="7">
        <f t="shared" si="97"/>
        <v>1.6449473117703811E-3</v>
      </c>
      <c r="W131" s="2"/>
      <c r="X131" s="6">
        <f t="shared" si="98"/>
        <v>-6574.4</v>
      </c>
      <c r="Y131" s="2"/>
      <c r="Z131" s="7">
        <f t="shared" si="99"/>
        <v>-0.75567816091954021</v>
      </c>
    </row>
    <row r="132" spans="1:26" s="24" customFormat="1" hidden="1" outlineLevel="2" x14ac:dyDescent="0.25">
      <c r="A132" s="26"/>
      <c r="B132" s="11" t="str">
        <f>CONCATENATE("          ", "6294", " - ", "TRAVEL OPERATIONAL")</f>
        <v xml:space="preserve">          6294 - TRAVEL OPERATIONAL</v>
      </c>
      <c r="C132" s="11"/>
      <c r="D132" s="6"/>
      <c r="E132" s="2"/>
      <c r="F132" s="7">
        <f t="shared" si="92"/>
        <v>0</v>
      </c>
      <c r="G132" s="2"/>
      <c r="H132" s="6"/>
      <c r="I132" s="2"/>
      <c r="J132" s="7">
        <f t="shared" si="93"/>
        <v>0</v>
      </c>
      <c r="K132" s="2"/>
      <c r="L132" s="6">
        <f t="shared" si="94"/>
        <v>0</v>
      </c>
      <c r="M132" s="2"/>
      <c r="N132" s="7">
        <f t="shared" si="95"/>
        <v>0</v>
      </c>
      <c r="O132" s="11"/>
      <c r="P132" s="6">
        <v>45.49</v>
      </c>
      <c r="Q132" s="2"/>
      <c r="R132" s="7">
        <f t="shared" si="96"/>
        <v>9.6292457377098393E-6</v>
      </c>
      <c r="S132" s="2"/>
      <c r="T132" s="6"/>
      <c r="U132" s="2"/>
      <c r="V132" s="7">
        <f t="shared" si="97"/>
        <v>0</v>
      </c>
      <c r="W132" s="2"/>
      <c r="X132" s="6">
        <f t="shared" si="98"/>
        <v>45.49</v>
      </c>
      <c r="Y132" s="2"/>
      <c r="Z132" s="7">
        <f t="shared" si="99"/>
        <v>0</v>
      </c>
    </row>
    <row r="133" spans="1:26" s="24" customFormat="1" hidden="1" outlineLevel="2" x14ac:dyDescent="0.25">
      <c r="A133" s="26"/>
      <c r="B133" s="11" t="str">
        <f>CONCATENATE("          ", "6298", " - ", "VEHICLE MILEAGE")</f>
        <v xml:space="preserve">          6298 - VEHICLE MILEAGE</v>
      </c>
      <c r="C133" s="11"/>
      <c r="D133" s="6">
        <v>114.68</v>
      </c>
      <c r="E133" s="2"/>
      <c r="F133" s="7">
        <f t="shared" si="92"/>
        <v>1.8061127277352944E-4</v>
      </c>
      <c r="G133" s="2"/>
      <c r="H133" s="6"/>
      <c r="I133" s="2"/>
      <c r="J133" s="7">
        <f t="shared" si="93"/>
        <v>0</v>
      </c>
      <c r="K133" s="2"/>
      <c r="L133" s="6">
        <f t="shared" si="94"/>
        <v>114.68</v>
      </c>
      <c r="M133" s="2"/>
      <c r="N133" s="7">
        <f t="shared" si="95"/>
        <v>0</v>
      </c>
      <c r="O133" s="11"/>
      <c r="P133" s="6">
        <v>772.73</v>
      </c>
      <c r="Q133" s="2"/>
      <c r="R133" s="7">
        <f t="shared" si="96"/>
        <v>1.6357017056277257E-4</v>
      </c>
      <c r="S133" s="2"/>
      <c r="T133" s="6">
        <v>0</v>
      </c>
      <c r="U133" s="2"/>
      <c r="V133" s="7">
        <f t="shared" si="97"/>
        <v>0</v>
      </c>
      <c r="W133" s="2"/>
      <c r="X133" s="6">
        <f t="shared" si="98"/>
        <v>772.73</v>
      </c>
      <c r="Y133" s="2"/>
      <c r="Z133" s="7">
        <f t="shared" si="99"/>
        <v>0</v>
      </c>
    </row>
    <row r="134" spans="1:26" s="25" customFormat="1" outlineLevel="1" collapsed="1" x14ac:dyDescent="0.25">
      <c r="A134" s="27"/>
      <c r="B134" s="13" t="str">
        <f>CONCATENATE("     ","Utilities                                         ")</f>
        <v xml:space="preserve">     Utilities                                         </v>
      </c>
      <c r="C134" s="13"/>
      <c r="D134" s="1">
        <f>SUM(OSRRefD22_25x_0)</f>
        <v>40959</v>
      </c>
      <c r="E134" s="1"/>
      <c r="F134" s="5">
        <f t="shared" ref="F134:F135" si="100">IF(D$12=0,0,D134/D$12)</f>
        <v>6.4506950833022256E-2</v>
      </c>
      <c r="G134" s="1"/>
      <c r="H134" s="1">
        <f>SUM(OSRRefH22_25x_0)</f>
        <v>18573</v>
      </c>
      <c r="I134" s="1"/>
      <c r="J134" s="5">
        <f t="shared" ref="J134:J135" si="101">IF(H$12=0,0,H134/H$12)</f>
        <v>2.221528480490308E-2</v>
      </c>
      <c r="K134" s="1"/>
      <c r="L134" s="1">
        <f t="shared" ref="L134:L135" si="102">+D134-H134</f>
        <v>22386</v>
      </c>
      <c r="M134" s="1"/>
      <c r="N134" s="5">
        <f t="shared" ref="N134:N135" si="103">IF(H134=0,0,L134/H134)</f>
        <v>1.2052980132450331</v>
      </c>
      <c r="O134" s="13"/>
      <c r="P134" s="1">
        <f>SUM(OSRRefP22_25x_0)</f>
        <v>102337.12</v>
      </c>
      <c r="Q134" s="1"/>
      <c r="R134" s="5">
        <f t="shared" ref="R134:R135" si="104">IF(P$12=0,0,P134/P$12)</f>
        <v>2.166254729763685E-2</v>
      </c>
      <c r="S134" s="1"/>
      <c r="T134" s="1">
        <f>SUM(OSRRefT22_25x_0)</f>
        <v>121469</v>
      </c>
      <c r="U134" s="1"/>
      <c r="V134" s="5">
        <f t="shared" ref="V134:V135" si="105">IF(T$12=0,0,T134/T$12)</f>
        <v>2.2966678737176598E-2</v>
      </c>
      <c r="W134" s="1"/>
      <c r="X134" s="1">
        <f t="shared" ref="X134:X135" si="106">+P134-T134</f>
        <v>-19131.880000000005</v>
      </c>
      <c r="Y134" s="1"/>
      <c r="Z134" s="5">
        <f t="shared" ref="Z134:Z135" si="107">IF(T134=0,0,X134/T134)</f>
        <v>-0.15750421918349541</v>
      </c>
    </row>
    <row r="135" spans="1:26" s="24" customFormat="1" hidden="1" outlineLevel="2" x14ac:dyDescent="0.25">
      <c r="A135" s="26"/>
      <c r="B135" s="11" t="str">
        <f>CONCATENATE("          ", "6274", " - ", "UTILITIES")</f>
        <v xml:space="preserve">          6274 - UTILITIES</v>
      </c>
      <c r="C135" s="11"/>
      <c r="D135" s="6">
        <v>40959</v>
      </c>
      <c r="E135" s="2"/>
      <c r="F135" s="7">
        <f t="shared" si="100"/>
        <v>6.4506950833022256E-2</v>
      </c>
      <c r="G135" s="2"/>
      <c r="H135" s="6">
        <v>18573</v>
      </c>
      <c r="I135" s="2"/>
      <c r="J135" s="7">
        <f t="shared" si="101"/>
        <v>2.221528480490308E-2</v>
      </c>
      <c r="K135" s="2"/>
      <c r="L135" s="6">
        <f t="shared" si="102"/>
        <v>22386</v>
      </c>
      <c r="M135" s="2"/>
      <c r="N135" s="7">
        <f t="shared" si="103"/>
        <v>1.2052980132450331</v>
      </c>
      <c r="O135" s="11"/>
      <c r="P135" s="6">
        <v>102337.12</v>
      </c>
      <c r="Q135" s="2"/>
      <c r="R135" s="7">
        <f t="shared" si="104"/>
        <v>2.166254729763685E-2</v>
      </c>
      <c r="S135" s="2"/>
      <c r="T135" s="6">
        <v>121469</v>
      </c>
      <c r="U135" s="2"/>
      <c r="V135" s="7">
        <f t="shared" si="105"/>
        <v>2.2966678737176598E-2</v>
      </c>
      <c r="W135" s="2"/>
      <c r="X135" s="6">
        <f t="shared" si="106"/>
        <v>-19131.880000000005</v>
      </c>
      <c r="Y135" s="2"/>
      <c r="Z135" s="7">
        <f t="shared" si="107"/>
        <v>-0.15750421918349541</v>
      </c>
    </row>
    <row r="136" spans="1:26" s="53" customFormat="1" x14ac:dyDescent="0.25">
      <c r="A136" s="36"/>
      <c r="B136" s="36"/>
      <c r="C136" s="36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6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collapsed="1" x14ac:dyDescent="0.25">
      <c r="A137" s="10"/>
      <c r="B137" s="28" t="s">
        <v>0</v>
      </c>
      <c r="C137" s="10"/>
      <c r="D137" s="4">
        <f>SUM(OSRRefD25x_0)</f>
        <v>21370.27</v>
      </c>
      <c r="E137" s="4"/>
      <c r="F137" s="12">
        <f t="shared" ref="F137:F141" si="108">IF(D$12=0,0,D137/D$12)</f>
        <v>3.3656362610864778E-2</v>
      </c>
      <c r="G137" s="4"/>
      <c r="H137" s="4">
        <f>SUM(OSRRefH25x_0)</f>
        <v>28721</v>
      </c>
      <c r="I137" s="4"/>
      <c r="J137" s="12">
        <f t="shared" ref="J137:J141" si="109">IF(H$12=0,0,H137/H$12)</f>
        <v>3.4353372900534182E-2</v>
      </c>
      <c r="K137" s="4"/>
      <c r="L137" s="4">
        <f t="shared" ref="L137:L141" si="110">+D137-H137</f>
        <v>-7350.73</v>
      </c>
      <c r="M137" s="4"/>
      <c r="N137" s="12">
        <f t="shared" ref="N137:N141" si="111">IF(H137=0,0,L137/H137)</f>
        <v>-0.25593572647191948</v>
      </c>
      <c r="O137" s="10"/>
      <c r="P137" s="4">
        <f>SUM(OSRRefP25x_0)</f>
        <v>514437.52999999997</v>
      </c>
      <c r="Q137" s="4"/>
      <c r="R137" s="12">
        <f t="shared" ref="R137:R141" si="112">IF(P$12=0,0,P137/P$12)</f>
        <v>0.1088952603444818</v>
      </c>
      <c r="S137" s="4"/>
      <c r="T137" s="4">
        <f>SUM(OSRRefT25x_0)</f>
        <v>444395</v>
      </c>
      <c r="U137" s="4"/>
      <c r="V137" s="12">
        <f t="shared" ref="V137:V141" si="113">IF(T$12=0,0,T137/T$12)</f>
        <v>8.4023719610827413E-2</v>
      </c>
      <c r="W137" s="4"/>
      <c r="X137" s="4">
        <f t="shared" ref="X137:X141" si="114">+P137-T137</f>
        <v>70042.52999999997</v>
      </c>
      <c r="Y137" s="4"/>
      <c r="Z137" s="12">
        <f t="shared" ref="Z137:Z141" si="115">IF(T137=0,0,X137/T137)</f>
        <v>0.15761322697150051</v>
      </c>
    </row>
    <row r="138" spans="1:26" s="24" customFormat="1" hidden="1" outlineLevel="1" x14ac:dyDescent="0.25">
      <c r="A138" s="44"/>
      <c r="B138" s="11" t="str">
        <f>CONCATENATE("          ", "9150", " - ", "MISC. INCOME")</f>
        <v xml:space="preserve">          9150 - MISC. INCOME</v>
      </c>
      <c r="C138" s="11"/>
      <c r="D138" s="2">
        <f>--17328.33</f>
        <v>17328.330000000002</v>
      </c>
      <c r="E138" s="2"/>
      <c r="F138" s="19">
        <f t="shared" si="108"/>
        <v>2.729064995064295E-2</v>
      </c>
      <c r="G138" s="2"/>
      <c r="H138" s="2">
        <v>28721</v>
      </c>
      <c r="I138" s="2"/>
      <c r="J138" s="19">
        <f t="shared" si="109"/>
        <v>3.4353372900534182E-2</v>
      </c>
      <c r="K138" s="2"/>
      <c r="L138" s="2">
        <f t="shared" si="110"/>
        <v>-11392.669999999998</v>
      </c>
      <c r="M138" s="2"/>
      <c r="N138" s="19">
        <f t="shared" si="111"/>
        <v>-0.39666689878486117</v>
      </c>
      <c r="O138" s="11"/>
      <c r="P138" s="2">
        <f>--182971.27</f>
        <v>182971.27</v>
      </c>
      <c r="Q138" s="2"/>
      <c r="R138" s="19">
        <f t="shared" si="112"/>
        <v>3.8731046862406159E-2</v>
      </c>
      <c r="S138" s="2"/>
      <c r="T138" s="2">
        <v>186578</v>
      </c>
      <c r="U138" s="2"/>
      <c r="V138" s="19">
        <f t="shared" si="113"/>
        <v>3.5277124084539556E-2</v>
      </c>
      <c r="W138" s="2"/>
      <c r="X138" s="2">
        <f t="shared" si="114"/>
        <v>-3606.7300000000105</v>
      </c>
      <c r="Y138" s="2"/>
      <c r="Z138" s="19">
        <f t="shared" si="115"/>
        <v>-1.9330950058420664E-2</v>
      </c>
    </row>
    <row r="139" spans="1:26" s="24" customFormat="1" hidden="1" outlineLevel="1" x14ac:dyDescent="0.25">
      <c r="A139" s="44"/>
      <c r="B139" s="11" t="str">
        <f>CONCATENATE("          ", "9151", " - ", "MISC. INCOME")</f>
        <v xml:space="preserve">          9151 - MISC. INCOME</v>
      </c>
      <c r="C139" s="11"/>
      <c r="D139" s="2">
        <f t="shared" ref="D139:D140" si="116">0</f>
        <v>0</v>
      </c>
      <c r="E139" s="2"/>
      <c r="F139" s="19">
        <f t="shared" si="108"/>
        <v>0</v>
      </c>
      <c r="G139" s="2"/>
      <c r="H139" s="2">
        <v>0</v>
      </c>
      <c r="I139" s="2"/>
      <c r="J139" s="19">
        <f t="shared" si="109"/>
        <v>0</v>
      </c>
      <c r="K139" s="2"/>
      <c r="L139" s="2">
        <f t="shared" si="110"/>
        <v>0</v>
      </c>
      <c r="M139" s="2"/>
      <c r="N139" s="19">
        <f t="shared" si="111"/>
        <v>0</v>
      </c>
      <c r="O139" s="11"/>
      <c r="P139" s="2">
        <f>0</f>
        <v>0</v>
      </c>
      <c r="Q139" s="2"/>
      <c r="R139" s="19">
        <f t="shared" si="112"/>
        <v>0</v>
      </c>
      <c r="S139" s="2"/>
      <c r="T139" s="2">
        <v>257817</v>
      </c>
      <c r="U139" s="2"/>
      <c r="V139" s="19">
        <f t="shared" si="113"/>
        <v>4.874659552628785E-2</v>
      </c>
      <c r="W139" s="2"/>
      <c r="X139" s="2">
        <f t="shared" si="114"/>
        <v>-257817</v>
      </c>
      <c r="Y139" s="2"/>
      <c r="Z139" s="19">
        <f t="shared" si="115"/>
        <v>-1</v>
      </c>
    </row>
    <row r="140" spans="1:26" s="24" customFormat="1" hidden="1" outlineLevel="1" x14ac:dyDescent="0.25">
      <c r="A140" s="44"/>
      <c r="B140" s="11" t="str">
        <f>CONCATENATE("          ", "9160", " - ", "MISC. INCOME")</f>
        <v xml:space="preserve">          9160 - MISC. INCOME</v>
      </c>
      <c r="C140" s="11"/>
      <c r="D140" s="2">
        <f t="shared" si="116"/>
        <v>0</v>
      </c>
      <c r="E140" s="2"/>
      <c r="F140" s="19">
        <f t="shared" si="108"/>
        <v>0</v>
      </c>
      <c r="G140" s="2"/>
      <c r="H140" s="2"/>
      <c r="I140" s="2"/>
      <c r="J140" s="19">
        <f t="shared" si="109"/>
        <v>0</v>
      </c>
      <c r="K140" s="2"/>
      <c r="L140" s="2">
        <f t="shared" si="110"/>
        <v>0</v>
      </c>
      <c r="M140" s="2"/>
      <c r="N140" s="19">
        <f t="shared" si="111"/>
        <v>0</v>
      </c>
      <c r="O140" s="11"/>
      <c r="P140" s="2">
        <f>--104050.2</f>
        <v>104050.2</v>
      </c>
      <c r="Q140" s="2"/>
      <c r="R140" s="19">
        <f t="shared" si="112"/>
        <v>2.2025169154931992E-2</v>
      </c>
      <c r="S140" s="2"/>
      <c r="T140" s="2"/>
      <c r="U140" s="2"/>
      <c r="V140" s="19">
        <f t="shared" si="113"/>
        <v>0</v>
      </c>
      <c r="W140" s="2"/>
      <c r="X140" s="2">
        <f t="shared" si="114"/>
        <v>104050.2</v>
      </c>
      <c r="Y140" s="2"/>
      <c r="Z140" s="19">
        <f t="shared" si="115"/>
        <v>0</v>
      </c>
    </row>
    <row r="141" spans="1:26" s="24" customFormat="1" hidden="1" outlineLevel="1" x14ac:dyDescent="0.25">
      <c r="A141" s="44"/>
      <c r="B141" s="11" t="str">
        <f>CONCATENATE("          ", "9165", " - ", "OTHER INCOME")</f>
        <v xml:space="preserve">          9165 - OTHER INCOME</v>
      </c>
      <c r="C141" s="11"/>
      <c r="D141" s="2">
        <f>--4041.94</f>
        <v>4041.94</v>
      </c>
      <c r="E141" s="2"/>
      <c r="F141" s="19">
        <f t="shared" si="108"/>
        <v>6.3657126602218311E-3</v>
      </c>
      <c r="G141" s="2"/>
      <c r="H141" s="2"/>
      <c r="I141" s="2"/>
      <c r="J141" s="19">
        <f t="shared" si="109"/>
        <v>0</v>
      </c>
      <c r="K141" s="2"/>
      <c r="L141" s="2">
        <f t="shared" si="110"/>
        <v>4041.94</v>
      </c>
      <c r="M141" s="2"/>
      <c r="N141" s="19">
        <f t="shared" si="111"/>
        <v>0</v>
      </c>
      <c r="O141" s="11"/>
      <c r="P141" s="2">
        <f>--227416.06</f>
        <v>227416.06</v>
      </c>
      <c r="Q141" s="2"/>
      <c r="R141" s="19">
        <f t="shared" si="112"/>
        <v>4.8139044327143658E-2</v>
      </c>
      <c r="S141" s="2"/>
      <c r="T141" s="2"/>
      <c r="U141" s="2"/>
      <c r="V141" s="19">
        <f t="shared" si="113"/>
        <v>0</v>
      </c>
      <c r="W141" s="2"/>
      <c r="X141" s="2">
        <f t="shared" si="114"/>
        <v>227416.06</v>
      </c>
      <c r="Y141" s="2"/>
      <c r="Z141" s="19">
        <f t="shared" si="115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9" t="s">
        <v>3</v>
      </c>
      <c r="C143" s="29"/>
      <c r="D143" s="22">
        <f>+D36-D38+D137</f>
        <v>-157158.44999999987</v>
      </c>
      <c r="E143" s="14"/>
      <c r="F143" s="20">
        <f>IF(D$12=0,0,D143/D$12)</f>
        <v>-0.24751122847588997</v>
      </c>
      <c r="G143" s="14"/>
      <c r="H143" s="22">
        <f>+H36-H38+H137</f>
        <v>44260.466486480087</v>
      </c>
      <c r="I143" s="14"/>
      <c r="J143" s="20">
        <f>IF(H$12=0,0,H143/H$12)</f>
        <v>5.2940228751145374E-2</v>
      </c>
      <c r="K143" s="16"/>
      <c r="L143" s="22">
        <f>+D143-H143</f>
        <v>-201418.91648647995</v>
      </c>
      <c r="M143" s="16"/>
      <c r="N143" s="20">
        <f>IF(H143=0,0,L143/H143)</f>
        <v>-4.5507635250072633</v>
      </c>
      <c r="O143" s="28"/>
      <c r="P143" s="22">
        <f>+P36-P38+P137</f>
        <v>-60511.679999999993</v>
      </c>
      <c r="Q143" s="14"/>
      <c r="R143" s="20">
        <f>IF(P$12=0,0,P143/P$12)</f>
        <v>-1.2809009380559719E-2</v>
      </c>
      <c r="S143" s="14"/>
      <c r="T143" s="22">
        <f>+T36-T38+T137</f>
        <v>425859.66072665434</v>
      </c>
      <c r="U143" s="14"/>
      <c r="V143" s="20">
        <f>IF(T$12=0,0,T143/T$12)</f>
        <v>8.0519161391236382E-2</v>
      </c>
      <c r="W143" s="16"/>
      <c r="X143" s="22">
        <f>+P143-T143</f>
        <v>-486371.34072665434</v>
      </c>
      <c r="Y143" s="16"/>
      <c r="Z143" s="20">
        <f>IF(T143=0,0,X143/T143)</f>
        <v>-1.1420930075808249</v>
      </c>
    </row>
    <row r="144" spans="1:26" x14ac:dyDescent="0.25">
      <c r="A144" s="9"/>
      <c r="B144" s="10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52"/>
      <c r="B145" s="10" t="s">
        <v>14</v>
      </c>
      <c r="C145" s="10"/>
      <c r="D145" s="4">
        <v>77226.450000000012</v>
      </c>
      <c r="E145" s="4"/>
      <c r="F145" s="12">
        <f>IF(D$12=0,0,D145/D$12)</f>
        <v>0.12162510835613301</v>
      </c>
      <c r="G145" s="4"/>
      <c r="H145" s="4">
        <v>116972</v>
      </c>
      <c r="I145" s="4"/>
      <c r="J145" s="12">
        <f>IF(H$12=0,0,H145/H$12)</f>
        <v>0.13991096183702811</v>
      </c>
      <c r="K145" s="4"/>
      <c r="L145" s="4">
        <f>+D145-H145</f>
        <v>-39745.549999999988</v>
      </c>
      <c r="M145" s="4"/>
      <c r="N145" s="12">
        <f>IF(H145=0,0,L145/H145)</f>
        <v>-0.33978687207194874</v>
      </c>
      <c r="O145" s="10"/>
      <c r="P145" s="4">
        <v>510244.57</v>
      </c>
      <c r="Q145" s="4"/>
      <c r="R145" s="12">
        <f>IF(P$12=0,0,P145/P$12)</f>
        <v>0.1080077017116309</v>
      </c>
      <c r="S145" s="4"/>
      <c r="T145" s="4">
        <v>681293</v>
      </c>
      <c r="U145" s="4"/>
      <c r="V145" s="12">
        <f>IF(T$12=0,0,T145/T$12)</f>
        <v>0.12881506768712392</v>
      </c>
      <c r="W145" s="4"/>
      <c r="X145" s="4">
        <f>+P145-T145</f>
        <v>-171048.43</v>
      </c>
      <c r="Y145" s="4"/>
      <c r="Z145" s="12">
        <f>IF(T145=0,0,X145/T145)</f>
        <v>-0.25106441721843609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9" t="s">
        <v>4</v>
      </c>
      <c r="C147" s="29"/>
      <c r="D147" s="31">
        <f>+D143-D145</f>
        <v>-234384.89999999988</v>
      </c>
      <c r="E147" s="14"/>
      <c r="F147" s="32">
        <f>IF(D$12=0,0,D147/D$12)</f>
        <v>-0.36913633683202296</v>
      </c>
      <c r="G147" s="14"/>
      <c r="H147" s="31">
        <f>+H143-H145</f>
        <v>-72711.533513519913</v>
      </c>
      <c r="I147" s="14"/>
      <c r="J147" s="32">
        <f>IF(H$12=0,0,H147/H$12)</f>
        <v>-8.6970733085882726E-2</v>
      </c>
      <c r="K147" s="16"/>
      <c r="L147" s="31">
        <f>D147-H147</f>
        <v>-161673.36648647996</v>
      </c>
      <c r="M147" s="16"/>
      <c r="N147" s="32">
        <f>IF(H147=0,0,L147/H147)</f>
        <v>2.2234899839709552</v>
      </c>
      <c r="O147" s="28"/>
      <c r="P147" s="31">
        <f>+P143-P145</f>
        <v>-570756.25</v>
      </c>
      <c r="Q147" s="14"/>
      <c r="R147" s="32">
        <f>IF(P$12=0,0,P147/P$12)</f>
        <v>-0.12081671109219062</v>
      </c>
      <c r="S147" s="14"/>
      <c r="T147" s="31">
        <f>+T143-T145</f>
        <v>-255433.33927334566</v>
      </c>
      <c r="U147" s="14"/>
      <c r="V147" s="32">
        <f>IF(T$12=0,0,T147/T$12)</f>
        <v>-4.8295906295887543E-2</v>
      </c>
      <c r="W147" s="16"/>
      <c r="X147" s="31">
        <f>P147-T147</f>
        <v>-315322.91072665434</v>
      </c>
      <c r="Y147" s="16"/>
      <c r="Z147" s="32">
        <f>IF(T147=0,0,X147/T147)</f>
        <v>1.2344626258407847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9" t="s">
        <v>5</v>
      </c>
      <c r="C150" s="29"/>
      <c r="D150" s="35">
        <f>SUM(D147:D149)</f>
        <v>-234384.89999999988</v>
      </c>
      <c r="E150" s="14"/>
      <c r="F150" s="34">
        <f>IF(D$12=0,0,D150/D$12)</f>
        <v>-0.36913633683202296</v>
      </c>
      <c r="G150" s="14"/>
      <c r="H150" s="35">
        <f>SUM(H147:H149)</f>
        <v>-72711.533513519913</v>
      </c>
      <c r="I150" s="14"/>
      <c r="J150" s="34">
        <f>IF(H$12=0,0,H150/H$12)</f>
        <v>-8.6970733085882726E-2</v>
      </c>
      <c r="K150" s="16"/>
      <c r="L150" s="35">
        <f>+D150-H150</f>
        <v>-161673.36648647996</v>
      </c>
      <c r="M150" s="16"/>
      <c r="N150" s="34">
        <f>IF(H150=0,0,L150/H150)</f>
        <v>2.2234899839709552</v>
      </c>
      <c r="O150" s="28"/>
      <c r="P150" s="35">
        <f>SUM(P147:P149)</f>
        <v>-570756.25</v>
      </c>
      <c r="Q150" s="14"/>
      <c r="R150" s="34">
        <f>IF(P$12=0,0,P150/P$12)</f>
        <v>-0.12081671109219062</v>
      </c>
      <c r="S150" s="14"/>
      <c r="T150" s="35">
        <f>SUM(T147:T149)</f>
        <v>-255433.33927334566</v>
      </c>
      <c r="U150" s="14"/>
      <c r="V150" s="34">
        <f>IF(T$12=0,0,T150/T$12)</f>
        <v>-4.8295906295887543E-2</v>
      </c>
      <c r="W150" s="16"/>
      <c r="X150" s="35">
        <f>+P150-T150</f>
        <v>-315322.91072665434</v>
      </c>
      <c r="Y150" s="16"/>
      <c r="Z150" s="34">
        <f>IF(T150=0,0,X150/T150)</f>
        <v>1.2344626258407847</v>
      </c>
    </row>
    <row r="151" spans="1:26" ht="15.75" thickTop="1" x14ac:dyDescent="0.25">
      <c r="A151" s="9"/>
      <c r="C151" s="9"/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A152" s="9"/>
      <c r="B152" s="63">
        <v>43847.445553043981</v>
      </c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A153" s="9"/>
      <c r="B153" s="55" t="s">
        <v>314</v>
      </c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56"/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301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426987.52999999997</v>
      </c>
      <c r="E12" s="4"/>
      <c r="F12" s="12"/>
      <c r="G12" s="4"/>
      <c r="H12" s="4">
        <f>SUM(OSRRefH13x_0)</f>
        <v>590000</v>
      </c>
      <c r="I12" s="4"/>
      <c r="J12" s="12"/>
      <c r="K12" s="4"/>
      <c r="L12" s="4">
        <f t="shared" ref="L12:L23" si="0">+D12-H12</f>
        <v>-163012.47000000003</v>
      </c>
      <c r="M12" s="4"/>
      <c r="N12" s="12">
        <f t="shared" ref="N12:N23" si="1">IF(H12=0,0,L12/H12)</f>
        <v>-0.27629232203389836</v>
      </c>
      <c r="O12" s="10"/>
      <c r="P12" s="4">
        <f>SUM(OSRRefP13x_0)</f>
        <v>3097357.05</v>
      </c>
      <c r="Q12" s="4"/>
      <c r="R12" s="12"/>
      <c r="S12" s="4"/>
      <c r="T12" s="4">
        <f>SUM(OSRRefT13x_0)</f>
        <v>3657739</v>
      </c>
      <c r="U12" s="4"/>
      <c r="V12" s="12"/>
      <c r="W12" s="4"/>
      <c r="X12" s="4">
        <f t="shared" ref="X12:X23" si="2">+P12-T12</f>
        <v>-560381.95000000019</v>
      </c>
      <c r="Y12" s="4"/>
      <c r="Z12" s="12">
        <f t="shared" ref="Z12:Z23" si="3">IF(T12=0,0,X12/T12)</f>
        <v>-0.15320446592826886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279850</v>
      </c>
      <c r="I13" s="2"/>
      <c r="J13" s="19"/>
      <c r="K13" s="2"/>
      <c r="L13" s="2">
        <f t="shared" si="0"/>
        <v>-279850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1834149</v>
      </c>
      <c r="U13" s="2"/>
      <c r="V13" s="19"/>
      <c r="W13" s="2"/>
      <c r="X13" s="2">
        <f t="shared" si="2"/>
        <v>-1834149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--40718.26</f>
        <v>40718.26</v>
      </c>
      <c r="E14" s="2"/>
      <c r="F14" s="19"/>
      <c r="G14" s="2"/>
      <c r="H14" s="2"/>
      <c r="I14" s="2"/>
      <c r="J14" s="19"/>
      <c r="K14" s="2"/>
      <c r="L14" s="2">
        <f t="shared" si="0"/>
        <v>40718.26</v>
      </c>
      <c r="M14" s="2"/>
      <c r="N14" s="19">
        <f t="shared" si="1"/>
        <v>0</v>
      </c>
      <c r="O14" s="11"/>
      <c r="P14" s="2">
        <f>--323725.59</f>
        <v>323725.59000000003</v>
      </c>
      <c r="Q14" s="2"/>
      <c r="R14" s="19"/>
      <c r="S14" s="2"/>
      <c r="T14" s="2"/>
      <c r="U14" s="2"/>
      <c r="V14" s="19"/>
      <c r="W14" s="2"/>
      <c r="X14" s="2">
        <f t="shared" si="2"/>
        <v>323725.59000000003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--82451.12</f>
        <v>82451.12</v>
      </c>
      <c r="E15" s="2"/>
      <c r="F15" s="19"/>
      <c r="G15" s="2"/>
      <c r="H15" s="2"/>
      <c r="I15" s="2"/>
      <c r="J15" s="19"/>
      <c r="K15" s="2"/>
      <c r="L15" s="2">
        <f t="shared" si="0"/>
        <v>82451.12</v>
      </c>
      <c r="M15" s="2"/>
      <c r="N15" s="19">
        <f t="shared" si="1"/>
        <v>0</v>
      </c>
      <c r="O15" s="11"/>
      <c r="P15" s="2">
        <f>--536296.65</f>
        <v>536296.65</v>
      </c>
      <c r="Q15" s="2"/>
      <c r="R15" s="19"/>
      <c r="S15" s="2"/>
      <c r="T15" s="2"/>
      <c r="U15" s="2"/>
      <c r="V15" s="19"/>
      <c r="W15" s="2"/>
      <c r="X15" s="2">
        <f t="shared" si="2"/>
        <v>536296.65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--15916.58</f>
        <v>15916.58</v>
      </c>
      <c r="E16" s="2"/>
      <c r="F16" s="19"/>
      <c r="G16" s="2"/>
      <c r="H16" s="2"/>
      <c r="I16" s="2"/>
      <c r="J16" s="19"/>
      <c r="K16" s="2"/>
      <c r="L16" s="2">
        <f t="shared" si="0"/>
        <v>15916.58</v>
      </c>
      <c r="M16" s="2"/>
      <c r="N16" s="19">
        <f t="shared" si="1"/>
        <v>0</v>
      </c>
      <c r="O16" s="11"/>
      <c r="P16" s="2">
        <f>--86431.87</f>
        <v>86431.87</v>
      </c>
      <c r="Q16" s="2"/>
      <c r="R16" s="19"/>
      <c r="S16" s="2"/>
      <c r="T16" s="2"/>
      <c r="U16" s="2"/>
      <c r="V16" s="19"/>
      <c r="W16" s="2"/>
      <c r="X16" s="2">
        <f t="shared" si="2"/>
        <v>86431.87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--36745.98</f>
        <v>36745.980000000003</v>
      </c>
      <c r="E17" s="2"/>
      <c r="F17" s="19"/>
      <c r="G17" s="2"/>
      <c r="H17" s="2"/>
      <c r="I17" s="2"/>
      <c r="J17" s="19"/>
      <c r="K17" s="2"/>
      <c r="L17" s="2">
        <f t="shared" si="0"/>
        <v>36745.980000000003</v>
      </c>
      <c r="M17" s="2"/>
      <c r="N17" s="19">
        <f t="shared" si="1"/>
        <v>0</v>
      </c>
      <c r="O17" s="11"/>
      <c r="P17" s="2">
        <f>--271853.95</f>
        <v>271853.95</v>
      </c>
      <c r="Q17" s="2"/>
      <c r="R17" s="19"/>
      <c r="S17" s="2"/>
      <c r="T17" s="2"/>
      <c r="U17" s="2"/>
      <c r="V17" s="19"/>
      <c r="W17" s="2"/>
      <c r="X17" s="2">
        <f t="shared" si="2"/>
        <v>271853.95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--9096.8</f>
        <v>9096.7999999999993</v>
      </c>
      <c r="E18" s="2"/>
      <c r="F18" s="19"/>
      <c r="G18" s="2"/>
      <c r="H18" s="2"/>
      <c r="I18" s="2"/>
      <c r="J18" s="19"/>
      <c r="K18" s="2"/>
      <c r="L18" s="2">
        <f t="shared" si="0"/>
        <v>9096.7999999999993</v>
      </c>
      <c r="M18" s="2"/>
      <c r="N18" s="19">
        <f t="shared" si="1"/>
        <v>0</v>
      </c>
      <c r="O18" s="11"/>
      <c r="P18" s="2">
        <f>--87899.21</f>
        <v>87899.21</v>
      </c>
      <c r="Q18" s="2"/>
      <c r="R18" s="19"/>
      <c r="S18" s="2"/>
      <c r="T18" s="2"/>
      <c r="U18" s="2"/>
      <c r="V18" s="19"/>
      <c r="W18" s="2"/>
      <c r="X18" s="2">
        <f t="shared" si="2"/>
        <v>87899.21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310150</v>
      </c>
      <c r="I19" s="2"/>
      <c r="J19" s="19"/>
      <c r="K19" s="2"/>
      <c r="L19" s="2">
        <f t="shared" si="0"/>
        <v>-310150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1823590</v>
      </c>
      <c r="U19" s="2"/>
      <c r="V19" s="19"/>
      <c r="W19" s="2"/>
      <c r="X19" s="2">
        <f t="shared" si="2"/>
        <v>-1823590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--128781.5</f>
        <v>128781.5</v>
      </c>
      <c r="E20" s="2"/>
      <c r="F20" s="19"/>
      <c r="G20" s="2"/>
      <c r="H20" s="2"/>
      <c r="I20" s="2"/>
      <c r="J20" s="19"/>
      <c r="K20" s="2"/>
      <c r="L20" s="2">
        <f t="shared" si="0"/>
        <v>128781.5</v>
      </c>
      <c r="M20" s="2"/>
      <c r="N20" s="19">
        <f t="shared" si="1"/>
        <v>0</v>
      </c>
      <c r="O20" s="11"/>
      <c r="P20" s="2">
        <f>--953178.59</f>
        <v>953178.59</v>
      </c>
      <c r="Q20" s="2"/>
      <c r="R20" s="19"/>
      <c r="S20" s="2"/>
      <c r="T20" s="2"/>
      <c r="U20" s="2"/>
      <c r="V20" s="19"/>
      <c r="W20" s="2"/>
      <c r="X20" s="2">
        <f t="shared" si="2"/>
        <v>953178.59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--4293.35</f>
        <v>4293.3500000000004</v>
      </c>
      <c r="E21" s="2"/>
      <c r="F21" s="19"/>
      <c r="G21" s="2"/>
      <c r="H21" s="2"/>
      <c r="I21" s="2"/>
      <c r="J21" s="19"/>
      <c r="K21" s="2"/>
      <c r="L21" s="2">
        <f t="shared" si="0"/>
        <v>4293.3500000000004</v>
      </c>
      <c r="M21" s="2"/>
      <c r="N21" s="19">
        <f t="shared" si="1"/>
        <v>0</v>
      </c>
      <c r="O21" s="11"/>
      <c r="P21" s="2">
        <f>--34634.8</f>
        <v>34634.800000000003</v>
      </c>
      <c r="Q21" s="2"/>
      <c r="R21" s="19"/>
      <c r="S21" s="2"/>
      <c r="T21" s="2"/>
      <c r="U21" s="2"/>
      <c r="V21" s="19"/>
      <c r="W21" s="2"/>
      <c r="X21" s="2">
        <f t="shared" si="2"/>
        <v>34634.800000000003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--63255.26</f>
        <v>63255.26</v>
      </c>
      <c r="E22" s="2"/>
      <c r="F22" s="19"/>
      <c r="G22" s="2"/>
      <c r="H22" s="2"/>
      <c r="I22" s="2"/>
      <c r="J22" s="19"/>
      <c r="K22" s="2"/>
      <c r="L22" s="2">
        <f t="shared" si="0"/>
        <v>63255.26</v>
      </c>
      <c r="M22" s="2"/>
      <c r="N22" s="19">
        <f t="shared" si="1"/>
        <v>0</v>
      </c>
      <c r="O22" s="11"/>
      <c r="P22" s="2">
        <f>--484720.45</f>
        <v>484720.45</v>
      </c>
      <c r="Q22" s="2"/>
      <c r="R22" s="19"/>
      <c r="S22" s="2"/>
      <c r="T22" s="2"/>
      <c r="U22" s="2"/>
      <c r="V22" s="19"/>
      <c r="W22" s="2"/>
      <c r="X22" s="2">
        <f t="shared" si="2"/>
        <v>484720.45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--45728.68</f>
        <v>45728.68</v>
      </c>
      <c r="E23" s="2"/>
      <c r="F23" s="19"/>
      <c r="G23" s="2"/>
      <c r="H23" s="2"/>
      <c r="I23" s="2"/>
      <c r="J23" s="19"/>
      <c r="K23" s="2"/>
      <c r="L23" s="2">
        <f t="shared" si="0"/>
        <v>45728.68</v>
      </c>
      <c r="M23" s="2"/>
      <c r="N23" s="19">
        <f t="shared" si="1"/>
        <v>0</v>
      </c>
      <c r="O23" s="11"/>
      <c r="P23" s="2">
        <f>--318615.94</f>
        <v>318615.94</v>
      </c>
      <c r="Q23" s="2"/>
      <c r="R23" s="19"/>
      <c r="S23" s="2"/>
      <c r="T23" s="2"/>
      <c r="U23" s="2"/>
      <c r="V23" s="19"/>
      <c r="W23" s="2"/>
      <c r="X23" s="2">
        <f t="shared" si="2"/>
        <v>318615.94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141406.26999999999</v>
      </c>
      <c r="E25" s="4"/>
      <c r="F25" s="12">
        <f t="shared" ref="F25:F28" si="4">IF(D$12=0,0,D25/D$12)</f>
        <v>0.3311718962846526</v>
      </c>
      <c r="G25" s="4"/>
      <c r="H25" s="4">
        <f>SUM(OSRRefH16x_0)</f>
        <v>173400</v>
      </c>
      <c r="I25" s="4"/>
      <c r="J25" s="12">
        <f t="shared" ref="J25:J28" si="5">IF(H$12=0,0,H25/H$12)</f>
        <v>0.29389830508474574</v>
      </c>
      <c r="K25" s="4"/>
      <c r="L25" s="4">
        <f t="shared" ref="L25:L28" si="6">+D25-H25</f>
        <v>-31993.73000000001</v>
      </c>
      <c r="M25" s="4"/>
      <c r="N25" s="12">
        <f t="shared" ref="N25:N28" si="7">IF(H25=0,0,L25/H25)</f>
        <v>-0.18450824682814307</v>
      </c>
      <c r="O25" s="10"/>
      <c r="P25" s="4">
        <f>SUM(OSRRefP16x_0)</f>
        <v>1016077.86</v>
      </c>
      <c r="Q25" s="4"/>
      <c r="R25" s="12">
        <f t="shared" ref="R25:R28" si="8">IF(P$12=0,0,P25/P$12)</f>
        <v>0.32804673261676437</v>
      </c>
      <c r="S25" s="4"/>
      <c r="T25" s="4">
        <f>SUM(OSRRefT16x_0)</f>
        <v>1136730</v>
      </c>
      <c r="U25" s="4"/>
      <c r="V25" s="12">
        <f t="shared" ref="V25:V28" si="9">IF(T$12=0,0,T25/T$12)</f>
        <v>0.31077395079309922</v>
      </c>
      <c r="W25" s="4"/>
      <c r="X25" s="4">
        <f t="shared" ref="X25:X28" si="10">+P25-T25</f>
        <v>-120652.14000000001</v>
      </c>
      <c r="Y25" s="4"/>
      <c r="Z25" s="12">
        <f t="shared" ref="Z25:Z28" si="11">IF(T25=0,0,X25/T25)</f>
        <v>-0.10613966377239979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173400</v>
      </c>
      <c r="I26" s="2"/>
      <c r="J26" s="19">
        <f t="shared" si="5"/>
        <v>0.29389830508474574</v>
      </c>
      <c r="K26" s="2"/>
      <c r="L26" s="2">
        <f t="shared" si="6"/>
        <v>-173400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1136730</v>
      </c>
      <c r="U26" s="2"/>
      <c r="V26" s="19">
        <f t="shared" si="9"/>
        <v>0.31077395079309922</v>
      </c>
      <c r="W26" s="2"/>
      <c r="X26" s="2">
        <f t="shared" si="10"/>
        <v>-1136730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142262.15</v>
      </c>
      <c r="E27" s="2"/>
      <c r="F27" s="19">
        <f t="shared" si="4"/>
        <v>0.33317635763273928</v>
      </c>
      <c r="G27" s="2"/>
      <c r="H27" s="2"/>
      <c r="I27" s="2"/>
      <c r="J27" s="19">
        <f t="shared" si="5"/>
        <v>0</v>
      </c>
      <c r="K27" s="2"/>
      <c r="L27" s="2">
        <f t="shared" si="6"/>
        <v>142262.15</v>
      </c>
      <c r="M27" s="2"/>
      <c r="N27" s="19">
        <f t="shared" si="7"/>
        <v>0</v>
      </c>
      <c r="O27" s="11"/>
      <c r="P27" s="2">
        <v>1048789.43</v>
      </c>
      <c r="Q27" s="2"/>
      <c r="R27" s="19">
        <f t="shared" si="8"/>
        <v>0.33860785601065913</v>
      </c>
      <c r="S27" s="2"/>
      <c r="T27" s="2"/>
      <c r="U27" s="2"/>
      <c r="V27" s="19">
        <f t="shared" si="9"/>
        <v>0</v>
      </c>
      <c r="W27" s="2"/>
      <c r="X27" s="2">
        <f t="shared" si="10"/>
        <v>1048789.43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-855.88</v>
      </c>
      <c r="E28" s="2"/>
      <c r="F28" s="19">
        <f t="shared" si="4"/>
        <v>-2.0044613480866762E-3</v>
      </c>
      <c r="G28" s="2"/>
      <c r="H28" s="2"/>
      <c r="I28" s="2"/>
      <c r="J28" s="19">
        <f t="shared" si="5"/>
        <v>0</v>
      </c>
      <c r="K28" s="2"/>
      <c r="L28" s="2">
        <f t="shared" si="6"/>
        <v>-855.88</v>
      </c>
      <c r="M28" s="2"/>
      <c r="N28" s="19">
        <f t="shared" si="7"/>
        <v>0</v>
      </c>
      <c r="O28" s="11"/>
      <c r="P28" s="2">
        <v>-32711.57</v>
      </c>
      <c r="Q28" s="2"/>
      <c r="R28" s="19">
        <f t="shared" si="8"/>
        <v>-1.0561123393894804E-2</v>
      </c>
      <c r="S28" s="2"/>
      <c r="T28" s="2"/>
      <c r="U28" s="2"/>
      <c r="V28" s="19">
        <f t="shared" si="9"/>
        <v>0</v>
      </c>
      <c r="W28" s="2"/>
      <c r="X28" s="2">
        <f t="shared" si="10"/>
        <v>-32711.57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2">
        <f>D12-D25</f>
        <v>285581.26</v>
      </c>
      <c r="E30" s="14"/>
      <c r="F30" s="20">
        <f>IF(D$12=0,0,D30/D$12)</f>
        <v>0.6688281037153474</v>
      </c>
      <c r="G30" s="14"/>
      <c r="H30" s="22">
        <f>H12-H25</f>
        <v>416600</v>
      </c>
      <c r="I30" s="14"/>
      <c r="J30" s="20">
        <f>IF(H$12=0,0,H30/H$12)</f>
        <v>0.70610169491525421</v>
      </c>
      <c r="K30" s="16"/>
      <c r="L30" s="22">
        <f>+D30-H30</f>
        <v>-131018.73999999999</v>
      </c>
      <c r="M30" s="16"/>
      <c r="N30" s="20">
        <f>IF(H30=0,0,L30/H30)</f>
        <v>-0.31449529524723951</v>
      </c>
      <c r="O30" s="28"/>
      <c r="P30" s="22">
        <f>P12-P25</f>
        <v>2081279.19</v>
      </c>
      <c r="Q30" s="14"/>
      <c r="R30" s="20">
        <f>IF(P$12=0,0,P30/P$12)</f>
        <v>0.67195326738323569</v>
      </c>
      <c r="S30" s="14"/>
      <c r="T30" s="22">
        <f>T12-T25</f>
        <v>2521009</v>
      </c>
      <c r="U30" s="14"/>
      <c r="V30" s="20">
        <f>IF(T$12=0,0,T30/T$12)</f>
        <v>0.68922604920690078</v>
      </c>
      <c r="W30" s="16"/>
      <c r="X30" s="22">
        <f>+P30-T30</f>
        <v>-439729.81000000006</v>
      </c>
      <c r="Y30" s="16"/>
      <c r="Z30" s="20">
        <f>IF(T30=0,0,X30/T30)</f>
        <v>-0.17442611668581906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1">
        <f>SUM(OSRRefD22x_0)</f>
        <v>476931.19000000006</v>
      </c>
      <c r="E32" s="21"/>
      <c r="F32" s="30">
        <f t="shared" ref="F32:F43" si="12">IF(D$12=0,0,D32/D$12)</f>
        <v>1.1169674908304701</v>
      </c>
      <c r="G32" s="21"/>
      <c r="H32" s="21">
        <f>SUM(OSRRefH22x_0)</f>
        <v>432344.38910088135</v>
      </c>
      <c r="I32" s="21"/>
      <c r="J32" s="30">
        <f t="shared" ref="J32:J43" si="13">IF(H$12=0,0,H32/H$12)</f>
        <v>0.73278710017098536</v>
      </c>
      <c r="K32" s="4"/>
      <c r="L32" s="21">
        <f t="shared" ref="L32:L43" si="14">+D32-H32</f>
        <v>44586.800899118709</v>
      </c>
      <c r="M32" s="4"/>
      <c r="N32" s="30">
        <f t="shared" ref="N32:N43" si="15">IF(H32=0,0,L32/H32)</f>
        <v>0.10312797395576936</v>
      </c>
      <c r="O32" s="10"/>
      <c r="P32" s="21">
        <f>SUM(OSRRefP22x_0)</f>
        <v>2870088.17</v>
      </c>
      <c r="Q32" s="21"/>
      <c r="R32" s="30">
        <f t="shared" ref="R32:R43" si="16">IF(P$12=0,0,P32/P$12)</f>
        <v>0.92662490105879147</v>
      </c>
      <c r="S32" s="21"/>
      <c r="T32" s="21">
        <f>SUM(OSRRefT22x_0)</f>
        <v>2769161.6441226946</v>
      </c>
      <c r="U32" s="21"/>
      <c r="V32" s="30">
        <f t="shared" ref="V32:V43" si="17">IF(T$12=0,0,T32/T$12)</f>
        <v>0.75706922886589079</v>
      </c>
      <c r="W32" s="4"/>
      <c r="X32" s="21">
        <f t="shared" ref="X32:X43" si="18">+P32-T32</f>
        <v>100926.52587730531</v>
      </c>
      <c r="Y32" s="4"/>
      <c r="Z32" s="30">
        <f t="shared" ref="Z32:Z43" si="19">IF(T32=0,0,X32/T32)</f>
        <v>3.6446599674494665E-2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66256.01999999999</v>
      </c>
      <c r="E33" s="1"/>
      <c r="F33" s="5">
        <f t="shared" si="12"/>
        <v>0.15517085475540701</v>
      </c>
      <c r="G33" s="1"/>
      <c r="H33" s="1">
        <f>SUM(OSRRefH22_0x_0)</f>
        <v>65752.262177804456</v>
      </c>
      <c r="I33" s="1"/>
      <c r="J33" s="5">
        <f t="shared" si="13"/>
        <v>0.11144451216577027</v>
      </c>
      <c r="K33" s="1"/>
      <c r="L33" s="1">
        <f t="shared" si="14"/>
        <v>503.75782219553366</v>
      </c>
      <c r="M33" s="1"/>
      <c r="N33" s="5">
        <f t="shared" si="15"/>
        <v>7.6614523289448705E-3</v>
      </c>
      <c r="O33" s="13"/>
      <c r="P33" s="1">
        <f>SUM(OSRRefP22_0x_0)</f>
        <v>406949.24</v>
      </c>
      <c r="Q33" s="1"/>
      <c r="R33" s="5">
        <f t="shared" si="16"/>
        <v>0.13138596339740682</v>
      </c>
      <c r="S33" s="1"/>
      <c r="T33" s="1">
        <f>SUM(OSRRefT22_0x_0)</f>
        <v>399603.04827269434</v>
      </c>
      <c r="U33" s="1"/>
      <c r="V33" s="5">
        <f t="shared" si="17"/>
        <v>0.10924865012858882</v>
      </c>
      <c r="W33" s="1"/>
      <c r="X33" s="1">
        <f t="shared" si="18"/>
        <v>7346.1917273056461</v>
      </c>
      <c r="Y33" s="1"/>
      <c r="Z33" s="5">
        <f t="shared" si="19"/>
        <v>1.8383722944707141E-2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10789</v>
      </c>
      <c r="E34" s="2"/>
      <c r="F34" s="7">
        <f t="shared" si="12"/>
        <v>2.5267716834728175E-2</v>
      </c>
      <c r="G34" s="2"/>
      <c r="H34" s="6">
        <v>8902.7819400475419</v>
      </c>
      <c r="I34" s="2"/>
      <c r="J34" s="7">
        <f t="shared" si="13"/>
        <v>1.5089460915334817E-2</v>
      </c>
      <c r="K34" s="2"/>
      <c r="L34" s="6">
        <f t="shared" si="14"/>
        <v>1886.2180599524581</v>
      </c>
      <c r="M34" s="2"/>
      <c r="N34" s="7">
        <f t="shared" si="15"/>
        <v>0.21186838817961495</v>
      </c>
      <c r="O34" s="11"/>
      <c r="P34" s="6">
        <v>80115.37999999999</v>
      </c>
      <c r="Q34" s="2"/>
      <c r="R34" s="7">
        <f t="shared" si="16"/>
        <v>2.5865723165496853E-2</v>
      </c>
      <c r="S34" s="2"/>
      <c r="T34" s="6">
        <v>66858.317022042014</v>
      </c>
      <c r="U34" s="2"/>
      <c r="V34" s="7">
        <f t="shared" si="17"/>
        <v>1.8278591507497395E-2</v>
      </c>
      <c r="W34" s="2"/>
      <c r="X34" s="6">
        <f t="shared" si="18"/>
        <v>13257.062977957976</v>
      </c>
      <c r="Y34" s="2"/>
      <c r="Z34" s="7">
        <f t="shared" si="19"/>
        <v>0.19828592116052449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10783.32</v>
      </c>
      <c r="E35" s="2"/>
      <c r="F35" s="7">
        <f t="shared" si="12"/>
        <v>2.5254414338517099E-2</v>
      </c>
      <c r="G35" s="2"/>
      <c r="H35" s="6">
        <v>7329.5470567138445</v>
      </c>
      <c r="I35" s="2"/>
      <c r="J35" s="7">
        <f t="shared" si="13"/>
        <v>1.2422961113074314E-2</v>
      </c>
      <c r="K35" s="2"/>
      <c r="L35" s="6">
        <f t="shared" si="14"/>
        <v>3453.7729432861552</v>
      </c>
      <c r="M35" s="2"/>
      <c r="N35" s="7">
        <f t="shared" si="15"/>
        <v>0.47121232956987552</v>
      </c>
      <c r="O35" s="11"/>
      <c r="P35" s="6">
        <v>37980.009999999995</v>
      </c>
      <c r="Q35" s="2"/>
      <c r="R35" s="7">
        <f t="shared" si="16"/>
        <v>1.2262070335094237E-2</v>
      </c>
      <c r="S35" s="2"/>
      <c r="T35" s="6">
        <v>50044.933509319992</v>
      </c>
      <c r="U35" s="2"/>
      <c r="V35" s="7">
        <f t="shared" si="17"/>
        <v>1.3681931244771699E-2</v>
      </c>
      <c r="W35" s="2"/>
      <c r="X35" s="6">
        <f t="shared" si="18"/>
        <v>-12064.923509319997</v>
      </c>
      <c r="Y35" s="2"/>
      <c r="Z35" s="7">
        <f t="shared" si="19"/>
        <v>-0.24108181714484878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23214.5</v>
      </c>
      <c r="E36" s="2"/>
      <c r="F36" s="7">
        <f t="shared" si="12"/>
        <v>5.4368098290832993E-2</v>
      </c>
      <c r="G36" s="2"/>
      <c r="H36" s="6">
        <v>20884.069230769237</v>
      </c>
      <c r="I36" s="2"/>
      <c r="J36" s="7">
        <f t="shared" si="13"/>
        <v>3.5396727509778368E-2</v>
      </c>
      <c r="K36" s="2"/>
      <c r="L36" s="6">
        <f t="shared" si="14"/>
        <v>2330.430769230763</v>
      </c>
      <c r="M36" s="2"/>
      <c r="N36" s="7">
        <f t="shared" si="15"/>
        <v>0.11158892184657467</v>
      </c>
      <c r="O36" s="11"/>
      <c r="P36" s="6">
        <v>128990.09999999999</v>
      </c>
      <c r="Q36" s="2"/>
      <c r="R36" s="7">
        <f t="shared" si="16"/>
        <v>4.164521490991812E-2</v>
      </c>
      <c r="S36" s="2"/>
      <c r="T36" s="6">
        <v>131165.64230769235</v>
      </c>
      <c r="U36" s="2"/>
      <c r="V36" s="7">
        <f t="shared" si="17"/>
        <v>3.5859759897491961E-2</v>
      </c>
      <c r="W36" s="2"/>
      <c r="X36" s="6">
        <f t="shared" si="18"/>
        <v>-2175.5423076923616</v>
      </c>
      <c r="Y36" s="2"/>
      <c r="Z36" s="7">
        <f t="shared" si="19"/>
        <v>-1.6586220822895896E-2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778.25</v>
      </c>
      <c r="E37" s="2"/>
      <c r="F37" s="7">
        <f t="shared" si="12"/>
        <v>1.8226527599061266E-3</v>
      </c>
      <c r="G37" s="2"/>
      <c r="H37" s="6">
        <v>527.21269812000003</v>
      </c>
      <c r="I37" s="2"/>
      <c r="J37" s="7">
        <f t="shared" si="13"/>
        <v>8.9358084427118654E-4</v>
      </c>
      <c r="K37" s="2"/>
      <c r="L37" s="6">
        <f t="shared" si="14"/>
        <v>251.03730187999997</v>
      </c>
      <c r="M37" s="2"/>
      <c r="N37" s="7">
        <f t="shared" si="15"/>
        <v>0.47615943769029029</v>
      </c>
      <c r="O37" s="11"/>
      <c r="P37" s="6">
        <v>3678.35</v>
      </c>
      <c r="Q37" s="2"/>
      <c r="R37" s="7">
        <f t="shared" si="16"/>
        <v>1.1875770021412288E-3</v>
      </c>
      <c r="S37" s="2"/>
      <c r="T37" s="6">
        <v>3591.1592116400002</v>
      </c>
      <c r="U37" s="2"/>
      <c r="V37" s="7">
        <f t="shared" si="17"/>
        <v>9.8179755626084855E-4</v>
      </c>
      <c r="W37" s="2"/>
      <c r="X37" s="6">
        <f t="shared" si="18"/>
        <v>87.190788359999715</v>
      </c>
      <c r="Y37" s="2"/>
      <c r="Z37" s="7">
        <f t="shared" si="19"/>
        <v>2.4279287890491962E-2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6762.88</v>
      </c>
      <c r="E38" s="2"/>
      <c r="F38" s="7">
        <f t="shared" si="12"/>
        <v>1.5838589009847664E-2</v>
      </c>
      <c r="G38" s="2"/>
      <c r="H38" s="6">
        <v>6790.4317276923139</v>
      </c>
      <c r="I38" s="2"/>
      <c r="J38" s="7">
        <f t="shared" si="13"/>
        <v>1.1509206318122566E-2</v>
      </c>
      <c r="K38" s="2"/>
      <c r="L38" s="6">
        <f t="shared" si="14"/>
        <v>-27.551727692313762</v>
      </c>
      <c r="M38" s="2"/>
      <c r="N38" s="7">
        <f t="shared" si="15"/>
        <v>-4.0574338712447439E-3</v>
      </c>
      <c r="O38" s="11"/>
      <c r="P38" s="6">
        <v>42308.88</v>
      </c>
      <c r="Q38" s="2"/>
      <c r="R38" s="7">
        <f t="shared" si="16"/>
        <v>1.3659671557723706E-2</v>
      </c>
      <c r="S38" s="2"/>
      <c r="T38" s="6">
        <v>44137.806230000031</v>
      </c>
      <c r="U38" s="2"/>
      <c r="V38" s="7">
        <f t="shared" si="17"/>
        <v>1.2066964381548282E-2</v>
      </c>
      <c r="W38" s="2"/>
      <c r="X38" s="6">
        <f t="shared" si="18"/>
        <v>-1828.9262300000337</v>
      </c>
      <c r="Y38" s="2"/>
      <c r="Z38" s="7">
        <f t="shared" si="19"/>
        <v>-4.1436727064992428E-2</v>
      </c>
    </row>
    <row r="39" spans="1:26" s="24" customFormat="1" hidden="1" outlineLevel="2" x14ac:dyDescent="0.25">
      <c r="A39" s="26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8000</v>
      </c>
      <c r="I39" s="2"/>
      <c r="J39" s="7">
        <f t="shared" si="13"/>
        <v>1.3559322033898305E-2</v>
      </c>
      <c r="K39" s="2"/>
      <c r="L39" s="6">
        <f t="shared" si="14"/>
        <v>-8000</v>
      </c>
      <c r="M39" s="2"/>
      <c r="N39" s="7">
        <f t="shared" si="15"/>
        <v>-1</v>
      </c>
      <c r="O39" s="11"/>
      <c r="P39" s="6"/>
      <c r="Q39" s="2"/>
      <c r="R39" s="7">
        <f t="shared" si="16"/>
        <v>0</v>
      </c>
      <c r="S39" s="2"/>
      <c r="T39" s="6">
        <v>16000</v>
      </c>
      <c r="U39" s="2"/>
      <c r="V39" s="7">
        <f t="shared" si="17"/>
        <v>4.3742869570518837E-3</v>
      </c>
      <c r="W39" s="2"/>
      <c r="X39" s="6">
        <f t="shared" si="18"/>
        <v>-16000</v>
      </c>
      <c r="Y39" s="2"/>
      <c r="Z39" s="7">
        <f t="shared" si="19"/>
        <v>-1</v>
      </c>
    </row>
    <row r="40" spans="1:26" s="24" customFormat="1" hidden="1" outlineLevel="2" x14ac:dyDescent="0.25">
      <c r="A40" s="26"/>
      <c r="B40" s="11" t="str">
        <f>CONCATENATE("          ", "6117", " - ", "RETIREMENT STAFF HOURLY")</f>
        <v xml:space="preserve">          6117 - RETIREMENT STAFF HOURLY</v>
      </c>
      <c r="C40" s="11"/>
      <c r="D40" s="6">
        <v>56</v>
      </c>
      <c r="E40" s="2"/>
      <c r="F40" s="7">
        <f t="shared" si="12"/>
        <v>1.3115137109507625E-4</v>
      </c>
      <c r="G40" s="2"/>
      <c r="H40" s="6"/>
      <c r="I40" s="2"/>
      <c r="J40" s="7">
        <f t="shared" si="13"/>
        <v>0</v>
      </c>
      <c r="K40" s="2"/>
      <c r="L40" s="6">
        <f t="shared" si="14"/>
        <v>56</v>
      </c>
      <c r="M40" s="2"/>
      <c r="N40" s="7">
        <f t="shared" si="15"/>
        <v>0</v>
      </c>
      <c r="O40" s="11"/>
      <c r="P40" s="6">
        <v>364</v>
      </c>
      <c r="Q40" s="2"/>
      <c r="R40" s="7">
        <f t="shared" si="16"/>
        <v>1.1751954783514546E-4</v>
      </c>
      <c r="S40" s="2"/>
      <c r="T40" s="6"/>
      <c r="U40" s="2"/>
      <c r="V40" s="7">
        <f t="shared" si="17"/>
        <v>0</v>
      </c>
      <c r="W40" s="2"/>
      <c r="X40" s="6">
        <f t="shared" si="18"/>
        <v>364</v>
      </c>
      <c r="Y40" s="2"/>
      <c r="Z40" s="7">
        <f t="shared" si="19"/>
        <v>0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6">
        <v>6258.93</v>
      </c>
      <c r="E41" s="2"/>
      <c r="F41" s="7">
        <f t="shared" si="12"/>
        <v>1.4658343769430458E-2</v>
      </c>
      <c r="G41" s="2"/>
      <c r="H41" s="6">
        <v>5154.5800076923042</v>
      </c>
      <c r="I41" s="2"/>
      <c r="J41" s="7">
        <f t="shared" si="13"/>
        <v>8.7365762842242442E-3</v>
      </c>
      <c r="K41" s="2"/>
      <c r="L41" s="6">
        <f t="shared" si="14"/>
        <v>1104.3499923076961</v>
      </c>
      <c r="M41" s="2"/>
      <c r="N41" s="7">
        <f t="shared" si="15"/>
        <v>0.21424635773615852</v>
      </c>
      <c r="O41" s="11"/>
      <c r="P41" s="6">
        <v>45171.65</v>
      </c>
      <c r="Q41" s="2"/>
      <c r="R41" s="7">
        <f t="shared" si="16"/>
        <v>1.4583933744416067E-2</v>
      </c>
      <c r="S41" s="2"/>
      <c r="T41" s="6">
        <v>33764.334649999983</v>
      </c>
      <c r="U41" s="2"/>
      <c r="V41" s="7">
        <f t="shared" si="17"/>
        <v>9.2309305420643691E-3</v>
      </c>
      <c r="W41" s="2"/>
      <c r="X41" s="6">
        <f t="shared" si="18"/>
        <v>11407.315350000019</v>
      </c>
      <c r="Y41" s="2"/>
      <c r="Z41" s="7">
        <f t="shared" si="19"/>
        <v>0.33785103329438848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6">
        <v>4772.6000000000004</v>
      </c>
      <c r="E42" s="2"/>
      <c r="F42" s="7">
        <f t="shared" si="12"/>
        <v>1.1177375601577874E-2</v>
      </c>
      <c r="G42" s="2"/>
      <c r="H42" s="6">
        <v>6438.6395167692262</v>
      </c>
      <c r="I42" s="2"/>
      <c r="J42" s="7">
        <f t="shared" si="13"/>
        <v>1.0912948333507163E-2</v>
      </c>
      <c r="K42" s="2"/>
      <c r="L42" s="6">
        <f t="shared" si="14"/>
        <v>-1666.0395167692259</v>
      </c>
      <c r="M42" s="2"/>
      <c r="N42" s="7">
        <f t="shared" si="15"/>
        <v>-0.25875645195387637</v>
      </c>
      <c r="O42" s="11"/>
      <c r="P42" s="6">
        <v>52686.720000000001</v>
      </c>
      <c r="Q42" s="2"/>
      <c r="R42" s="7">
        <f t="shared" si="16"/>
        <v>1.7010218437683834E-2</v>
      </c>
      <c r="S42" s="2"/>
      <c r="T42" s="6">
        <v>43690.855341999995</v>
      </c>
      <c r="U42" s="2"/>
      <c r="V42" s="7">
        <f t="shared" si="17"/>
        <v>1.194477116655945E-2</v>
      </c>
      <c r="W42" s="2"/>
      <c r="X42" s="6">
        <f t="shared" si="18"/>
        <v>8995.8646580000059</v>
      </c>
      <c r="Y42" s="2"/>
      <c r="Z42" s="7">
        <f t="shared" si="19"/>
        <v>0.20589811271907707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6">
        <v>2840.54</v>
      </c>
      <c r="E43" s="2"/>
      <c r="F43" s="7">
        <f t="shared" si="12"/>
        <v>6.6525127794715691E-3</v>
      </c>
      <c r="G43" s="2"/>
      <c r="H43" s="6">
        <v>1725</v>
      </c>
      <c r="I43" s="2"/>
      <c r="J43" s="7">
        <f t="shared" si="13"/>
        <v>2.9237288135593219E-3</v>
      </c>
      <c r="K43" s="2"/>
      <c r="L43" s="6">
        <f t="shared" si="14"/>
        <v>1115.54</v>
      </c>
      <c r="M43" s="2"/>
      <c r="N43" s="7">
        <f t="shared" si="15"/>
        <v>0.64668985507246379</v>
      </c>
      <c r="O43" s="11"/>
      <c r="P43" s="6">
        <v>15654.150000000001</v>
      </c>
      <c r="Q43" s="2"/>
      <c r="R43" s="7">
        <f t="shared" si="16"/>
        <v>5.0540346970976441E-3</v>
      </c>
      <c r="S43" s="2"/>
      <c r="T43" s="6">
        <v>10350</v>
      </c>
      <c r="U43" s="2"/>
      <c r="V43" s="7">
        <f t="shared" si="17"/>
        <v>2.8296168753429371E-3</v>
      </c>
      <c r="W43" s="2"/>
      <c r="X43" s="6">
        <f t="shared" si="18"/>
        <v>5304.1500000000015</v>
      </c>
      <c r="Y43" s="2"/>
      <c r="Z43" s="7">
        <f t="shared" si="19"/>
        <v>0.51247826086956538</v>
      </c>
    </row>
    <row r="44" spans="1:26" s="25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189034.99000000002</v>
      </c>
      <c r="E44" s="1"/>
      <c r="F44" s="5">
        <f t="shared" ref="F44:F54" si="20">IF(D$12=0,0,D44/D$12)</f>
        <v>0.44271782363292911</v>
      </c>
      <c r="G44" s="1"/>
      <c r="H44" s="1">
        <f>SUM(OSRRefH22_1x_0)</f>
        <v>188163.96692307695</v>
      </c>
      <c r="I44" s="1"/>
      <c r="J44" s="5">
        <f t="shared" ref="J44:J54" si="21">IF(H$12=0,0,H44/H$12)</f>
        <v>0.31892197783572362</v>
      </c>
      <c r="K44" s="1"/>
      <c r="L44" s="1">
        <f t="shared" ref="L44:L54" si="22">+D44-H44</f>
        <v>871.02307692306931</v>
      </c>
      <c r="M44" s="1"/>
      <c r="N44" s="5">
        <f t="shared" ref="N44:N54" si="23">IF(H44=0,0,L44/H44)</f>
        <v>4.6290641676317926E-3</v>
      </c>
      <c r="O44" s="13"/>
      <c r="P44" s="1">
        <f>SUM(OSRRefP22_1x_0)</f>
        <v>1292102.8299999998</v>
      </c>
      <c r="Q44" s="1"/>
      <c r="R44" s="5">
        <f t="shared" ref="R44:R54" si="24">IF(P$12=0,0,P44/P$12)</f>
        <v>0.41716302290690055</v>
      </c>
      <c r="S44" s="1"/>
      <c r="T44" s="1">
        <f>SUM(OSRRefT22_1x_0)</f>
        <v>1283378.0958500002</v>
      </c>
      <c r="U44" s="1"/>
      <c r="V44" s="5">
        <f t="shared" ref="V44:V54" si="25">IF(T$12=0,0,T44/T$12)</f>
        <v>0.35086650410267112</v>
      </c>
      <c r="W44" s="1"/>
      <c r="X44" s="1">
        <f t="shared" ref="X44:X54" si="26">+P44-T44</f>
        <v>8724.7341499996837</v>
      </c>
      <c r="Y44" s="1"/>
      <c r="Z44" s="5">
        <f t="shared" ref="Z44:Z54" si="27">IF(T44=0,0,X44/T44)</f>
        <v>6.7982570204466238E-3</v>
      </c>
    </row>
    <row r="45" spans="1:26" s="24" customFormat="1" hidden="1" outlineLevel="2" x14ac:dyDescent="0.25">
      <c r="A45" s="26"/>
      <c r="B45" s="11" t="str">
        <f>CONCATENATE("          ", "6001", " - ", "ADMINISTRATIVE SALARIES")</f>
        <v xml:space="preserve">          6001 - ADMINISTRATIVE SALARIES</v>
      </c>
      <c r="C45" s="11"/>
      <c r="D45" s="6">
        <v>17492.32</v>
      </c>
      <c r="E45" s="2"/>
      <c r="F45" s="7">
        <f t="shared" si="20"/>
        <v>4.0966816993461143E-2</v>
      </c>
      <c r="G45" s="2"/>
      <c r="H45" s="6">
        <v>20213.021076923069</v>
      </c>
      <c r="I45" s="2"/>
      <c r="J45" s="7">
        <f t="shared" si="21"/>
        <v>3.4259357757496729E-2</v>
      </c>
      <c r="K45" s="2"/>
      <c r="L45" s="6">
        <f t="shared" si="22"/>
        <v>-2720.7010769230692</v>
      </c>
      <c r="M45" s="2"/>
      <c r="N45" s="7">
        <f t="shared" si="23"/>
        <v>-0.13460140701229747</v>
      </c>
      <c r="O45" s="11"/>
      <c r="P45" s="6">
        <v>104234.41</v>
      </c>
      <c r="Q45" s="2"/>
      <c r="R45" s="7">
        <f t="shared" si="24"/>
        <v>3.3652694318854849E-2</v>
      </c>
      <c r="S45" s="2"/>
      <c r="T45" s="6">
        <v>131384.63699999996</v>
      </c>
      <c r="U45" s="2"/>
      <c r="V45" s="7">
        <f t="shared" si="25"/>
        <v>3.5919631499131008E-2</v>
      </c>
      <c r="W45" s="2"/>
      <c r="X45" s="6">
        <f t="shared" si="26"/>
        <v>-27150.226999999955</v>
      </c>
      <c r="Y45" s="2"/>
      <c r="Z45" s="7">
        <f t="shared" si="27"/>
        <v>-0.20664689281746057</v>
      </c>
    </row>
    <row r="46" spans="1:26" s="24" customFormat="1" hidden="1" outlineLevel="2" x14ac:dyDescent="0.25">
      <c r="A46" s="26"/>
      <c r="B46" s="11" t="str">
        <f>CONCATENATE("          ", "6002", " - ", "STAFF SALARIES")</f>
        <v xml:space="preserve">          6002 - STAFF SALARIES</v>
      </c>
      <c r="C46" s="11"/>
      <c r="D46" s="6">
        <v>59259.250000000007</v>
      </c>
      <c r="E46" s="2"/>
      <c r="F46" s="7">
        <f t="shared" si="20"/>
        <v>0.13878449799224818</v>
      </c>
      <c r="G46" s="2"/>
      <c r="H46" s="6">
        <v>51367.801646153872</v>
      </c>
      <c r="I46" s="2"/>
      <c r="J46" s="7">
        <f t="shared" si="21"/>
        <v>8.7064070586701472E-2</v>
      </c>
      <c r="K46" s="2"/>
      <c r="L46" s="6">
        <f t="shared" si="22"/>
        <v>7891.4483538461354</v>
      </c>
      <c r="M46" s="2"/>
      <c r="N46" s="7">
        <f t="shared" si="23"/>
        <v>0.15362635933315247</v>
      </c>
      <c r="O46" s="11"/>
      <c r="P46" s="6">
        <v>360124.69</v>
      </c>
      <c r="Q46" s="2"/>
      <c r="R46" s="7">
        <f t="shared" si="24"/>
        <v>0.116268381134813</v>
      </c>
      <c r="S46" s="2"/>
      <c r="T46" s="6">
        <v>333890.71070000005</v>
      </c>
      <c r="U46" s="2"/>
      <c r="V46" s="7">
        <f t="shared" si="25"/>
        <v>9.1283361305987132E-2</v>
      </c>
      <c r="W46" s="2"/>
      <c r="X46" s="6">
        <f t="shared" si="26"/>
        <v>26233.979299999948</v>
      </c>
      <c r="Y46" s="2"/>
      <c r="Z46" s="7">
        <f t="shared" si="27"/>
        <v>7.8570557548607908E-2</v>
      </c>
    </row>
    <row r="47" spans="1:26" s="24" customFormat="1" hidden="1" outlineLevel="2" x14ac:dyDescent="0.25">
      <c r="A47" s="26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6"/>
      <c r="B48" s="11" t="str">
        <f>CONCATENATE("          ", "6004", " - ", "STAFF HOURLY")</f>
        <v xml:space="preserve">          6004 - STAFF HOURLY</v>
      </c>
      <c r="C48" s="11"/>
      <c r="D48" s="6">
        <v>18447.240000000002</v>
      </c>
      <c r="E48" s="2"/>
      <c r="F48" s="7">
        <f t="shared" si="20"/>
        <v>4.3203228909284547E-2</v>
      </c>
      <c r="G48" s="2"/>
      <c r="H48" s="6">
        <v>34183.694199999998</v>
      </c>
      <c r="I48" s="2"/>
      <c r="J48" s="7">
        <f t="shared" si="21"/>
        <v>5.7938464745762711E-2</v>
      </c>
      <c r="K48" s="2"/>
      <c r="L48" s="6">
        <f t="shared" si="22"/>
        <v>-15736.454199999996</v>
      </c>
      <c r="M48" s="2"/>
      <c r="N48" s="7">
        <f t="shared" si="23"/>
        <v>-0.46034972428462684</v>
      </c>
      <c r="O48" s="11"/>
      <c r="P48" s="6">
        <v>121837.99</v>
      </c>
      <c r="Q48" s="2"/>
      <c r="R48" s="7">
        <f t="shared" si="24"/>
        <v>3.9336113994348831E-2</v>
      </c>
      <c r="S48" s="2"/>
      <c r="T48" s="6">
        <v>296291.27065000002</v>
      </c>
      <c r="U48" s="2"/>
      <c r="V48" s="7">
        <f t="shared" si="25"/>
        <v>8.1003940043289049E-2</v>
      </c>
      <c r="W48" s="2"/>
      <c r="X48" s="6">
        <f t="shared" si="26"/>
        <v>-174453.28065000003</v>
      </c>
      <c r="Y48" s="2"/>
      <c r="Z48" s="7">
        <f t="shared" si="27"/>
        <v>-0.5887898089852146</v>
      </c>
    </row>
    <row r="49" spans="1:26" s="24" customFormat="1" hidden="1" outlineLevel="2" x14ac:dyDescent="0.25">
      <c r="A49" s="26"/>
      <c r="B49" s="11" t="str">
        <f>CONCATENATE("          ", "6005", " - ", "TEMPORARY WAGES-HOURLY")</f>
        <v xml:space="preserve">          6005 - TEMPORARY WAGES-HOURLY</v>
      </c>
      <c r="C49" s="11"/>
      <c r="D49" s="6">
        <v>39760.07</v>
      </c>
      <c r="E49" s="2"/>
      <c r="F49" s="7">
        <f t="shared" si="20"/>
        <v>9.311763741671801E-2</v>
      </c>
      <c r="G49" s="2"/>
      <c r="H49" s="6">
        <v>28532.325000000001</v>
      </c>
      <c r="I49" s="2"/>
      <c r="J49" s="7">
        <f t="shared" si="21"/>
        <v>4.8359872881355931E-2</v>
      </c>
      <c r="K49" s="2"/>
      <c r="L49" s="6">
        <f t="shared" si="22"/>
        <v>11227.744999999999</v>
      </c>
      <c r="M49" s="2"/>
      <c r="N49" s="7">
        <f t="shared" si="23"/>
        <v>0.39350964213396555</v>
      </c>
      <c r="O49" s="11"/>
      <c r="P49" s="6">
        <v>275689.56</v>
      </c>
      <c r="Q49" s="2"/>
      <c r="R49" s="7">
        <f t="shared" si="24"/>
        <v>8.900800119250056E-2</v>
      </c>
      <c r="S49" s="2"/>
      <c r="T49" s="6">
        <v>173680.28999999998</v>
      </c>
      <c r="U49" s="2"/>
      <c r="V49" s="7">
        <f t="shared" si="25"/>
        <v>4.7482964202749285E-2</v>
      </c>
      <c r="W49" s="2"/>
      <c r="X49" s="6">
        <f t="shared" si="26"/>
        <v>102009.27000000002</v>
      </c>
      <c r="Y49" s="2"/>
      <c r="Z49" s="7">
        <f t="shared" si="27"/>
        <v>0.58733935785114144</v>
      </c>
    </row>
    <row r="50" spans="1:26" s="24" customFormat="1" hidden="1" outlineLevel="2" x14ac:dyDescent="0.25">
      <c r="A50" s="26"/>
      <c r="B50" s="11" t="str">
        <f>CONCATENATE("          ", "6006", " - ", "TEMPORARY PART TIME")</f>
        <v xml:space="preserve">          6006 - TEMPORARY PART TIME</v>
      </c>
      <c r="C50" s="11"/>
      <c r="D50" s="6">
        <v>568.75</v>
      </c>
      <c r="E50" s="2"/>
      <c r="F50" s="7">
        <f t="shared" si="20"/>
        <v>1.3320061126843681E-3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568.75</v>
      </c>
      <c r="M50" s="2"/>
      <c r="N50" s="7">
        <f t="shared" si="23"/>
        <v>0</v>
      </c>
      <c r="O50" s="11"/>
      <c r="P50" s="6">
        <v>10642.65</v>
      </c>
      <c r="Q50" s="2"/>
      <c r="R50" s="7">
        <f t="shared" si="24"/>
        <v>3.4360423510101943E-3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10642.65</v>
      </c>
      <c r="Y50" s="2"/>
      <c r="Z50" s="7">
        <f t="shared" si="27"/>
        <v>0</v>
      </c>
    </row>
    <row r="51" spans="1:26" s="24" customFormat="1" hidden="1" outlineLevel="2" x14ac:dyDescent="0.25">
      <c r="A51" s="26"/>
      <c r="B51" s="11" t="str">
        <f>CONCATENATE("          ", "6007", " - ", "STUDENT HOURLY")</f>
        <v xml:space="preserve">          6007 - STUDENT HOURLY</v>
      </c>
      <c r="C51" s="11"/>
      <c r="D51" s="6">
        <v>50087.950000000004</v>
      </c>
      <c r="E51" s="2"/>
      <c r="F51" s="7">
        <f t="shared" si="20"/>
        <v>0.11730541639002902</v>
      </c>
      <c r="G51" s="2"/>
      <c r="H51" s="6">
        <v>2445</v>
      </c>
      <c r="I51" s="2"/>
      <c r="J51" s="7">
        <f t="shared" si="21"/>
        <v>4.1440677966101697E-3</v>
      </c>
      <c r="K51" s="2"/>
      <c r="L51" s="6">
        <f t="shared" si="22"/>
        <v>47642.950000000004</v>
      </c>
      <c r="M51" s="2"/>
      <c r="N51" s="7">
        <f t="shared" si="23"/>
        <v>19.485869120654399</v>
      </c>
      <c r="O51" s="11"/>
      <c r="P51" s="6">
        <v>398062.86</v>
      </c>
      <c r="Q51" s="2"/>
      <c r="R51" s="7">
        <f t="shared" si="24"/>
        <v>0.12851694317902421</v>
      </c>
      <c r="S51" s="2"/>
      <c r="T51" s="6">
        <v>49668.800000000003</v>
      </c>
      <c r="U51" s="2"/>
      <c r="V51" s="7">
        <f t="shared" si="25"/>
        <v>1.3579099000776163E-2</v>
      </c>
      <c r="W51" s="2"/>
      <c r="X51" s="6">
        <f t="shared" si="26"/>
        <v>348394.06</v>
      </c>
      <c r="Y51" s="2"/>
      <c r="Z51" s="7">
        <f t="shared" si="27"/>
        <v>7.0143442160873626</v>
      </c>
    </row>
    <row r="52" spans="1:26" s="24" customFormat="1" hidden="1" outlineLevel="2" x14ac:dyDescent="0.25">
      <c r="A52" s="26"/>
      <c r="B52" s="11" t="str">
        <f>CONCATENATE("          ", "6008", " - ", "STUDENT HOURLY-FICA EXEMPT")</f>
        <v xml:space="preserve">          6008 - STUDENT HOURLY-FICA EXEMPT</v>
      </c>
      <c r="C52" s="11"/>
      <c r="D52" s="6">
        <v>3419.41</v>
      </c>
      <c r="E52" s="2"/>
      <c r="F52" s="7">
        <f t="shared" si="20"/>
        <v>8.0082198185038329E-3</v>
      </c>
      <c r="G52" s="2"/>
      <c r="H52" s="6">
        <v>51422.125</v>
      </c>
      <c r="I52" s="2"/>
      <c r="J52" s="7">
        <f t="shared" si="21"/>
        <v>8.7156144067796607E-2</v>
      </c>
      <c r="K52" s="2"/>
      <c r="L52" s="6">
        <f t="shared" si="22"/>
        <v>-48002.714999999997</v>
      </c>
      <c r="M52" s="2"/>
      <c r="N52" s="7">
        <f t="shared" si="23"/>
        <v>-0.93350313702516174</v>
      </c>
      <c r="O52" s="11"/>
      <c r="P52" s="6">
        <v>21510.670000000002</v>
      </c>
      <c r="Q52" s="2"/>
      <c r="R52" s="7">
        <f t="shared" si="24"/>
        <v>6.9448467363489794E-3</v>
      </c>
      <c r="S52" s="2"/>
      <c r="T52" s="6">
        <v>298462.38750000001</v>
      </c>
      <c r="U52" s="2"/>
      <c r="V52" s="7">
        <f t="shared" si="25"/>
        <v>8.1597508050738454E-2</v>
      </c>
      <c r="W52" s="2"/>
      <c r="X52" s="6">
        <f t="shared" si="26"/>
        <v>-276951.71750000003</v>
      </c>
      <c r="Y52" s="2"/>
      <c r="Z52" s="7">
        <f t="shared" si="27"/>
        <v>-0.92792837254912064</v>
      </c>
    </row>
    <row r="53" spans="1:26" s="24" customFormat="1" hidden="1" outlineLevel="2" x14ac:dyDescent="0.25">
      <c r="A53" s="26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5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2704.43</v>
      </c>
      <c r="E55" s="1"/>
      <c r="F55" s="5">
        <f t="shared" ref="F55:F65" si="28">IF(D$12=0,0,D55/D$12)</f>
        <v>6.3337446880474477E-3</v>
      </c>
      <c r="G55" s="1"/>
      <c r="H55" s="1">
        <f>SUM(OSRRefH22_2x_0)</f>
        <v>1650</v>
      </c>
      <c r="I55" s="1"/>
      <c r="J55" s="5">
        <f t="shared" ref="J55:J65" si="29">IF(H$12=0,0,H55/H$12)</f>
        <v>2.7966101694915256E-3</v>
      </c>
      <c r="K55" s="1"/>
      <c r="L55" s="1">
        <f t="shared" ref="L55:L65" si="30">+D55-H55</f>
        <v>1054.4299999999998</v>
      </c>
      <c r="M55" s="1"/>
      <c r="N55" s="5">
        <f t="shared" ref="N55:N65" si="31">IF(H55=0,0,L55/H55)</f>
        <v>0.63904848484848475</v>
      </c>
      <c r="O55" s="13"/>
      <c r="P55" s="1">
        <f>SUM(OSRRefP22_2x_0)</f>
        <v>19641.43</v>
      </c>
      <c r="Q55" s="1"/>
      <c r="R55" s="5">
        <f t="shared" ref="R55:R65" si="32">IF(P$12=0,0,P55/P$12)</f>
        <v>6.3413515726254421E-3</v>
      </c>
      <c r="S55" s="1"/>
      <c r="T55" s="1">
        <f>SUM(OSRRefT22_2x_0)</f>
        <v>14015</v>
      </c>
      <c r="U55" s="1"/>
      <c r="V55" s="5">
        <f t="shared" ref="V55:V65" si="33">IF(T$12=0,0,T55/T$12)</f>
        <v>3.8316019814426342E-3</v>
      </c>
      <c r="W55" s="1"/>
      <c r="X55" s="1">
        <f t="shared" ref="X55:X65" si="34">+P55-T55</f>
        <v>5626.43</v>
      </c>
      <c r="Y55" s="1"/>
      <c r="Z55" s="5">
        <f t="shared" ref="Z55:Z65" si="35">IF(T55=0,0,X55/T55)</f>
        <v>0.40145772386728507</v>
      </c>
    </row>
    <row r="56" spans="1:26" s="24" customFormat="1" hidden="1" outlineLevel="2" x14ac:dyDescent="0.25">
      <c r="A56" s="26"/>
      <c r="B56" s="11" t="str">
        <f>CONCATENATE("          ", "6362", " - ", "ADVERTISING EXPENSE")</f>
        <v xml:space="preserve">          6362 - ADVERTISING EXPENSE</v>
      </c>
      <c r="C56" s="11"/>
      <c r="D56" s="6">
        <v>2704.43</v>
      </c>
      <c r="E56" s="2"/>
      <c r="F56" s="7">
        <f t="shared" si="28"/>
        <v>6.3337446880474477E-3</v>
      </c>
      <c r="G56" s="2"/>
      <c r="H56" s="6">
        <v>1650</v>
      </c>
      <c r="I56" s="2"/>
      <c r="J56" s="7">
        <f t="shared" si="29"/>
        <v>2.7966101694915256E-3</v>
      </c>
      <c r="K56" s="2"/>
      <c r="L56" s="6">
        <f t="shared" si="30"/>
        <v>1054.4299999999998</v>
      </c>
      <c r="M56" s="2"/>
      <c r="N56" s="7">
        <f t="shared" si="31"/>
        <v>0.63904848484848475</v>
      </c>
      <c r="O56" s="11"/>
      <c r="P56" s="6">
        <v>19641.43</v>
      </c>
      <c r="Q56" s="2"/>
      <c r="R56" s="7">
        <f t="shared" si="32"/>
        <v>6.3413515726254421E-3</v>
      </c>
      <c r="S56" s="2"/>
      <c r="T56" s="6">
        <v>14015</v>
      </c>
      <c r="U56" s="2"/>
      <c r="V56" s="7">
        <f t="shared" si="33"/>
        <v>3.8316019814426342E-3</v>
      </c>
      <c r="W56" s="2"/>
      <c r="X56" s="6">
        <f t="shared" si="34"/>
        <v>5626.43</v>
      </c>
      <c r="Y56" s="2"/>
      <c r="Z56" s="7">
        <f t="shared" si="35"/>
        <v>0.40145772386728507</v>
      </c>
    </row>
    <row r="57" spans="1:26" s="25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-70.819999999999993</v>
      </c>
      <c r="E57" s="1"/>
      <c r="F57" s="5">
        <f t="shared" si="28"/>
        <v>-1.6585964465988035E-4</v>
      </c>
      <c r="G57" s="1"/>
      <c r="H57" s="1">
        <f>SUM(OSRRefH22_3x_0)</f>
        <v>144</v>
      </c>
      <c r="I57" s="1"/>
      <c r="J57" s="5">
        <f t="shared" si="29"/>
        <v>2.440677966101695E-4</v>
      </c>
      <c r="K57" s="1"/>
      <c r="L57" s="1">
        <f t="shared" si="30"/>
        <v>-214.82</v>
      </c>
      <c r="M57" s="1"/>
      <c r="N57" s="5">
        <f t="shared" si="31"/>
        <v>-1.4918055555555556</v>
      </c>
      <c r="O57" s="13"/>
      <c r="P57" s="1">
        <f>SUM(OSRRefP22_3x_0)</f>
        <v>-92.05</v>
      </c>
      <c r="Q57" s="1"/>
      <c r="R57" s="5">
        <f t="shared" si="32"/>
        <v>-2.9718885654464669E-5</v>
      </c>
      <c r="S57" s="1"/>
      <c r="T57" s="1">
        <f>SUM(OSRRefT22_3x_0)</f>
        <v>844</v>
      </c>
      <c r="U57" s="1"/>
      <c r="V57" s="5">
        <f t="shared" si="33"/>
        <v>2.3074363698448685E-4</v>
      </c>
      <c r="W57" s="1"/>
      <c r="X57" s="1">
        <f t="shared" si="34"/>
        <v>-936.05</v>
      </c>
      <c r="Y57" s="1"/>
      <c r="Z57" s="5">
        <f t="shared" si="35"/>
        <v>-1.1090639810426539</v>
      </c>
    </row>
    <row r="58" spans="1:26" s="24" customFormat="1" hidden="1" outlineLevel="2" x14ac:dyDescent="0.25">
      <c r="A58" s="26"/>
      <c r="B58" s="11" t="str">
        <f>CONCATENATE("          ", "6272", " - ", "CASH (OVER/SHORT)")</f>
        <v xml:space="preserve">          6272 - CASH (OVER/SHORT)</v>
      </c>
      <c r="C58" s="11"/>
      <c r="D58" s="6">
        <v>-70.819999999999993</v>
      </c>
      <c r="E58" s="2"/>
      <c r="F58" s="7">
        <f t="shared" si="28"/>
        <v>-1.6585964465988035E-4</v>
      </c>
      <c r="G58" s="2"/>
      <c r="H58" s="6">
        <v>144</v>
      </c>
      <c r="I58" s="2"/>
      <c r="J58" s="7">
        <f t="shared" si="29"/>
        <v>2.440677966101695E-4</v>
      </c>
      <c r="K58" s="2"/>
      <c r="L58" s="6">
        <f t="shared" si="30"/>
        <v>-214.82</v>
      </c>
      <c r="M58" s="2"/>
      <c r="N58" s="7">
        <f t="shared" si="31"/>
        <v>-1.4918055555555556</v>
      </c>
      <c r="O58" s="11"/>
      <c r="P58" s="6">
        <v>-92.05</v>
      </c>
      <c r="Q58" s="2"/>
      <c r="R58" s="7">
        <f t="shared" si="32"/>
        <v>-2.9718885654464669E-5</v>
      </c>
      <c r="S58" s="2"/>
      <c r="T58" s="6">
        <v>844</v>
      </c>
      <c r="U58" s="2"/>
      <c r="V58" s="7">
        <f t="shared" si="33"/>
        <v>2.3074363698448685E-4</v>
      </c>
      <c r="W58" s="2"/>
      <c r="X58" s="6">
        <f t="shared" si="34"/>
        <v>-936.05</v>
      </c>
      <c r="Y58" s="2"/>
      <c r="Z58" s="7">
        <f t="shared" si="35"/>
        <v>-1.1090639810426539</v>
      </c>
    </row>
    <row r="59" spans="1:26" s="25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24884</v>
      </c>
      <c r="E59" s="1"/>
      <c r="F59" s="5">
        <f t="shared" si="28"/>
        <v>5.8278048541604954E-2</v>
      </c>
      <c r="G59" s="1"/>
      <c r="H59" s="1">
        <f>SUM(OSRRefH22_4x_0)</f>
        <v>8080</v>
      </c>
      <c r="I59" s="1"/>
      <c r="J59" s="5">
        <f t="shared" si="29"/>
        <v>1.3694915254237288E-2</v>
      </c>
      <c r="K59" s="1"/>
      <c r="L59" s="1">
        <f t="shared" si="30"/>
        <v>16804</v>
      </c>
      <c r="M59" s="1"/>
      <c r="N59" s="5">
        <f t="shared" si="31"/>
        <v>2.0797029702970296</v>
      </c>
      <c r="O59" s="13"/>
      <c r="P59" s="1">
        <f>SUM(OSRRefP22_4x_0)</f>
        <v>103411.8</v>
      </c>
      <c r="Q59" s="1"/>
      <c r="R59" s="5">
        <f t="shared" si="32"/>
        <v>3.3387109826424441E-2</v>
      </c>
      <c r="S59" s="1"/>
      <c r="T59" s="1">
        <f>SUM(OSRRefT22_4x_0)</f>
        <v>60278</v>
      </c>
      <c r="U59" s="1"/>
      <c r="V59" s="5">
        <f t="shared" si="33"/>
        <v>1.647957932482334E-2</v>
      </c>
      <c r="W59" s="1"/>
      <c r="X59" s="1">
        <f t="shared" si="34"/>
        <v>43133.8</v>
      </c>
      <c r="Y59" s="1"/>
      <c r="Z59" s="5">
        <f t="shared" si="35"/>
        <v>0.7155811407146887</v>
      </c>
    </row>
    <row r="60" spans="1:26" s="24" customFormat="1" hidden="1" outlineLevel="2" x14ac:dyDescent="0.25">
      <c r="A60" s="26"/>
      <c r="B60" s="11" t="str">
        <f>CONCATENATE("          ", "6381", " - ", "BANK/CREDIT CARD FEES")</f>
        <v xml:space="preserve">          6381 - BANK/CREDIT CARD FEES</v>
      </c>
      <c r="C60" s="11"/>
      <c r="D60" s="6">
        <v>24884</v>
      </c>
      <c r="E60" s="2"/>
      <c r="F60" s="7">
        <f t="shared" si="28"/>
        <v>5.8278048541604954E-2</v>
      </c>
      <c r="G60" s="2"/>
      <c r="H60" s="6">
        <v>8080</v>
      </c>
      <c r="I60" s="2"/>
      <c r="J60" s="7">
        <f t="shared" si="29"/>
        <v>1.3694915254237288E-2</v>
      </c>
      <c r="K60" s="2"/>
      <c r="L60" s="6">
        <f t="shared" si="30"/>
        <v>16804</v>
      </c>
      <c r="M60" s="2"/>
      <c r="N60" s="7">
        <f t="shared" si="31"/>
        <v>2.0797029702970296</v>
      </c>
      <c r="O60" s="11"/>
      <c r="P60" s="6">
        <v>103411.8</v>
      </c>
      <c r="Q60" s="2"/>
      <c r="R60" s="7">
        <f t="shared" si="32"/>
        <v>3.3387109826424441E-2</v>
      </c>
      <c r="S60" s="2"/>
      <c r="T60" s="6">
        <v>60278</v>
      </c>
      <c r="U60" s="2"/>
      <c r="V60" s="7">
        <f t="shared" si="33"/>
        <v>1.647957932482334E-2</v>
      </c>
      <c r="W60" s="2"/>
      <c r="X60" s="6">
        <f t="shared" si="34"/>
        <v>43133.8</v>
      </c>
      <c r="Y60" s="2"/>
      <c r="Z60" s="7">
        <f t="shared" si="35"/>
        <v>0.7155811407146887</v>
      </c>
    </row>
    <row r="61" spans="1:26" s="25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40745.619999999995</v>
      </c>
      <c r="E61" s="1"/>
      <c r="F61" s="5">
        <f t="shared" si="28"/>
        <v>9.5425784448552861E-2</v>
      </c>
      <c r="G61" s="1"/>
      <c r="H61" s="1">
        <f>SUM(OSRRefH22_5x_0)</f>
        <v>44088</v>
      </c>
      <c r="I61" s="1"/>
      <c r="J61" s="5">
        <f t="shared" si="29"/>
        <v>7.4725423728813564E-2</v>
      </c>
      <c r="K61" s="1"/>
      <c r="L61" s="1">
        <f t="shared" si="30"/>
        <v>-3342.3800000000047</v>
      </c>
      <c r="M61" s="1"/>
      <c r="N61" s="5">
        <f t="shared" si="31"/>
        <v>-7.5811558700780365E-2</v>
      </c>
      <c r="O61" s="13"/>
      <c r="P61" s="1">
        <f>SUM(OSRRefP22_5x_0)</f>
        <v>238600.87</v>
      </c>
      <c r="Q61" s="1"/>
      <c r="R61" s="5">
        <f t="shared" si="32"/>
        <v>7.7033698778770116E-2</v>
      </c>
      <c r="S61" s="1"/>
      <c r="T61" s="1">
        <f>SUM(OSRRefT22_5x_0)</f>
        <v>251726</v>
      </c>
      <c r="U61" s="1"/>
      <c r="V61" s="5">
        <f t="shared" si="33"/>
        <v>6.8820109909427649E-2</v>
      </c>
      <c r="W61" s="1"/>
      <c r="X61" s="1">
        <f t="shared" si="34"/>
        <v>-13125.130000000005</v>
      </c>
      <c r="Y61" s="1"/>
      <c r="Z61" s="5">
        <f t="shared" si="35"/>
        <v>-5.2140541700102509E-2</v>
      </c>
    </row>
    <row r="62" spans="1:26" s="24" customFormat="1" hidden="1" outlineLevel="2" x14ac:dyDescent="0.25">
      <c r="A62" s="26"/>
      <c r="B62" s="11" t="str">
        <f>CONCATENATE("          ", "6321", " - ", "BUILDING DEPRECIATION")</f>
        <v xml:space="preserve">          6321 - BUILDING DEPRECIATION</v>
      </c>
      <c r="C62" s="11"/>
      <c r="D62" s="6">
        <v>24042.959999999999</v>
      </c>
      <c r="E62" s="2"/>
      <c r="F62" s="7">
        <f t="shared" si="28"/>
        <v>5.6308342306858473E-2</v>
      </c>
      <c r="G62" s="2"/>
      <c r="H62" s="6">
        <v>23037</v>
      </c>
      <c r="I62" s="2"/>
      <c r="J62" s="7">
        <f t="shared" si="29"/>
        <v>3.9045762711864405E-2</v>
      </c>
      <c r="K62" s="2"/>
      <c r="L62" s="6">
        <f t="shared" si="30"/>
        <v>1005.9599999999991</v>
      </c>
      <c r="M62" s="2"/>
      <c r="N62" s="7">
        <f t="shared" si="31"/>
        <v>4.3667144159395717E-2</v>
      </c>
      <c r="O62" s="11"/>
      <c r="P62" s="6">
        <v>144257.76</v>
      </c>
      <c r="Q62" s="2"/>
      <c r="R62" s="7">
        <f t="shared" si="32"/>
        <v>4.6574469029975092E-2</v>
      </c>
      <c r="S62" s="2"/>
      <c r="T62" s="6">
        <v>138468</v>
      </c>
      <c r="U62" s="2"/>
      <c r="V62" s="7">
        <f t="shared" si="33"/>
        <v>3.7856172898066268E-2</v>
      </c>
      <c r="W62" s="2"/>
      <c r="X62" s="6">
        <f t="shared" si="34"/>
        <v>5789.7600000000093</v>
      </c>
      <c r="Y62" s="2"/>
      <c r="Z62" s="7">
        <f t="shared" si="35"/>
        <v>4.181298206083723E-2</v>
      </c>
    </row>
    <row r="63" spans="1:26" s="24" customFormat="1" hidden="1" outlineLevel="2" x14ac:dyDescent="0.25">
      <c r="A63" s="26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16278.409999999998</v>
      </c>
      <c r="E63" s="2"/>
      <c r="F63" s="7">
        <f t="shared" si="28"/>
        <v>3.812385340621071E-2</v>
      </c>
      <c r="G63" s="2"/>
      <c r="H63" s="6">
        <v>15301</v>
      </c>
      <c r="I63" s="2"/>
      <c r="J63" s="7">
        <f t="shared" si="29"/>
        <v>2.5933898305084746E-2</v>
      </c>
      <c r="K63" s="2"/>
      <c r="L63" s="6">
        <f t="shared" si="30"/>
        <v>977.40999999999804</v>
      </c>
      <c r="M63" s="2"/>
      <c r="N63" s="7">
        <f t="shared" si="31"/>
        <v>6.3878831448924783E-2</v>
      </c>
      <c r="O63" s="11"/>
      <c r="P63" s="6">
        <v>91797.61</v>
      </c>
      <c r="Q63" s="2"/>
      <c r="R63" s="7">
        <f t="shared" si="32"/>
        <v>2.9637400053700625E-2</v>
      </c>
      <c r="S63" s="2"/>
      <c r="T63" s="6">
        <v>91806</v>
      </c>
      <c r="U63" s="2"/>
      <c r="V63" s="7">
        <f t="shared" si="33"/>
        <v>2.5099111773694078E-2</v>
      </c>
      <c r="W63" s="2"/>
      <c r="X63" s="6">
        <f t="shared" si="34"/>
        <v>-8.3899999999994179</v>
      </c>
      <c r="Y63" s="2"/>
      <c r="Z63" s="7">
        <f t="shared" si="35"/>
        <v>-9.1388362416393459E-5</v>
      </c>
    </row>
    <row r="64" spans="1:26" s="24" customFormat="1" hidden="1" outlineLevel="2" x14ac:dyDescent="0.25">
      <c r="A64" s="26"/>
      <c r="B64" s="11" t="str">
        <f>CONCATENATE("          ", "6324", " - ", "FURNITURE + FIXT DEPRECIATION")</f>
        <v xml:space="preserve">          6324 - FURNITURE + FIXT DEPRECIATION</v>
      </c>
      <c r="C64" s="11"/>
      <c r="D64" s="6"/>
      <c r="E64" s="2"/>
      <c r="F64" s="7">
        <f t="shared" si="28"/>
        <v>0</v>
      </c>
      <c r="G64" s="2"/>
      <c r="H64" s="6">
        <v>3576</v>
      </c>
      <c r="I64" s="2"/>
      <c r="J64" s="7">
        <f t="shared" si="29"/>
        <v>6.061016949152542E-3</v>
      </c>
      <c r="K64" s="2"/>
      <c r="L64" s="6">
        <f t="shared" si="30"/>
        <v>-3576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13658</v>
      </c>
      <c r="U64" s="2"/>
      <c r="V64" s="7">
        <f t="shared" si="33"/>
        <v>3.7340007037134143E-3</v>
      </c>
      <c r="W64" s="2"/>
      <c r="X64" s="6">
        <f t="shared" si="34"/>
        <v>-13658</v>
      </c>
      <c r="Y64" s="2"/>
      <c r="Z64" s="7">
        <f t="shared" si="35"/>
        <v>-1</v>
      </c>
    </row>
    <row r="65" spans="1:26" s="24" customFormat="1" hidden="1" outlineLevel="2" x14ac:dyDescent="0.25">
      <c r="A65" s="26"/>
      <c r="B65" s="11" t="str">
        <f>CONCATENATE("          ", "6326", " - ", "VEHICLES DEPRECIATION EXPENSE")</f>
        <v xml:space="preserve">          6326 - VEHICLES DEPRECIATION EXPENSE</v>
      </c>
      <c r="C65" s="11"/>
      <c r="D65" s="6">
        <v>424.25</v>
      </c>
      <c r="E65" s="2"/>
      <c r="F65" s="7">
        <f t="shared" si="28"/>
        <v>9.9358873548368036E-4</v>
      </c>
      <c r="G65" s="2"/>
      <c r="H65" s="6">
        <v>2174</v>
      </c>
      <c r="I65" s="2"/>
      <c r="J65" s="7">
        <f t="shared" si="29"/>
        <v>3.6847457627118643E-3</v>
      </c>
      <c r="K65" s="2"/>
      <c r="L65" s="6">
        <f t="shared" si="30"/>
        <v>-1749.75</v>
      </c>
      <c r="M65" s="2"/>
      <c r="N65" s="7">
        <f t="shared" si="31"/>
        <v>-0.80485280588776453</v>
      </c>
      <c r="O65" s="11"/>
      <c r="P65" s="6">
        <v>2545.5</v>
      </c>
      <c r="Q65" s="2"/>
      <c r="R65" s="7">
        <f t="shared" si="32"/>
        <v>8.218296950944032E-4</v>
      </c>
      <c r="S65" s="2"/>
      <c r="T65" s="6">
        <v>7794</v>
      </c>
      <c r="U65" s="2"/>
      <c r="V65" s="7">
        <f t="shared" si="33"/>
        <v>2.1308245339538988E-3</v>
      </c>
      <c r="W65" s="2"/>
      <c r="X65" s="6">
        <f t="shared" si="34"/>
        <v>-5248.5</v>
      </c>
      <c r="Y65" s="2"/>
      <c r="Z65" s="7">
        <f t="shared" si="35"/>
        <v>-0.67340261739799845</v>
      </c>
    </row>
    <row r="66" spans="1:26" s="25" customFormat="1" outlineLevel="1" collapsed="1" x14ac:dyDescent="0.25">
      <c r="A66" s="27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SUM(OSRRefD22_6x_0)</f>
        <v>73</v>
      </c>
      <c r="E66" s="1"/>
      <c r="F66" s="5">
        <f t="shared" ref="F66:F74" si="36">IF(D$12=0,0,D66/D$12)</f>
        <v>1.7096518017751012E-4</v>
      </c>
      <c r="G66" s="1"/>
      <c r="H66" s="1">
        <f>SUM(OSRRefH22_6x_0)</f>
        <v>2000</v>
      </c>
      <c r="I66" s="1"/>
      <c r="J66" s="5">
        <f t="shared" ref="J66:J74" si="37">IF(H$12=0,0,H66/H$12)</f>
        <v>3.3898305084745762E-3</v>
      </c>
      <c r="K66" s="1"/>
      <c r="L66" s="1">
        <f t="shared" ref="L66:L74" si="38">+D66-H66</f>
        <v>-1927</v>
      </c>
      <c r="M66" s="1"/>
      <c r="N66" s="5">
        <f t="shared" ref="N66:N74" si="39">IF(H66=0,0,L66/H66)</f>
        <v>-0.96350000000000002</v>
      </c>
      <c r="O66" s="13"/>
      <c r="P66" s="1">
        <f>SUM(OSRRefP22_6x_0)</f>
        <v>236.68</v>
      </c>
      <c r="Q66" s="1"/>
      <c r="R66" s="5">
        <f t="shared" ref="R66:R74" si="40">IF(P$12=0,0,P66/P$12)</f>
        <v>7.6413534564896229E-5</v>
      </c>
      <c r="S66" s="1"/>
      <c r="T66" s="1">
        <f>SUM(OSRRefT22_6x_0)</f>
        <v>3000</v>
      </c>
      <c r="U66" s="1"/>
      <c r="V66" s="5">
        <f t="shared" ref="V66:V74" si="41">IF(T$12=0,0,T66/T$12)</f>
        <v>8.201788044472282E-4</v>
      </c>
      <c r="W66" s="1"/>
      <c r="X66" s="1">
        <f t="shared" ref="X66:X74" si="42">+P66-T66</f>
        <v>-2763.32</v>
      </c>
      <c r="Y66" s="1"/>
      <c r="Z66" s="5">
        <f t="shared" ref="Z66:Z74" si="43">IF(T66=0,0,X66/T66)</f>
        <v>-0.92110666666666674</v>
      </c>
    </row>
    <row r="67" spans="1:26" s="24" customFormat="1" hidden="1" outlineLevel="2" x14ac:dyDescent="0.25">
      <c r="A67" s="26"/>
      <c r="B67" s="11" t="str">
        <f>CONCATENATE("          ", "6399", " - ", "DONATION-ON CAMPUS")</f>
        <v xml:space="preserve">          6399 - DONATION-ON CAMPUS</v>
      </c>
      <c r="C67" s="11"/>
      <c r="D67" s="6">
        <v>73</v>
      </c>
      <c r="E67" s="2"/>
      <c r="F67" s="7">
        <f t="shared" si="36"/>
        <v>1.7096518017751012E-4</v>
      </c>
      <c r="G67" s="2"/>
      <c r="H67" s="6">
        <v>2000</v>
      </c>
      <c r="I67" s="2"/>
      <c r="J67" s="7">
        <f t="shared" si="37"/>
        <v>3.3898305084745762E-3</v>
      </c>
      <c r="K67" s="2"/>
      <c r="L67" s="6">
        <f t="shared" si="38"/>
        <v>-1927</v>
      </c>
      <c r="M67" s="2"/>
      <c r="N67" s="7">
        <f t="shared" si="39"/>
        <v>-0.96350000000000002</v>
      </c>
      <c r="O67" s="11"/>
      <c r="P67" s="6">
        <v>236.68</v>
      </c>
      <c r="Q67" s="2"/>
      <c r="R67" s="7">
        <f t="shared" si="40"/>
        <v>7.6413534564896229E-5</v>
      </c>
      <c r="S67" s="2"/>
      <c r="T67" s="6">
        <v>3000</v>
      </c>
      <c r="U67" s="2"/>
      <c r="V67" s="7">
        <f t="shared" si="41"/>
        <v>8.201788044472282E-4</v>
      </c>
      <c r="W67" s="2"/>
      <c r="X67" s="6">
        <f t="shared" si="42"/>
        <v>-2763.32</v>
      </c>
      <c r="Y67" s="2"/>
      <c r="Z67" s="7">
        <f t="shared" si="43"/>
        <v>-0.92110666666666674</v>
      </c>
    </row>
    <row r="68" spans="1:26" s="25" customFormat="1" outlineLevel="1" collapsed="1" x14ac:dyDescent="0.25">
      <c r="A68" s="27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SUM(OSRRefD22_7x_0)</f>
        <v>257.14999999999998</v>
      </c>
      <c r="E68" s="1"/>
      <c r="F68" s="5">
        <f t="shared" si="36"/>
        <v>6.0224241209105096E-4</v>
      </c>
      <c r="G68" s="1"/>
      <c r="H68" s="1">
        <f>SUM(OSRRefH22_7x_0)</f>
        <v>2125</v>
      </c>
      <c r="I68" s="1"/>
      <c r="J68" s="5">
        <f t="shared" si="37"/>
        <v>3.6016949152542373E-3</v>
      </c>
      <c r="K68" s="1"/>
      <c r="L68" s="1">
        <f t="shared" si="38"/>
        <v>-1867.85</v>
      </c>
      <c r="M68" s="1"/>
      <c r="N68" s="5">
        <f t="shared" si="39"/>
        <v>-0.87898823529411763</v>
      </c>
      <c r="O68" s="13"/>
      <c r="P68" s="1">
        <f>SUM(OSRRefP22_7x_0)</f>
        <v>1209.8599999999999</v>
      </c>
      <c r="Q68" s="1"/>
      <c r="R68" s="5">
        <f t="shared" si="40"/>
        <v>3.9061043995557436E-4</v>
      </c>
      <c r="S68" s="1"/>
      <c r="T68" s="1">
        <f>SUM(OSRRefT22_7x_0)</f>
        <v>3615</v>
      </c>
      <c r="U68" s="1"/>
      <c r="V68" s="5">
        <f t="shared" si="41"/>
        <v>9.8831545935890988E-4</v>
      </c>
      <c r="W68" s="1"/>
      <c r="X68" s="1">
        <f t="shared" si="42"/>
        <v>-2405.1400000000003</v>
      </c>
      <c r="Y68" s="1"/>
      <c r="Z68" s="5">
        <f t="shared" si="43"/>
        <v>-0.66532226832641783</v>
      </c>
    </row>
    <row r="69" spans="1:26" s="24" customFormat="1" hidden="1" outlineLevel="2" x14ac:dyDescent="0.25">
      <c r="A69" s="26"/>
      <c r="B69" s="11" t="str">
        <f>CONCATENATE("          ", "6277", " - ", "EMPLOYEE APPRECIATION")</f>
        <v xml:space="preserve">          6277 - EMPLOYEE APPRECIATION</v>
      </c>
      <c r="C69" s="11"/>
      <c r="D69" s="6">
        <v>257.14999999999998</v>
      </c>
      <c r="E69" s="2"/>
      <c r="F69" s="7">
        <f t="shared" si="36"/>
        <v>6.0224241209105096E-4</v>
      </c>
      <c r="G69" s="2"/>
      <c r="H69" s="6">
        <v>2125</v>
      </c>
      <c r="I69" s="2"/>
      <c r="J69" s="7">
        <f t="shared" si="37"/>
        <v>3.6016949152542373E-3</v>
      </c>
      <c r="K69" s="2"/>
      <c r="L69" s="6">
        <f t="shared" si="38"/>
        <v>-1867.85</v>
      </c>
      <c r="M69" s="2"/>
      <c r="N69" s="7">
        <f t="shared" si="39"/>
        <v>-0.87898823529411763</v>
      </c>
      <c r="O69" s="11"/>
      <c r="P69" s="6">
        <v>1209.8599999999999</v>
      </c>
      <c r="Q69" s="2"/>
      <c r="R69" s="7">
        <f t="shared" si="40"/>
        <v>3.9061043995557436E-4</v>
      </c>
      <c r="S69" s="2"/>
      <c r="T69" s="6">
        <v>3615</v>
      </c>
      <c r="U69" s="2"/>
      <c r="V69" s="7">
        <f t="shared" si="41"/>
        <v>9.8831545935890988E-4</v>
      </c>
      <c r="W69" s="2"/>
      <c r="X69" s="6">
        <f t="shared" si="42"/>
        <v>-2405.1400000000003</v>
      </c>
      <c r="Y69" s="2"/>
      <c r="Z69" s="7">
        <f t="shared" si="43"/>
        <v>-0.66532226832641783</v>
      </c>
    </row>
    <row r="70" spans="1:26" s="25" customFormat="1" outlineLevel="1" collapsed="1" x14ac:dyDescent="0.25">
      <c r="A70" s="27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SUM(OSRRefD22_8x_0)</f>
        <v>2709.51</v>
      </c>
      <c r="E70" s="1"/>
      <c r="F70" s="5">
        <f t="shared" si="36"/>
        <v>6.3456419909967872E-3</v>
      </c>
      <c r="G70" s="1"/>
      <c r="H70" s="1">
        <f>SUM(OSRRefH22_8x_0)</f>
        <v>1165</v>
      </c>
      <c r="I70" s="1"/>
      <c r="J70" s="5">
        <f t="shared" si="37"/>
        <v>1.9745762711864405E-3</v>
      </c>
      <c r="K70" s="1"/>
      <c r="L70" s="1">
        <f t="shared" si="38"/>
        <v>1544.5100000000002</v>
      </c>
      <c r="M70" s="1"/>
      <c r="N70" s="5">
        <f t="shared" si="39"/>
        <v>1.3257596566523606</v>
      </c>
      <c r="O70" s="13"/>
      <c r="P70" s="1">
        <f>SUM(OSRRefP22_8x_0)</f>
        <v>14883.009999999998</v>
      </c>
      <c r="Q70" s="1"/>
      <c r="R70" s="5">
        <f t="shared" si="40"/>
        <v>4.8050675978734839E-3</v>
      </c>
      <c r="S70" s="1"/>
      <c r="T70" s="1">
        <f>SUM(OSRRefT22_8x_0)</f>
        <v>9046</v>
      </c>
      <c r="U70" s="1"/>
      <c r="V70" s="5">
        <f t="shared" si="41"/>
        <v>2.4731124883432087E-3</v>
      </c>
      <c r="W70" s="1"/>
      <c r="X70" s="1">
        <f t="shared" si="42"/>
        <v>5837.0099999999984</v>
      </c>
      <c r="Y70" s="1"/>
      <c r="Z70" s="5">
        <f t="shared" si="43"/>
        <v>0.64525867786867108</v>
      </c>
    </row>
    <row r="71" spans="1:26" s="24" customFormat="1" hidden="1" outlineLevel="2" x14ac:dyDescent="0.25">
      <c r="A71" s="26"/>
      <c r="B71" s="11" t="str">
        <f>CONCATENATE("          ", "6351", " - ", "EQUIPMENT RENTAL")</f>
        <v xml:space="preserve">          6351 - EQUIPMENT RENTAL</v>
      </c>
      <c r="C71" s="11"/>
      <c r="D71" s="6">
        <v>2709.51</v>
      </c>
      <c r="E71" s="2"/>
      <c r="F71" s="7">
        <f t="shared" si="36"/>
        <v>6.3456419909967872E-3</v>
      </c>
      <c r="G71" s="2"/>
      <c r="H71" s="6">
        <v>1165</v>
      </c>
      <c r="I71" s="2"/>
      <c r="J71" s="7">
        <f t="shared" si="37"/>
        <v>1.9745762711864405E-3</v>
      </c>
      <c r="K71" s="2"/>
      <c r="L71" s="6">
        <f t="shared" si="38"/>
        <v>1544.5100000000002</v>
      </c>
      <c r="M71" s="2"/>
      <c r="N71" s="7">
        <f t="shared" si="39"/>
        <v>1.3257596566523606</v>
      </c>
      <c r="O71" s="11"/>
      <c r="P71" s="6">
        <v>14883.009999999998</v>
      </c>
      <c r="Q71" s="2"/>
      <c r="R71" s="7">
        <f t="shared" si="40"/>
        <v>4.8050675978734839E-3</v>
      </c>
      <c r="S71" s="2"/>
      <c r="T71" s="6">
        <v>9046</v>
      </c>
      <c r="U71" s="2"/>
      <c r="V71" s="7">
        <f t="shared" si="41"/>
        <v>2.4731124883432087E-3</v>
      </c>
      <c r="W71" s="2"/>
      <c r="X71" s="6">
        <f t="shared" si="42"/>
        <v>5837.0099999999984</v>
      </c>
      <c r="Y71" s="2"/>
      <c r="Z71" s="7">
        <f t="shared" si="43"/>
        <v>0.64525867786867108</v>
      </c>
    </row>
    <row r="72" spans="1:26" s="25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4498.32</v>
      </c>
      <c r="E72" s="1"/>
      <c r="F72" s="5">
        <f t="shared" si="36"/>
        <v>1.0535014921864346E-2</v>
      </c>
      <c r="G72" s="1"/>
      <c r="H72" s="1">
        <f>SUM(OSRRefH22_9x_0)</f>
        <v>3525</v>
      </c>
      <c r="I72" s="1"/>
      <c r="J72" s="5">
        <f t="shared" si="37"/>
        <v>5.974576271186441E-3</v>
      </c>
      <c r="K72" s="1"/>
      <c r="L72" s="1">
        <f t="shared" si="38"/>
        <v>973.31999999999971</v>
      </c>
      <c r="M72" s="1"/>
      <c r="N72" s="5">
        <f t="shared" si="39"/>
        <v>0.27611914893617012</v>
      </c>
      <c r="O72" s="13"/>
      <c r="P72" s="1">
        <f>SUM(OSRRefP22_9x_0)</f>
        <v>65575.510000000009</v>
      </c>
      <c r="Q72" s="1"/>
      <c r="R72" s="5">
        <f t="shared" si="40"/>
        <v>2.1171440341371046E-2</v>
      </c>
      <c r="S72" s="1"/>
      <c r="T72" s="1">
        <f>SUM(OSRRefT22_9x_0)</f>
        <v>30775</v>
      </c>
      <c r="U72" s="1"/>
      <c r="V72" s="5">
        <f t="shared" si="41"/>
        <v>8.4136675689544822E-3</v>
      </c>
      <c r="W72" s="1"/>
      <c r="X72" s="1">
        <f t="shared" si="42"/>
        <v>34800.510000000009</v>
      </c>
      <c r="Y72" s="1"/>
      <c r="Z72" s="5">
        <f t="shared" si="43"/>
        <v>1.1308045491470353</v>
      </c>
    </row>
    <row r="73" spans="1:26" s="24" customFormat="1" hidden="1" outlineLevel="2" x14ac:dyDescent="0.25">
      <c r="A73" s="26"/>
      <c r="B73" s="11" t="str">
        <f>CONCATENATE("          ", "6269", " - ", "ENTERTAINMENT")</f>
        <v xml:space="preserve">          6269 - ENTERTAINMENT</v>
      </c>
      <c r="C73" s="11"/>
      <c r="D73" s="6">
        <v>1250</v>
      </c>
      <c r="E73" s="2"/>
      <c r="F73" s="7">
        <f t="shared" si="36"/>
        <v>2.9274859619436663E-3</v>
      </c>
      <c r="G73" s="2"/>
      <c r="H73" s="6">
        <v>600</v>
      </c>
      <c r="I73" s="2"/>
      <c r="J73" s="7">
        <f t="shared" si="37"/>
        <v>1.0169491525423729E-3</v>
      </c>
      <c r="K73" s="2"/>
      <c r="L73" s="6">
        <f t="shared" si="38"/>
        <v>650</v>
      </c>
      <c r="M73" s="2"/>
      <c r="N73" s="7">
        <f t="shared" si="39"/>
        <v>1.0833333333333333</v>
      </c>
      <c r="O73" s="11"/>
      <c r="P73" s="6">
        <v>7350</v>
      </c>
      <c r="Q73" s="2"/>
      <c r="R73" s="7">
        <f t="shared" si="40"/>
        <v>2.3729908697481296E-3</v>
      </c>
      <c r="S73" s="2"/>
      <c r="T73" s="6">
        <v>4350</v>
      </c>
      <c r="U73" s="2"/>
      <c r="V73" s="7">
        <f t="shared" si="41"/>
        <v>1.1892592664484809E-3</v>
      </c>
      <c r="W73" s="2"/>
      <c r="X73" s="6">
        <f t="shared" si="42"/>
        <v>3000</v>
      </c>
      <c r="Y73" s="2"/>
      <c r="Z73" s="7">
        <f t="shared" si="43"/>
        <v>0.68965517241379315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6">
        <v>3248.32</v>
      </c>
      <c r="E74" s="2"/>
      <c r="F74" s="7">
        <f t="shared" si="36"/>
        <v>7.6075289599206808E-3</v>
      </c>
      <c r="G74" s="2"/>
      <c r="H74" s="6">
        <v>2925</v>
      </c>
      <c r="I74" s="2"/>
      <c r="J74" s="7">
        <f t="shared" si="37"/>
        <v>4.9576271186440677E-3</v>
      </c>
      <c r="K74" s="2"/>
      <c r="L74" s="6">
        <f t="shared" si="38"/>
        <v>323.32000000000016</v>
      </c>
      <c r="M74" s="2"/>
      <c r="N74" s="7">
        <f t="shared" si="39"/>
        <v>0.11053675213675219</v>
      </c>
      <c r="O74" s="11"/>
      <c r="P74" s="6">
        <v>58225.51</v>
      </c>
      <c r="Q74" s="2"/>
      <c r="R74" s="7">
        <f t="shared" si="40"/>
        <v>1.8798449471622913E-2</v>
      </c>
      <c r="S74" s="2"/>
      <c r="T74" s="6">
        <v>26425</v>
      </c>
      <c r="U74" s="2"/>
      <c r="V74" s="7">
        <f t="shared" si="41"/>
        <v>7.2244083025060019E-3</v>
      </c>
      <c r="W74" s="2"/>
      <c r="X74" s="6">
        <f t="shared" si="42"/>
        <v>31800.510000000002</v>
      </c>
      <c r="Y74" s="2"/>
      <c r="Z74" s="7">
        <f t="shared" si="43"/>
        <v>1.203425165562914</v>
      </c>
    </row>
    <row r="75" spans="1:26" s="25" customFormat="1" outlineLevel="1" collapsed="1" x14ac:dyDescent="0.25">
      <c r="A75" s="27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4240.13</v>
      </c>
      <c r="E75" s="1"/>
      <c r="F75" s="5">
        <f t="shared" ref="F75:F87" si="44">IF(D$12=0,0,D75/D$12)</f>
        <v>9.9303368414529591E-3</v>
      </c>
      <c r="G75" s="1"/>
      <c r="H75" s="1">
        <f>SUM(OSRRefH22_10x_0)</f>
        <v>4004</v>
      </c>
      <c r="I75" s="1"/>
      <c r="J75" s="5">
        <f t="shared" ref="J75:J87" si="45">IF(H$12=0,0,H75/H$12)</f>
        <v>6.786440677966102E-3</v>
      </c>
      <c r="K75" s="1"/>
      <c r="L75" s="1">
        <f t="shared" ref="L75:L87" si="46">+D75-H75</f>
        <v>236.13000000000011</v>
      </c>
      <c r="M75" s="1"/>
      <c r="N75" s="5">
        <f t="shared" ref="N75:N87" si="47">IF(H75=0,0,L75/H75)</f>
        <v>5.8973526473526501E-2</v>
      </c>
      <c r="O75" s="13"/>
      <c r="P75" s="1">
        <f>SUM(OSRRefP22_10x_0)</f>
        <v>25440.78</v>
      </c>
      <c r="Q75" s="1"/>
      <c r="R75" s="5">
        <f t="shared" ref="R75:R87" si="48">IF(P$12=0,0,P75/P$12)</f>
        <v>8.2137059400368452E-3</v>
      </c>
      <c r="S75" s="1"/>
      <c r="T75" s="1">
        <f>SUM(OSRRefT22_10x_0)</f>
        <v>24024</v>
      </c>
      <c r="U75" s="1"/>
      <c r="V75" s="5">
        <f t="shared" ref="V75:V87" si="49">IF(T$12=0,0,T75/T$12)</f>
        <v>6.5679918660134029E-3</v>
      </c>
      <c r="W75" s="1"/>
      <c r="X75" s="1">
        <f t="shared" ref="X75:X87" si="50">+P75-T75</f>
        <v>1416.7799999999988</v>
      </c>
      <c r="Y75" s="1"/>
      <c r="Z75" s="5">
        <f t="shared" ref="Z75:Z87" si="51">IF(T75=0,0,X75/T75)</f>
        <v>5.8973526473526425E-2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6">
        <v>4240.13</v>
      </c>
      <c r="E76" s="2"/>
      <c r="F76" s="7">
        <f t="shared" si="44"/>
        <v>9.9303368414529591E-3</v>
      </c>
      <c r="G76" s="2"/>
      <c r="H76" s="6">
        <v>4004</v>
      </c>
      <c r="I76" s="2"/>
      <c r="J76" s="7">
        <f t="shared" si="45"/>
        <v>6.786440677966102E-3</v>
      </c>
      <c r="K76" s="2"/>
      <c r="L76" s="6">
        <f t="shared" si="46"/>
        <v>236.13000000000011</v>
      </c>
      <c r="M76" s="2"/>
      <c r="N76" s="7">
        <f t="shared" si="47"/>
        <v>5.8973526473526501E-2</v>
      </c>
      <c r="O76" s="11"/>
      <c r="P76" s="6">
        <v>25440.78</v>
      </c>
      <c r="Q76" s="2"/>
      <c r="R76" s="7">
        <f t="shared" si="48"/>
        <v>8.2137059400368452E-3</v>
      </c>
      <c r="S76" s="2"/>
      <c r="T76" s="6">
        <v>24024</v>
      </c>
      <c r="U76" s="2"/>
      <c r="V76" s="7">
        <f t="shared" si="49"/>
        <v>6.5679918660134029E-3</v>
      </c>
      <c r="W76" s="2"/>
      <c r="X76" s="6">
        <f t="shared" si="50"/>
        <v>1416.7799999999988</v>
      </c>
      <c r="Y76" s="2"/>
      <c r="Z76" s="7">
        <f t="shared" si="51"/>
        <v>5.8973526473526425E-2</v>
      </c>
    </row>
    <row r="77" spans="1:26" s="25" customFormat="1" outlineLevel="1" collapsed="1" x14ac:dyDescent="0.25">
      <c r="A77" s="27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7754</v>
      </c>
      <c r="E77" s="1"/>
      <c r="F77" s="5">
        <f t="shared" si="44"/>
        <v>1.815978091912895E-2</v>
      </c>
      <c r="G77" s="1"/>
      <c r="H77" s="1">
        <f>SUM(OSRRefH22_11x_0)</f>
        <v>7754</v>
      </c>
      <c r="I77" s="1"/>
      <c r="J77" s="5">
        <f t="shared" si="45"/>
        <v>1.3142372881355932E-2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SUM(OSRRefP22_11x_0)</f>
        <v>46131.049999999996</v>
      </c>
      <c r="Q77" s="1"/>
      <c r="R77" s="5">
        <f t="shared" si="48"/>
        <v>1.4893681695495842E-2</v>
      </c>
      <c r="S77" s="1"/>
      <c r="T77" s="1">
        <f>SUM(OSRRefT22_11x_0)</f>
        <v>46524</v>
      </c>
      <c r="U77" s="1"/>
      <c r="V77" s="5">
        <f t="shared" si="49"/>
        <v>1.2719332899367615E-2</v>
      </c>
      <c r="W77" s="1"/>
      <c r="X77" s="1">
        <f t="shared" si="50"/>
        <v>-392.95000000000437</v>
      </c>
      <c r="Y77" s="1"/>
      <c r="Z77" s="5">
        <f t="shared" si="51"/>
        <v>-8.4461783165678869E-3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6">
        <v>7754</v>
      </c>
      <c r="E78" s="2"/>
      <c r="F78" s="7">
        <f t="shared" si="44"/>
        <v>1.815978091912895E-2</v>
      </c>
      <c r="G78" s="2"/>
      <c r="H78" s="6">
        <v>7754</v>
      </c>
      <c r="I78" s="2"/>
      <c r="J78" s="7">
        <f t="shared" si="45"/>
        <v>1.3142372881355932E-2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46131.049999999996</v>
      </c>
      <c r="Q78" s="2"/>
      <c r="R78" s="7">
        <f t="shared" si="48"/>
        <v>1.4893681695495842E-2</v>
      </c>
      <c r="S78" s="2"/>
      <c r="T78" s="6">
        <v>46524</v>
      </c>
      <c r="U78" s="2"/>
      <c r="V78" s="7">
        <f t="shared" si="49"/>
        <v>1.2719332899367615E-2</v>
      </c>
      <c r="W78" s="2"/>
      <c r="X78" s="6">
        <f t="shared" si="50"/>
        <v>-392.95000000000437</v>
      </c>
      <c r="Y78" s="2"/>
      <c r="Z78" s="7">
        <f t="shared" si="51"/>
        <v>-8.4461783165678869E-3</v>
      </c>
    </row>
    <row r="79" spans="1:26" s="25" customFormat="1" outlineLevel="1" collapsed="1" x14ac:dyDescent="0.25">
      <c r="A79" s="27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SUM(OSRRefD22_12x_0)</f>
        <v>0</v>
      </c>
      <c r="E79" s="1"/>
      <c r="F79" s="5">
        <f t="shared" si="44"/>
        <v>0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125</v>
      </c>
      <c r="Q79" s="1"/>
      <c r="R79" s="5">
        <f t="shared" si="48"/>
        <v>4.0356987580750499E-5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6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125</v>
      </c>
      <c r="Q80" s="2"/>
      <c r="R80" s="7">
        <f t="shared" si="48"/>
        <v>4.0356987580750499E-5</v>
      </c>
      <c r="S80" s="2"/>
      <c r="T80" s="6"/>
      <c r="U80" s="2"/>
      <c r="V80" s="7">
        <f t="shared" si="49"/>
        <v>0</v>
      </c>
      <c r="W80" s="2"/>
      <c r="X80" s="6">
        <f t="shared" si="50"/>
        <v>125</v>
      </c>
      <c r="Y80" s="2"/>
      <c r="Z80" s="7">
        <f t="shared" si="51"/>
        <v>0</v>
      </c>
    </row>
    <row r="81" spans="1:26" s="25" customFormat="1" outlineLevel="1" collapsed="1" x14ac:dyDescent="0.25">
      <c r="A81" s="27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1850</v>
      </c>
      <c r="E81" s="1"/>
      <c r="F81" s="5">
        <f t="shared" si="44"/>
        <v>4.3326792236766266E-3</v>
      </c>
      <c r="G81" s="1"/>
      <c r="H81" s="1">
        <f>SUM(OSRRefH22_13x_0)</f>
        <v>1850</v>
      </c>
      <c r="I81" s="1"/>
      <c r="J81" s="5">
        <f t="shared" si="45"/>
        <v>3.1355932203389831E-3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11100</v>
      </c>
      <c r="Q81" s="1"/>
      <c r="R81" s="5">
        <f t="shared" si="48"/>
        <v>3.5837004971706445E-3</v>
      </c>
      <c r="S81" s="1"/>
      <c r="T81" s="1">
        <f>SUM(OSRRefT22_13x_0)</f>
        <v>11100</v>
      </c>
      <c r="U81" s="1"/>
      <c r="V81" s="5">
        <f t="shared" si="49"/>
        <v>3.0346615764547443E-3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6"/>
      <c r="B82" s="11" t="str">
        <f>CONCATENATE("          ", "6273", " - ", "RENT")</f>
        <v xml:space="preserve">          6273 - RENT</v>
      </c>
      <c r="C82" s="11"/>
      <c r="D82" s="6">
        <v>1850</v>
      </c>
      <c r="E82" s="2"/>
      <c r="F82" s="7">
        <f t="shared" si="44"/>
        <v>4.3326792236766266E-3</v>
      </c>
      <c r="G82" s="2"/>
      <c r="H82" s="6">
        <v>1850</v>
      </c>
      <c r="I82" s="2"/>
      <c r="J82" s="7">
        <f t="shared" si="45"/>
        <v>3.1355932203389831E-3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11100</v>
      </c>
      <c r="Q82" s="2"/>
      <c r="R82" s="7">
        <f t="shared" si="48"/>
        <v>3.5837004971706445E-3</v>
      </c>
      <c r="S82" s="2"/>
      <c r="T82" s="6">
        <v>11100</v>
      </c>
      <c r="U82" s="2"/>
      <c r="V82" s="7">
        <f t="shared" si="49"/>
        <v>3.0346615764547443E-3</v>
      </c>
      <c r="W82" s="2"/>
      <c r="X82" s="6">
        <f t="shared" si="50"/>
        <v>0</v>
      </c>
      <c r="Y82" s="2"/>
      <c r="Z82" s="7">
        <f t="shared" si="51"/>
        <v>0</v>
      </c>
    </row>
    <row r="83" spans="1:26" s="25" customFormat="1" outlineLevel="1" collapsed="1" x14ac:dyDescent="0.25">
      <c r="A83" s="27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25734.67</v>
      </c>
      <c r="E83" s="1"/>
      <c r="F83" s="5">
        <f t="shared" si="44"/>
        <v>6.0270308128202242E-2</v>
      </c>
      <c r="G83" s="1"/>
      <c r="H83" s="1">
        <f>SUM(OSRRefH22_14x_0)</f>
        <v>26248</v>
      </c>
      <c r="I83" s="1"/>
      <c r="J83" s="5">
        <f t="shared" si="45"/>
        <v>4.4488135593220339E-2</v>
      </c>
      <c r="K83" s="1"/>
      <c r="L83" s="1">
        <f t="shared" si="46"/>
        <v>-513.33000000000175</v>
      </c>
      <c r="M83" s="1"/>
      <c r="N83" s="5">
        <f t="shared" si="47"/>
        <v>-1.9556918622371296E-2</v>
      </c>
      <c r="O83" s="13"/>
      <c r="P83" s="1">
        <f>SUM(OSRRefP22_14x_0)</f>
        <v>144450.72</v>
      </c>
      <c r="Q83" s="1"/>
      <c r="R83" s="5">
        <f t="shared" si="48"/>
        <v>4.6636767304563745E-2</v>
      </c>
      <c r="S83" s="1"/>
      <c r="T83" s="1">
        <f>SUM(OSRRefT22_14x_0)</f>
        <v>136071</v>
      </c>
      <c r="U83" s="1"/>
      <c r="V83" s="5">
        <f t="shared" si="49"/>
        <v>3.7200850033312929E-2</v>
      </c>
      <c r="W83" s="1"/>
      <c r="X83" s="1">
        <f t="shared" si="50"/>
        <v>8379.7200000000012</v>
      </c>
      <c r="Y83" s="1"/>
      <c r="Z83" s="5">
        <f t="shared" si="51"/>
        <v>6.1583438058072634E-2</v>
      </c>
    </row>
    <row r="84" spans="1:26" s="24" customFormat="1" hidden="1" outlineLevel="2" x14ac:dyDescent="0.25">
      <c r="A84" s="26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44"/>
        <v>0</v>
      </c>
      <c r="G84" s="2"/>
      <c r="H84" s="6">
        <v>50</v>
      </c>
      <c r="I84" s="2"/>
      <c r="J84" s="7">
        <f t="shared" si="45"/>
        <v>8.4745762711864412E-5</v>
      </c>
      <c r="K84" s="2"/>
      <c r="L84" s="6">
        <f t="shared" si="46"/>
        <v>-50</v>
      </c>
      <c r="M84" s="2"/>
      <c r="N84" s="7">
        <f t="shared" si="47"/>
        <v>-1</v>
      </c>
      <c r="O84" s="11"/>
      <c r="P84" s="6">
        <v>10932.69</v>
      </c>
      <c r="Q84" s="2"/>
      <c r="R84" s="7">
        <f t="shared" si="48"/>
        <v>3.5296834764335615E-3</v>
      </c>
      <c r="S84" s="2"/>
      <c r="T84" s="6">
        <v>1300</v>
      </c>
      <c r="U84" s="2"/>
      <c r="V84" s="7">
        <f t="shared" si="49"/>
        <v>3.5541081526046554E-4</v>
      </c>
      <c r="W84" s="2"/>
      <c r="X84" s="6">
        <f t="shared" si="50"/>
        <v>9632.69</v>
      </c>
      <c r="Y84" s="2"/>
      <c r="Z84" s="7">
        <f t="shared" si="51"/>
        <v>7.409761538461539</v>
      </c>
    </row>
    <row r="85" spans="1:26" s="24" customFormat="1" hidden="1" outlineLevel="2" x14ac:dyDescent="0.25">
      <c r="A85" s="26"/>
      <c r="B85" s="11" t="str">
        <f>CONCATENATE("          ", "6372", " - ", "COMPUTER HARDWARE MAINTENANCE")</f>
        <v xml:space="preserve">          6372 - COMPUTER HARDWARE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200</v>
      </c>
      <c r="U85" s="2"/>
      <c r="V85" s="7">
        <f t="shared" si="49"/>
        <v>5.4678586963148544E-5</v>
      </c>
      <c r="W85" s="2"/>
      <c r="X85" s="6">
        <f t="shared" si="50"/>
        <v>-200</v>
      </c>
      <c r="Y85" s="2"/>
      <c r="Z85" s="7">
        <f t="shared" si="51"/>
        <v>-1</v>
      </c>
    </row>
    <row r="86" spans="1:26" s="24" customFormat="1" hidden="1" outlineLevel="2" x14ac:dyDescent="0.25">
      <c r="A86" s="26"/>
      <c r="B86" s="11" t="str">
        <f>CONCATENATE("          ", "6373", " - ", "MAINTENANCE CONTRACTS")</f>
        <v xml:space="preserve">          6373 - MAINTENANCE CONTRACTS</v>
      </c>
      <c r="C86" s="11"/>
      <c r="D86" s="6">
        <v>17255.09</v>
      </c>
      <c r="E86" s="2"/>
      <c r="F86" s="7">
        <f t="shared" si="44"/>
        <v>4.041122699765963E-2</v>
      </c>
      <c r="G86" s="2"/>
      <c r="H86" s="6">
        <v>2448</v>
      </c>
      <c r="I86" s="2"/>
      <c r="J86" s="7">
        <f t="shared" si="45"/>
        <v>4.1491525423728816E-3</v>
      </c>
      <c r="K86" s="2"/>
      <c r="L86" s="6">
        <f t="shared" si="46"/>
        <v>14807.09</v>
      </c>
      <c r="M86" s="2"/>
      <c r="N86" s="7">
        <f t="shared" si="47"/>
        <v>6.0486478758169939</v>
      </c>
      <c r="O86" s="11"/>
      <c r="P86" s="6">
        <v>58321.619999999995</v>
      </c>
      <c r="Q86" s="2"/>
      <c r="R86" s="7">
        <f t="shared" si="48"/>
        <v>1.8829479152233999E-2</v>
      </c>
      <c r="S86" s="2"/>
      <c r="T86" s="6">
        <v>13946</v>
      </c>
      <c r="U86" s="2"/>
      <c r="V86" s="7">
        <f t="shared" si="49"/>
        <v>3.8127378689403481E-3</v>
      </c>
      <c r="W86" s="2"/>
      <c r="X86" s="6">
        <f t="shared" si="50"/>
        <v>44375.619999999995</v>
      </c>
      <c r="Y86" s="2"/>
      <c r="Z86" s="7">
        <f t="shared" si="51"/>
        <v>3.1819604187580666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8479.58</v>
      </c>
      <c r="E87" s="2"/>
      <c r="F87" s="7">
        <f t="shared" si="44"/>
        <v>1.9859081130542619E-2</v>
      </c>
      <c r="G87" s="2"/>
      <c r="H87" s="6">
        <v>23750</v>
      </c>
      <c r="I87" s="2"/>
      <c r="J87" s="7">
        <f t="shared" si="45"/>
        <v>4.025423728813559E-2</v>
      </c>
      <c r="K87" s="2"/>
      <c r="L87" s="6">
        <f t="shared" si="46"/>
        <v>-15270.42</v>
      </c>
      <c r="M87" s="2"/>
      <c r="N87" s="7">
        <f t="shared" si="47"/>
        <v>-0.64296505263157899</v>
      </c>
      <c r="O87" s="11"/>
      <c r="P87" s="6">
        <v>75196.41</v>
      </c>
      <c r="Q87" s="2"/>
      <c r="R87" s="7">
        <f t="shared" si="48"/>
        <v>2.4277604675896184E-2</v>
      </c>
      <c r="S87" s="2"/>
      <c r="T87" s="6">
        <v>120625</v>
      </c>
      <c r="U87" s="2"/>
      <c r="V87" s="7">
        <f t="shared" si="49"/>
        <v>3.2978022762148965E-2</v>
      </c>
      <c r="W87" s="2"/>
      <c r="X87" s="6">
        <f t="shared" si="50"/>
        <v>-45428.59</v>
      </c>
      <c r="Y87" s="2"/>
      <c r="Z87" s="7">
        <f t="shared" si="51"/>
        <v>-0.37661007253886009</v>
      </c>
    </row>
    <row r="88" spans="1:26" s="25" customFormat="1" outlineLevel="1" collapsed="1" x14ac:dyDescent="0.25">
      <c r="A88" s="27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18952.580000000002</v>
      </c>
      <c r="E88" s="1"/>
      <c r="F88" s="5">
        <f t="shared" ref="F88:F91" si="52">IF(D$12=0,0,D88/D$12)</f>
        <v>4.4386729514091436E-2</v>
      </c>
      <c r="G88" s="1"/>
      <c r="H88" s="1">
        <f>SUM(OSRRefH22_15x_0)</f>
        <v>22320</v>
      </c>
      <c r="I88" s="1"/>
      <c r="J88" s="5">
        <f t="shared" ref="J88:J91" si="53">IF(H$12=0,0,H88/H$12)</f>
        <v>3.7830508474576273E-2</v>
      </c>
      <c r="K88" s="1"/>
      <c r="L88" s="1">
        <f t="shared" ref="L88:L91" si="54">+D88-H88</f>
        <v>-3367.4199999999983</v>
      </c>
      <c r="M88" s="1"/>
      <c r="N88" s="5">
        <f t="shared" ref="N88:N91" si="55">IF(H88=0,0,L88/H88)</f>
        <v>-0.15087007168458774</v>
      </c>
      <c r="O88" s="13"/>
      <c r="P88" s="1">
        <f>SUM(OSRRefP22_15x_0)</f>
        <v>133672.18</v>
      </c>
      <c r="Q88" s="1"/>
      <c r="R88" s="5">
        <f t="shared" ref="R88:R91" si="56">IF(P$12=0,0,P88/P$12)</f>
        <v>4.315685206521476E-2</v>
      </c>
      <c r="S88" s="1"/>
      <c r="T88" s="1">
        <f>SUM(OSRRefT22_15x_0)</f>
        <v>128461</v>
      </c>
      <c r="U88" s="1"/>
      <c r="V88" s="5">
        <f t="shared" ref="V88:V91" si="57">IF(T$12=0,0,T88/T$12)</f>
        <v>3.5120329799365128E-2</v>
      </c>
      <c r="W88" s="1"/>
      <c r="X88" s="1">
        <f t="shared" ref="X88:X91" si="58">+P88-T88</f>
        <v>5211.179999999993</v>
      </c>
      <c r="Y88" s="1"/>
      <c r="Z88" s="5">
        <f t="shared" ref="Z88:Z91" si="59">IF(T88=0,0,X88/T88)</f>
        <v>4.0566241894427049E-2</v>
      </c>
    </row>
    <row r="89" spans="1:26" s="24" customFormat="1" hidden="1" outlineLevel="2" x14ac:dyDescent="0.25">
      <c r="A89" s="26"/>
      <c r="B89" s="11" t="str">
        <f>CONCATENATE("          ", "6253", " - ", "ROYALTY DUE ATHLETICS-LRG")</f>
        <v xml:space="preserve">          6253 - ROYALTY DUE ATHLETICS-LRG</v>
      </c>
      <c r="C89" s="11"/>
      <c r="D89" s="6"/>
      <c r="E89" s="2"/>
      <c r="F89" s="7">
        <f t="shared" si="52"/>
        <v>0</v>
      </c>
      <c r="G89" s="2"/>
      <c r="H89" s="6">
        <v>8000</v>
      </c>
      <c r="I89" s="2"/>
      <c r="J89" s="7">
        <f t="shared" si="53"/>
        <v>1.3559322033898305E-2</v>
      </c>
      <c r="K89" s="2"/>
      <c r="L89" s="6">
        <f t="shared" si="54"/>
        <v>-8000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35000</v>
      </c>
      <c r="U89" s="2"/>
      <c r="V89" s="7">
        <f t="shared" si="57"/>
        <v>9.5687527185509963E-3</v>
      </c>
      <c r="W89" s="2"/>
      <c r="X89" s="6">
        <f t="shared" si="58"/>
        <v>-35000</v>
      </c>
      <c r="Y89" s="2"/>
      <c r="Z89" s="7">
        <f t="shared" si="59"/>
        <v>-1</v>
      </c>
    </row>
    <row r="90" spans="1:26" s="24" customFormat="1" hidden="1" outlineLevel="2" x14ac:dyDescent="0.25">
      <c r="A90" s="26"/>
      <c r="B90" s="11" t="str">
        <f>CONCATENATE("          ", "6254", " - ", "ROYALTY &amp; COMMISSIONS")</f>
        <v xml:space="preserve">          6254 - ROYALTY &amp; COMMISSIONS</v>
      </c>
      <c r="C90" s="11"/>
      <c r="D90" s="6">
        <v>8040.34</v>
      </c>
      <c r="E90" s="2"/>
      <c r="F90" s="7">
        <f t="shared" si="52"/>
        <v>1.8830385983403312E-2</v>
      </c>
      <c r="G90" s="2"/>
      <c r="H90" s="6"/>
      <c r="I90" s="2"/>
      <c r="J90" s="7">
        <f t="shared" si="53"/>
        <v>0</v>
      </c>
      <c r="K90" s="2"/>
      <c r="L90" s="6">
        <f t="shared" si="54"/>
        <v>8040.34</v>
      </c>
      <c r="M90" s="2"/>
      <c r="N90" s="7">
        <f t="shared" si="55"/>
        <v>0</v>
      </c>
      <c r="O90" s="11"/>
      <c r="P90" s="6">
        <v>61027.06</v>
      </c>
      <c r="Q90" s="2"/>
      <c r="R90" s="7">
        <f t="shared" si="56"/>
        <v>1.9702946420077725E-2</v>
      </c>
      <c r="S90" s="2"/>
      <c r="T90" s="6">
        <v>5117</v>
      </c>
      <c r="U90" s="2"/>
      <c r="V90" s="7">
        <f t="shared" si="57"/>
        <v>1.3989516474521555E-3</v>
      </c>
      <c r="W90" s="2"/>
      <c r="X90" s="6">
        <f t="shared" si="58"/>
        <v>55910.06</v>
      </c>
      <c r="Y90" s="2"/>
      <c r="Z90" s="7">
        <f t="shared" si="59"/>
        <v>10.926335743599765</v>
      </c>
    </row>
    <row r="91" spans="1:26" s="24" customFormat="1" hidden="1" outlineLevel="2" x14ac:dyDescent="0.25">
      <c r="A91" s="26"/>
      <c r="B91" s="11" t="str">
        <f>CONCATENATE("          ", "6259", " - ", "ROYALTY &amp; COMMISSIONS")</f>
        <v xml:space="preserve">          6259 - ROYALTY &amp; COMMISSIONS</v>
      </c>
      <c r="C91" s="11"/>
      <c r="D91" s="6">
        <v>10912.24</v>
      </c>
      <c r="E91" s="2"/>
      <c r="F91" s="7">
        <f t="shared" si="52"/>
        <v>2.5556343530688121E-2</v>
      </c>
      <c r="G91" s="2"/>
      <c r="H91" s="6">
        <v>14320</v>
      </c>
      <c r="I91" s="2"/>
      <c r="J91" s="7">
        <f t="shared" si="53"/>
        <v>2.4271186440677966E-2</v>
      </c>
      <c r="K91" s="2"/>
      <c r="L91" s="6">
        <f t="shared" si="54"/>
        <v>-3407.76</v>
      </c>
      <c r="M91" s="2"/>
      <c r="N91" s="7">
        <f t="shared" si="55"/>
        <v>-0.23797206703910617</v>
      </c>
      <c r="O91" s="11"/>
      <c r="P91" s="6">
        <v>72645.119999999995</v>
      </c>
      <c r="Q91" s="2"/>
      <c r="R91" s="7">
        <f t="shared" si="56"/>
        <v>2.3453905645137038E-2</v>
      </c>
      <c r="S91" s="2"/>
      <c r="T91" s="6">
        <v>88344</v>
      </c>
      <c r="U91" s="2"/>
      <c r="V91" s="7">
        <f t="shared" si="57"/>
        <v>2.4152625433361975E-2</v>
      </c>
      <c r="W91" s="2"/>
      <c r="X91" s="6">
        <f t="shared" si="58"/>
        <v>-15698.880000000005</v>
      </c>
      <c r="Y91" s="2"/>
      <c r="Z91" s="7">
        <f t="shared" si="59"/>
        <v>-0.17770171149144259</v>
      </c>
    </row>
    <row r="92" spans="1:26" s="25" customFormat="1" outlineLevel="1" collapsed="1" x14ac:dyDescent="0.25">
      <c r="A92" s="27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SUM(OSRRefD22_16x_0)</f>
        <v>28362.85</v>
      </c>
      <c r="E92" s="1"/>
      <c r="F92" s="5">
        <f t="shared" ref="F92:F97" si="60">IF(D$12=0,0,D92/D$12)</f>
        <v>6.6425476172571135E-2</v>
      </c>
      <c r="G92" s="1"/>
      <c r="H92" s="1">
        <f>SUM(OSRRefH22_16x_0)</f>
        <v>22022</v>
      </c>
      <c r="I92" s="1"/>
      <c r="J92" s="5">
        <f t="shared" ref="J92:J97" si="61">IF(H$12=0,0,H92/H$12)</f>
        <v>3.7325423728813562E-2</v>
      </c>
      <c r="K92" s="1"/>
      <c r="L92" s="1">
        <f t="shared" ref="L92:L97" si="62">+D92-H92</f>
        <v>6340.8499999999985</v>
      </c>
      <c r="M92" s="1"/>
      <c r="N92" s="5">
        <f t="shared" ref="N92:N97" si="63">IF(H92=0,0,L92/H92)</f>
        <v>0.28793252202343106</v>
      </c>
      <c r="O92" s="13"/>
      <c r="P92" s="1">
        <f>SUM(OSRRefP22_16x_0)</f>
        <v>131827.91</v>
      </c>
      <c r="Q92" s="1"/>
      <c r="R92" s="5">
        <f t="shared" ref="R92:R97" si="64">IF(P$12=0,0,P92/P$12)</f>
        <v>4.2561418613330362E-2</v>
      </c>
      <c r="S92" s="1"/>
      <c r="T92" s="1">
        <f>SUM(OSRRefT22_16x_0)</f>
        <v>133950</v>
      </c>
      <c r="U92" s="1"/>
      <c r="V92" s="5">
        <f t="shared" ref="V92:V97" si="65">IF(T$12=0,0,T92/T$12)</f>
        <v>3.6620983618568741E-2</v>
      </c>
      <c r="W92" s="1"/>
      <c r="X92" s="1">
        <f t="shared" ref="X92:X97" si="66">+P92-T92</f>
        <v>-2122.0899999999965</v>
      </c>
      <c r="Y92" s="1"/>
      <c r="Z92" s="5">
        <f t="shared" ref="Z92:Z97" si="67">IF(T92=0,0,X92/T92)</f>
        <v>-1.5842403882045514E-2</v>
      </c>
    </row>
    <row r="93" spans="1:26" s="24" customFormat="1" hidden="1" outlineLevel="2" x14ac:dyDescent="0.25">
      <c r="A93" s="26"/>
      <c r="B93" s="11" t="str">
        <f>CONCATENATE("          ", "6282", " - ", "JANITORIAL/EXTERMINATOR EXPENS")</f>
        <v xml:space="preserve">          6282 - JANITORIAL/EXTERMINATOR EXPENS</v>
      </c>
      <c r="C93" s="11"/>
      <c r="D93" s="6">
        <v>2555.14</v>
      </c>
      <c r="E93" s="2"/>
      <c r="F93" s="7">
        <f t="shared" si="60"/>
        <v>5.9841091846405915E-3</v>
      </c>
      <c r="G93" s="2"/>
      <c r="H93" s="6">
        <v>1355</v>
      </c>
      <c r="I93" s="2"/>
      <c r="J93" s="7">
        <f t="shared" si="61"/>
        <v>2.2966101694915256E-3</v>
      </c>
      <c r="K93" s="2"/>
      <c r="L93" s="6">
        <f t="shared" si="62"/>
        <v>1200.1399999999999</v>
      </c>
      <c r="M93" s="2"/>
      <c r="N93" s="7">
        <f t="shared" si="63"/>
        <v>0.88571217712177108</v>
      </c>
      <c r="O93" s="11"/>
      <c r="P93" s="6">
        <v>8942.99</v>
      </c>
      <c r="Q93" s="2"/>
      <c r="R93" s="7">
        <f t="shared" si="64"/>
        <v>2.8872970909182075E-3</v>
      </c>
      <c r="S93" s="2"/>
      <c r="T93" s="6">
        <v>7915</v>
      </c>
      <c r="U93" s="2"/>
      <c r="V93" s="7">
        <f t="shared" si="65"/>
        <v>2.1639050790666038E-3</v>
      </c>
      <c r="W93" s="2"/>
      <c r="X93" s="6">
        <f t="shared" si="66"/>
        <v>1027.9899999999998</v>
      </c>
      <c r="Y93" s="2"/>
      <c r="Z93" s="7">
        <f t="shared" si="67"/>
        <v>0.1298787113076437</v>
      </c>
    </row>
    <row r="94" spans="1:26" s="24" customFormat="1" hidden="1" outlineLevel="2" x14ac:dyDescent="0.25">
      <c r="A94" s="26"/>
      <c r="B94" s="11" t="str">
        <f>CONCATENATE("          ", "6283", " - ", "PLANT SERVICE")</f>
        <v xml:space="preserve">          6283 - PLANT SERVICE</v>
      </c>
      <c r="C94" s="11"/>
      <c r="D94" s="6"/>
      <c r="E94" s="2"/>
      <c r="F94" s="7">
        <f t="shared" si="60"/>
        <v>0</v>
      </c>
      <c r="G94" s="2"/>
      <c r="H94" s="6">
        <v>185</v>
      </c>
      <c r="I94" s="2"/>
      <c r="J94" s="7">
        <f t="shared" si="61"/>
        <v>3.1355932203389828E-4</v>
      </c>
      <c r="K94" s="2"/>
      <c r="L94" s="6">
        <f t="shared" si="62"/>
        <v>-185</v>
      </c>
      <c r="M94" s="2"/>
      <c r="N94" s="7">
        <f t="shared" si="63"/>
        <v>-1</v>
      </c>
      <c r="O94" s="11"/>
      <c r="P94" s="6">
        <v>799.12</v>
      </c>
      <c r="Q94" s="2"/>
      <c r="R94" s="7">
        <f t="shared" si="64"/>
        <v>2.5800060732423472E-4</v>
      </c>
      <c r="S94" s="2"/>
      <c r="T94" s="6">
        <v>1075</v>
      </c>
      <c r="U94" s="2"/>
      <c r="V94" s="7">
        <f t="shared" si="65"/>
        <v>2.9389740492692342E-4</v>
      </c>
      <c r="W94" s="2"/>
      <c r="X94" s="6">
        <f t="shared" si="66"/>
        <v>-275.88</v>
      </c>
      <c r="Y94" s="2"/>
      <c r="Z94" s="7">
        <f t="shared" si="67"/>
        <v>-0.25663255813953489</v>
      </c>
    </row>
    <row r="95" spans="1:26" s="24" customFormat="1" hidden="1" outlineLevel="2" x14ac:dyDescent="0.25">
      <c r="A95" s="26"/>
      <c r="B95" s="11" t="str">
        <f>CONCATENATE("          ", "6284", " - ", "TRASH REMOVAL EXPENSE")</f>
        <v xml:space="preserve">          6284 - TRASH REMOVAL EXPENSE</v>
      </c>
      <c r="C95" s="11"/>
      <c r="D95" s="6">
        <v>9673</v>
      </c>
      <c r="E95" s="2"/>
      <c r="F95" s="7">
        <f t="shared" si="60"/>
        <v>2.2654057367904868E-2</v>
      </c>
      <c r="G95" s="2"/>
      <c r="H95" s="6">
        <v>3515</v>
      </c>
      <c r="I95" s="2"/>
      <c r="J95" s="7">
        <f t="shared" si="61"/>
        <v>5.9576271186440677E-3</v>
      </c>
      <c r="K95" s="2"/>
      <c r="L95" s="6">
        <f t="shared" si="62"/>
        <v>6158</v>
      </c>
      <c r="M95" s="2"/>
      <c r="N95" s="7">
        <f t="shared" si="63"/>
        <v>1.7519203413940256</v>
      </c>
      <c r="O95" s="11"/>
      <c r="P95" s="6">
        <v>22893</v>
      </c>
      <c r="Q95" s="2"/>
      <c r="R95" s="7">
        <f t="shared" si="64"/>
        <v>7.3911401334889699E-3</v>
      </c>
      <c r="S95" s="2"/>
      <c r="T95" s="6">
        <v>21090</v>
      </c>
      <c r="U95" s="2"/>
      <c r="V95" s="7">
        <f t="shared" si="65"/>
        <v>5.7658569952640142E-3</v>
      </c>
      <c r="W95" s="2"/>
      <c r="X95" s="6">
        <f t="shared" si="66"/>
        <v>1803</v>
      </c>
      <c r="Y95" s="2"/>
      <c r="Z95" s="7">
        <f t="shared" si="67"/>
        <v>8.549075391180655E-2</v>
      </c>
    </row>
    <row r="96" spans="1:26" s="24" customFormat="1" hidden="1" outlineLevel="2" x14ac:dyDescent="0.25">
      <c r="A96" s="26"/>
      <c r="B96" s="11" t="str">
        <f>CONCATENATE("          ", "6285", " - ", "JANITORIAL SERVICES")</f>
        <v xml:space="preserve">          6285 - JANITORIAL SERVICES</v>
      </c>
      <c r="C96" s="11"/>
      <c r="D96" s="6">
        <v>13319.46</v>
      </c>
      <c r="E96" s="2"/>
      <c r="F96" s="7">
        <f t="shared" si="60"/>
        <v>3.1194025736536148E-2</v>
      </c>
      <c r="G96" s="2"/>
      <c r="H96" s="6">
        <v>13184</v>
      </c>
      <c r="I96" s="2"/>
      <c r="J96" s="7">
        <f t="shared" si="61"/>
        <v>2.2345762711864406E-2</v>
      </c>
      <c r="K96" s="2"/>
      <c r="L96" s="6">
        <f t="shared" si="62"/>
        <v>135.45999999999913</v>
      </c>
      <c r="M96" s="2"/>
      <c r="N96" s="7">
        <f t="shared" si="63"/>
        <v>1.0274575242718381E-2</v>
      </c>
      <c r="O96" s="11"/>
      <c r="P96" s="6">
        <v>79646.759999999995</v>
      </c>
      <c r="Q96" s="2"/>
      <c r="R96" s="7">
        <f t="shared" si="64"/>
        <v>2.5714426433336126E-2</v>
      </c>
      <c r="S96" s="2"/>
      <c r="T96" s="6">
        <v>79498</v>
      </c>
      <c r="U96" s="2"/>
      <c r="V96" s="7">
        <f t="shared" si="65"/>
        <v>2.1734191531981917E-2</v>
      </c>
      <c r="W96" s="2"/>
      <c r="X96" s="6">
        <f t="shared" si="66"/>
        <v>148.75999999999476</v>
      </c>
      <c r="Y96" s="2"/>
      <c r="Z96" s="7">
        <f t="shared" si="67"/>
        <v>1.871242043824936E-3</v>
      </c>
    </row>
    <row r="97" spans="1:26" s="24" customFormat="1" hidden="1" outlineLevel="2" x14ac:dyDescent="0.25">
      <c r="A97" s="26"/>
      <c r="B97" s="11" t="str">
        <f>CONCATENATE("          ", "6286", " - ", "LAUNDRY EXPENSE")</f>
        <v xml:space="preserve">          6286 - LAUNDRY EXPENSE</v>
      </c>
      <c r="C97" s="11"/>
      <c r="D97" s="6">
        <v>2815.25</v>
      </c>
      <c r="E97" s="2"/>
      <c r="F97" s="7">
        <f t="shared" si="60"/>
        <v>6.5932838834895256E-3</v>
      </c>
      <c r="G97" s="2"/>
      <c r="H97" s="6">
        <v>3783</v>
      </c>
      <c r="I97" s="2"/>
      <c r="J97" s="7">
        <f t="shared" si="61"/>
        <v>6.4118644067796609E-3</v>
      </c>
      <c r="K97" s="2"/>
      <c r="L97" s="6">
        <f t="shared" si="62"/>
        <v>-967.75</v>
      </c>
      <c r="M97" s="2"/>
      <c r="N97" s="7">
        <f t="shared" si="63"/>
        <v>-0.25581549035157281</v>
      </c>
      <c r="O97" s="11"/>
      <c r="P97" s="6">
        <v>19546.04</v>
      </c>
      <c r="Q97" s="2"/>
      <c r="R97" s="7">
        <f t="shared" si="64"/>
        <v>6.3105543482628208E-3</v>
      </c>
      <c r="S97" s="2"/>
      <c r="T97" s="6">
        <v>24372</v>
      </c>
      <c r="U97" s="2"/>
      <c r="V97" s="7">
        <f t="shared" si="65"/>
        <v>6.6631326073292819E-3</v>
      </c>
      <c r="W97" s="2"/>
      <c r="X97" s="6">
        <f t="shared" si="66"/>
        <v>-4825.9599999999991</v>
      </c>
      <c r="Y97" s="2"/>
      <c r="Z97" s="7">
        <f t="shared" si="67"/>
        <v>-0.19801247333005084</v>
      </c>
    </row>
    <row r="98" spans="1:26" s="25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SUM(OSRRefD22_17x_0)</f>
        <v>4123.42</v>
      </c>
      <c r="E98" s="1"/>
      <c r="F98" s="5">
        <f t="shared" ref="F98:F100" si="68">IF(D$12=0,0,D98/D$12)</f>
        <v>9.6570033321582028E-3</v>
      </c>
      <c r="G98" s="1"/>
      <c r="H98" s="1">
        <f>SUM(OSRRefH22_17x_0)</f>
        <v>394</v>
      </c>
      <c r="I98" s="1"/>
      <c r="J98" s="5">
        <f t="shared" ref="J98:J100" si="69">IF(H$12=0,0,H98/H$12)</f>
        <v>6.6779661016949155E-4</v>
      </c>
      <c r="K98" s="1"/>
      <c r="L98" s="1">
        <f t="shared" ref="L98:L100" si="70">+D98-H98</f>
        <v>3729.42</v>
      </c>
      <c r="M98" s="1"/>
      <c r="N98" s="5">
        <f t="shared" ref="N98:N100" si="71">IF(H98=0,0,L98/H98)</f>
        <v>9.4655329949238585</v>
      </c>
      <c r="O98" s="13"/>
      <c r="P98" s="1">
        <f>SUM(OSRRefP22_17x_0)</f>
        <v>6274.6</v>
      </c>
      <c r="Q98" s="1"/>
      <c r="R98" s="5">
        <f t="shared" ref="R98:R100" si="72">IF(P$12=0,0,P98/P$12)</f>
        <v>2.0257916341934168E-3</v>
      </c>
      <c r="S98" s="1"/>
      <c r="T98" s="1">
        <f>SUM(OSRRefT22_17x_0)</f>
        <v>2189</v>
      </c>
      <c r="U98" s="1"/>
      <c r="V98" s="5">
        <f t="shared" ref="V98:V100" si="73">IF(T$12=0,0,T98/T$12)</f>
        <v>5.984571343116608E-4</v>
      </c>
      <c r="W98" s="1"/>
      <c r="X98" s="1">
        <f t="shared" ref="X98:X100" si="74">+P98-T98</f>
        <v>4085.6000000000004</v>
      </c>
      <c r="Y98" s="1"/>
      <c r="Z98" s="5">
        <f t="shared" ref="Z98:Z100" si="75">IF(T98=0,0,X98/T98)</f>
        <v>1.866423024211969</v>
      </c>
    </row>
    <row r="99" spans="1:26" s="24" customFormat="1" hidden="1" outlineLevel="2" x14ac:dyDescent="0.25">
      <c r="A99" s="26"/>
      <c r="B99" s="11" t="str">
        <f>CONCATENATE("          ", "6258", " - ", "MEMBERSHIP DUES")</f>
        <v xml:space="preserve">          6258 - MEMBERSHIP DUES</v>
      </c>
      <c r="C99" s="11"/>
      <c r="D99" s="6">
        <v>3730</v>
      </c>
      <c r="E99" s="2"/>
      <c r="F99" s="7">
        <f t="shared" si="68"/>
        <v>8.7356181104399008E-3</v>
      </c>
      <c r="G99" s="2"/>
      <c r="H99" s="6"/>
      <c r="I99" s="2"/>
      <c r="J99" s="7">
        <f t="shared" si="69"/>
        <v>0</v>
      </c>
      <c r="K99" s="2"/>
      <c r="L99" s="6">
        <f t="shared" si="70"/>
        <v>3730</v>
      </c>
      <c r="M99" s="2"/>
      <c r="N99" s="7">
        <f t="shared" si="71"/>
        <v>0</v>
      </c>
      <c r="O99" s="11"/>
      <c r="P99" s="6">
        <v>3730</v>
      </c>
      <c r="Q99" s="2"/>
      <c r="R99" s="7">
        <f t="shared" si="72"/>
        <v>1.2042525094095949E-3</v>
      </c>
      <c r="S99" s="2"/>
      <c r="T99" s="6"/>
      <c r="U99" s="2"/>
      <c r="V99" s="7">
        <f t="shared" si="73"/>
        <v>0</v>
      </c>
      <c r="W99" s="2"/>
      <c r="X99" s="6">
        <f t="shared" si="74"/>
        <v>3730</v>
      </c>
      <c r="Y99" s="2"/>
      <c r="Z99" s="7">
        <f t="shared" si="75"/>
        <v>0</v>
      </c>
    </row>
    <row r="100" spans="1:26" s="24" customFormat="1" hidden="1" outlineLevel="2" x14ac:dyDescent="0.25">
      <c r="A100" s="26"/>
      <c r="B100" s="11" t="str">
        <f>CONCATENATE("          ", "6275", " - ", "SUBSCRIPTIONS")</f>
        <v xml:space="preserve">          6275 - SUBSCRIPTIONS</v>
      </c>
      <c r="C100" s="11"/>
      <c r="D100" s="6">
        <v>393.42</v>
      </c>
      <c r="E100" s="2"/>
      <c r="F100" s="7">
        <f t="shared" si="68"/>
        <v>9.2138522171830186E-4</v>
      </c>
      <c r="G100" s="2"/>
      <c r="H100" s="6">
        <v>394</v>
      </c>
      <c r="I100" s="2"/>
      <c r="J100" s="7">
        <f t="shared" si="69"/>
        <v>6.6779661016949155E-4</v>
      </c>
      <c r="K100" s="2"/>
      <c r="L100" s="6">
        <f t="shared" si="70"/>
        <v>-0.57999999999998408</v>
      </c>
      <c r="M100" s="2"/>
      <c r="N100" s="7">
        <f t="shared" si="71"/>
        <v>-1.4720812182740712E-3</v>
      </c>
      <c r="O100" s="11"/>
      <c r="P100" s="6">
        <v>2544.6</v>
      </c>
      <c r="Q100" s="2"/>
      <c r="R100" s="7">
        <f t="shared" si="72"/>
        <v>8.2153912478382177E-4</v>
      </c>
      <c r="S100" s="2"/>
      <c r="T100" s="6">
        <v>2189</v>
      </c>
      <c r="U100" s="2"/>
      <c r="V100" s="7">
        <f t="shared" si="73"/>
        <v>5.984571343116608E-4</v>
      </c>
      <c r="W100" s="2"/>
      <c r="X100" s="6">
        <f t="shared" si="74"/>
        <v>355.59999999999991</v>
      </c>
      <c r="Y100" s="2"/>
      <c r="Z100" s="7">
        <f t="shared" si="75"/>
        <v>0.16244860666971214</v>
      </c>
    </row>
    <row r="101" spans="1:26" s="25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SUM(OSRRefD22_18x_0)</f>
        <v>12661.619999999999</v>
      </c>
      <c r="E101" s="1"/>
      <c r="F101" s="5">
        <f t="shared" ref="F101:F111" si="76">IF(D$12=0,0,D101/D$12)</f>
        <v>2.9653371844372129E-2</v>
      </c>
      <c r="G101" s="1"/>
      <c r="H101" s="1">
        <f>SUM(OSRRefH22_18x_0)</f>
        <v>11438.16</v>
      </c>
      <c r="I101" s="1"/>
      <c r="J101" s="5">
        <f t="shared" ref="J101:J111" si="77">IF(H$12=0,0,H101/H$12)</f>
        <v>1.938671186440678E-2</v>
      </c>
      <c r="K101" s="1"/>
      <c r="L101" s="1">
        <f t="shared" ref="L101:L111" si="78">+D101-H101</f>
        <v>1223.4599999999991</v>
      </c>
      <c r="M101" s="1"/>
      <c r="N101" s="5">
        <f t="shared" ref="N101:N111" si="79">IF(H101=0,0,L101/H101)</f>
        <v>0.10696300803625751</v>
      </c>
      <c r="O101" s="13"/>
      <c r="P101" s="1">
        <f>SUM(OSRRefP22_18x_0)</f>
        <v>116405.90999999999</v>
      </c>
      <c r="Q101" s="1"/>
      <c r="R101" s="5">
        <f t="shared" ref="R101:R111" si="80">IF(P$12=0,0,P101/P$12)</f>
        <v>3.7582334913567682E-2</v>
      </c>
      <c r="S101" s="1"/>
      <c r="T101" s="1">
        <f>SUM(OSRRefT22_18x_0)</f>
        <v>91375.500000000015</v>
      </c>
      <c r="U101" s="1"/>
      <c r="V101" s="5">
        <f t="shared" ref="V101:V111" si="81">IF(T$12=0,0,T101/T$12)</f>
        <v>2.4981416115255905E-2</v>
      </c>
      <c r="W101" s="1"/>
      <c r="X101" s="1">
        <f t="shared" ref="X101:X111" si="82">+P101-T101</f>
        <v>25030.409999999974</v>
      </c>
      <c r="Y101" s="1"/>
      <c r="Z101" s="5">
        <f t="shared" ref="Z101:Z111" si="83">IF(T101=0,0,X101/T101)</f>
        <v>0.27392911666693992</v>
      </c>
    </row>
    <row r="102" spans="1:26" s="24" customFormat="1" hidden="1" outlineLevel="2" x14ac:dyDescent="0.25">
      <c r="A102" s="26"/>
      <c r="B102" s="11" t="str">
        <f>CONCATENATE("          ", "6234", " - ", "EXPENDABLE SUPPLIES &amp; EQUIPMEN")</f>
        <v xml:space="preserve">          6234 - EXPENDABLE SUPPLIES &amp; EQUIPMEN</v>
      </c>
      <c r="C102" s="11"/>
      <c r="D102" s="6"/>
      <c r="E102" s="2"/>
      <c r="F102" s="7">
        <f t="shared" si="76"/>
        <v>0</v>
      </c>
      <c r="G102" s="2"/>
      <c r="H102" s="6">
        <v>150</v>
      </c>
      <c r="I102" s="2"/>
      <c r="J102" s="7">
        <f t="shared" si="77"/>
        <v>2.5423728813559322E-4</v>
      </c>
      <c r="K102" s="2"/>
      <c r="L102" s="6">
        <f t="shared" si="78"/>
        <v>-150</v>
      </c>
      <c r="M102" s="2"/>
      <c r="N102" s="7">
        <f t="shared" si="79"/>
        <v>-1</v>
      </c>
      <c r="O102" s="11"/>
      <c r="P102" s="6">
        <v>12202.72</v>
      </c>
      <c r="Q102" s="2"/>
      <c r="R102" s="7">
        <f t="shared" si="80"/>
        <v>3.9397201559310058E-3</v>
      </c>
      <c r="S102" s="2"/>
      <c r="T102" s="6">
        <v>3800</v>
      </c>
      <c r="U102" s="2"/>
      <c r="V102" s="7">
        <f t="shared" si="81"/>
        <v>1.0388931522998224E-3</v>
      </c>
      <c r="W102" s="2"/>
      <c r="X102" s="6">
        <f t="shared" si="82"/>
        <v>8402.7199999999993</v>
      </c>
      <c r="Y102" s="2"/>
      <c r="Z102" s="7">
        <f t="shared" si="83"/>
        <v>2.2112421052631577</v>
      </c>
    </row>
    <row r="103" spans="1:26" s="24" customFormat="1" hidden="1" outlineLevel="2" x14ac:dyDescent="0.25">
      <c r="A103" s="26"/>
      <c r="B103" s="11" t="str">
        <f>CONCATENATE("          ", "6237", " - ", "JANITORIAL SUPPLIES")</f>
        <v xml:space="preserve">          6237 - JANITORIAL SUPPLIES</v>
      </c>
      <c r="C103" s="11"/>
      <c r="D103" s="6">
        <v>5608.72</v>
      </c>
      <c r="E103" s="2"/>
      <c r="F103" s="7">
        <f t="shared" si="76"/>
        <v>1.3135559251578145E-2</v>
      </c>
      <c r="G103" s="2"/>
      <c r="H103" s="6">
        <v>4971</v>
      </c>
      <c r="I103" s="2"/>
      <c r="J103" s="7">
        <f t="shared" si="77"/>
        <v>8.4254237288135594E-3</v>
      </c>
      <c r="K103" s="2"/>
      <c r="L103" s="6">
        <f t="shared" si="78"/>
        <v>637.72000000000025</v>
      </c>
      <c r="M103" s="2"/>
      <c r="N103" s="7">
        <f t="shared" si="79"/>
        <v>0.12828807081070212</v>
      </c>
      <c r="O103" s="11"/>
      <c r="P103" s="6">
        <v>29993.48</v>
      </c>
      <c r="Q103" s="2"/>
      <c r="R103" s="7">
        <f t="shared" si="80"/>
        <v>9.683571998907908E-3</v>
      </c>
      <c r="S103" s="2"/>
      <c r="T103" s="6">
        <v>26356</v>
      </c>
      <c r="U103" s="2"/>
      <c r="V103" s="7">
        <f t="shared" si="81"/>
        <v>7.2055441900037154E-3</v>
      </c>
      <c r="W103" s="2"/>
      <c r="X103" s="6">
        <f t="shared" si="82"/>
        <v>3637.4799999999996</v>
      </c>
      <c r="Y103" s="2"/>
      <c r="Z103" s="7">
        <f t="shared" si="83"/>
        <v>0.1380133555926544</v>
      </c>
    </row>
    <row r="104" spans="1:26" s="24" customFormat="1" hidden="1" outlineLevel="2" x14ac:dyDescent="0.25">
      <c r="A104" s="26"/>
      <c r="B104" s="11" t="str">
        <f>CONCATENATE("          ", "6239", " - ", "KITCHEN SUPPLIES")</f>
        <v xml:space="preserve">          6239 - KITCHEN SUPPLIES</v>
      </c>
      <c r="C104" s="11"/>
      <c r="D104" s="6">
        <v>2898.44</v>
      </c>
      <c r="E104" s="2"/>
      <c r="F104" s="7">
        <f t="shared" si="76"/>
        <v>6.7881139292287999E-3</v>
      </c>
      <c r="G104" s="2"/>
      <c r="H104" s="6">
        <v>1800</v>
      </c>
      <c r="I104" s="2"/>
      <c r="J104" s="7">
        <f t="shared" si="77"/>
        <v>3.0508474576271187E-3</v>
      </c>
      <c r="K104" s="2"/>
      <c r="L104" s="6">
        <f t="shared" si="78"/>
        <v>1098.44</v>
      </c>
      <c r="M104" s="2"/>
      <c r="N104" s="7">
        <f t="shared" si="79"/>
        <v>0.61024444444444448</v>
      </c>
      <c r="O104" s="11"/>
      <c r="P104" s="6">
        <v>33433.839999999997</v>
      </c>
      <c r="Q104" s="2"/>
      <c r="R104" s="7">
        <f t="shared" si="80"/>
        <v>1.0794312525254394E-2</v>
      </c>
      <c r="S104" s="2"/>
      <c r="T104" s="6">
        <v>18427.710000000003</v>
      </c>
      <c r="U104" s="2"/>
      <c r="V104" s="7">
        <f t="shared" si="81"/>
        <v>5.0380057188334111E-3</v>
      </c>
      <c r="W104" s="2"/>
      <c r="X104" s="6">
        <f t="shared" si="82"/>
        <v>15006.129999999994</v>
      </c>
      <c r="Y104" s="2"/>
      <c r="Z104" s="7">
        <f t="shared" si="83"/>
        <v>0.81432418895239789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1380.76</v>
      </c>
      <c r="E105" s="2"/>
      <c r="F105" s="7">
        <f t="shared" si="76"/>
        <v>3.2337244134506694E-3</v>
      </c>
      <c r="G105" s="2"/>
      <c r="H105" s="6">
        <v>645</v>
      </c>
      <c r="I105" s="2"/>
      <c r="J105" s="7">
        <f t="shared" si="77"/>
        <v>1.0932203389830508E-3</v>
      </c>
      <c r="K105" s="2"/>
      <c r="L105" s="6">
        <f t="shared" si="78"/>
        <v>735.76</v>
      </c>
      <c r="M105" s="2"/>
      <c r="N105" s="7">
        <f t="shared" si="79"/>
        <v>1.1407131782945736</v>
      </c>
      <c r="O105" s="11"/>
      <c r="P105" s="6">
        <v>14532.4</v>
      </c>
      <c r="Q105" s="2"/>
      <c r="R105" s="7">
        <f t="shared" si="80"/>
        <v>4.6918710905479886E-3</v>
      </c>
      <c r="S105" s="2"/>
      <c r="T105" s="6">
        <v>5341.25</v>
      </c>
      <c r="U105" s="2"/>
      <c r="V105" s="7">
        <f t="shared" si="81"/>
        <v>1.4602600130845858E-3</v>
      </c>
      <c r="W105" s="2"/>
      <c r="X105" s="6">
        <f t="shared" si="82"/>
        <v>9191.15</v>
      </c>
      <c r="Y105" s="2"/>
      <c r="Z105" s="7">
        <f t="shared" si="83"/>
        <v>1.7207863327872688</v>
      </c>
    </row>
    <row r="106" spans="1:26" s="24" customFormat="1" hidden="1" outlineLevel="2" x14ac:dyDescent="0.25">
      <c r="A106" s="26"/>
      <c r="B106" s="11" t="str">
        <f>CONCATENATE("          ", "6243", " - ", "PAPER SUPPLIES")</f>
        <v xml:space="preserve">          6243 - PAPER SUPPLIES</v>
      </c>
      <c r="C106" s="11"/>
      <c r="D106" s="6">
        <v>2281.39</v>
      </c>
      <c r="E106" s="2"/>
      <c r="F106" s="7">
        <f t="shared" si="76"/>
        <v>5.3429897589749283E-3</v>
      </c>
      <c r="G106" s="2"/>
      <c r="H106" s="6">
        <v>2650</v>
      </c>
      <c r="I106" s="2"/>
      <c r="J106" s="7">
        <f t="shared" si="77"/>
        <v>4.4915254237288139E-3</v>
      </c>
      <c r="K106" s="2"/>
      <c r="L106" s="6">
        <f t="shared" si="78"/>
        <v>-368.61000000000013</v>
      </c>
      <c r="M106" s="2"/>
      <c r="N106" s="7">
        <f t="shared" si="79"/>
        <v>-0.13909811320754722</v>
      </c>
      <c r="O106" s="11"/>
      <c r="P106" s="6">
        <v>18846.25</v>
      </c>
      <c r="Q106" s="2"/>
      <c r="R106" s="7">
        <f t="shared" si="80"/>
        <v>6.0846230175497533E-3</v>
      </c>
      <c r="S106" s="2"/>
      <c r="T106" s="6">
        <v>22839.52</v>
      </c>
      <c r="U106" s="2"/>
      <c r="V106" s="7">
        <f t="shared" si="81"/>
        <v>6.244163402582853E-3</v>
      </c>
      <c r="W106" s="2"/>
      <c r="X106" s="6">
        <f t="shared" si="82"/>
        <v>-3993.2700000000004</v>
      </c>
      <c r="Y106" s="2"/>
      <c r="Z106" s="7">
        <f t="shared" si="83"/>
        <v>-0.17484036442096859</v>
      </c>
    </row>
    <row r="107" spans="1:26" s="24" customFormat="1" hidden="1" outlineLevel="2" x14ac:dyDescent="0.25">
      <c r="A107" s="26"/>
      <c r="B107" s="11" t="str">
        <f>CONCATENATE("          ", "6244", " - ", "SAFETY SUPPLY EXPENSE")</f>
        <v xml:space="preserve">          6244 - SAFETY SUPPLY EXPENSE</v>
      </c>
      <c r="C107" s="11"/>
      <c r="D107" s="6"/>
      <c r="E107" s="2"/>
      <c r="F107" s="7">
        <f t="shared" si="76"/>
        <v>0</v>
      </c>
      <c r="G107" s="2"/>
      <c r="H107" s="6">
        <v>110</v>
      </c>
      <c r="I107" s="2"/>
      <c r="J107" s="7">
        <f t="shared" si="77"/>
        <v>1.864406779661017E-4</v>
      </c>
      <c r="K107" s="2"/>
      <c r="L107" s="6">
        <f t="shared" si="78"/>
        <v>-110</v>
      </c>
      <c r="M107" s="2"/>
      <c r="N107" s="7">
        <f t="shared" si="79"/>
        <v>-1</v>
      </c>
      <c r="O107" s="11"/>
      <c r="P107" s="6"/>
      <c r="Q107" s="2"/>
      <c r="R107" s="7">
        <f t="shared" si="80"/>
        <v>0</v>
      </c>
      <c r="S107" s="2"/>
      <c r="T107" s="6">
        <v>660</v>
      </c>
      <c r="U107" s="2"/>
      <c r="V107" s="7">
        <f t="shared" si="81"/>
        <v>1.8043933697839019E-4</v>
      </c>
      <c r="W107" s="2"/>
      <c r="X107" s="6">
        <f t="shared" si="82"/>
        <v>-660</v>
      </c>
      <c r="Y107" s="2"/>
      <c r="Z107" s="7">
        <f t="shared" si="83"/>
        <v>-1</v>
      </c>
    </row>
    <row r="108" spans="1:26" s="24" customFormat="1" hidden="1" outlineLevel="2" x14ac:dyDescent="0.25">
      <c r="A108" s="26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76"/>
        <v>0</v>
      </c>
      <c r="G108" s="2"/>
      <c r="H108" s="6">
        <v>50</v>
      </c>
      <c r="I108" s="2"/>
      <c r="J108" s="7">
        <f t="shared" si="77"/>
        <v>8.4745762711864412E-5</v>
      </c>
      <c r="K108" s="2"/>
      <c r="L108" s="6">
        <f t="shared" si="78"/>
        <v>-50</v>
      </c>
      <c r="M108" s="2"/>
      <c r="N108" s="7">
        <f t="shared" si="79"/>
        <v>-1</v>
      </c>
      <c r="O108" s="11"/>
      <c r="P108" s="6">
        <v>270.89999999999998</v>
      </c>
      <c r="Q108" s="2"/>
      <c r="R108" s="7">
        <f t="shared" si="80"/>
        <v>8.7461663485002475E-5</v>
      </c>
      <c r="S108" s="2"/>
      <c r="T108" s="6">
        <v>1350</v>
      </c>
      <c r="U108" s="2"/>
      <c r="V108" s="7">
        <f t="shared" si="81"/>
        <v>3.6908046200125267E-4</v>
      </c>
      <c r="W108" s="2"/>
      <c r="X108" s="6">
        <f t="shared" si="82"/>
        <v>-1079.0999999999999</v>
      </c>
      <c r="Y108" s="2"/>
      <c r="Z108" s="7">
        <f t="shared" si="83"/>
        <v>-0.79933333333333323</v>
      </c>
    </row>
    <row r="109" spans="1:26" s="24" customFormat="1" hidden="1" outlineLevel="2" x14ac:dyDescent="0.25">
      <c r="A109" s="26"/>
      <c r="B109" s="11" t="str">
        <f>CONCATENATE("          ", "6246", " - ", "REPLACEMENTS")</f>
        <v xml:space="preserve">          6246 - REPLACEMENTS</v>
      </c>
      <c r="C109" s="11"/>
      <c r="D109" s="6"/>
      <c r="E109" s="2"/>
      <c r="F109" s="7">
        <f t="shared" si="76"/>
        <v>0</v>
      </c>
      <c r="G109" s="2"/>
      <c r="H109" s="6"/>
      <c r="I109" s="2"/>
      <c r="J109" s="7">
        <f t="shared" si="77"/>
        <v>0</v>
      </c>
      <c r="K109" s="2"/>
      <c r="L109" s="6">
        <f t="shared" si="78"/>
        <v>0</v>
      </c>
      <c r="M109" s="2"/>
      <c r="N109" s="7">
        <f t="shared" si="79"/>
        <v>0</v>
      </c>
      <c r="O109" s="11"/>
      <c r="P109" s="6"/>
      <c r="Q109" s="2"/>
      <c r="R109" s="7">
        <f t="shared" si="80"/>
        <v>0</v>
      </c>
      <c r="S109" s="2"/>
      <c r="T109" s="6">
        <v>2400</v>
      </c>
      <c r="U109" s="2"/>
      <c r="V109" s="7">
        <f t="shared" si="81"/>
        <v>6.5614304355778258E-4</v>
      </c>
      <c r="W109" s="2"/>
      <c r="X109" s="6">
        <f t="shared" si="82"/>
        <v>-2400</v>
      </c>
      <c r="Y109" s="2"/>
      <c r="Z109" s="7">
        <f t="shared" si="83"/>
        <v>-1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>
        <v>492.31</v>
      </c>
      <c r="E110" s="2"/>
      <c r="F110" s="7">
        <f t="shared" si="76"/>
        <v>1.1529844911395892E-3</v>
      </c>
      <c r="G110" s="2"/>
      <c r="H110" s="6">
        <v>262.16000000000003</v>
      </c>
      <c r="I110" s="2"/>
      <c r="J110" s="7">
        <f t="shared" si="77"/>
        <v>4.443389830508475E-4</v>
      </c>
      <c r="K110" s="2"/>
      <c r="L110" s="6">
        <f t="shared" si="78"/>
        <v>230.14999999999998</v>
      </c>
      <c r="M110" s="2"/>
      <c r="N110" s="7">
        <f t="shared" si="79"/>
        <v>0.8778989929813853</v>
      </c>
      <c r="O110" s="11"/>
      <c r="P110" s="6">
        <v>3392.57</v>
      </c>
      <c r="Q110" s="2"/>
      <c r="R110" s="7">
        <f t="shared" si="80"/>
        <v>1.0953112428546139E-3</v>
      </c>
      <c r="S110" s="2"/>
      <c r="T110" s="6">
        <v>3551.02</v>
      </c>
      <c r="U110" s="2"/>
      <c r="V110" s="7">
        <f t="shared" si="81"/>
        <v>9.7082377938939872E-4</v>
      </c>
      <c r="W110" s="2"/>
      <c r="X110" s="6">
        <f t="shared" si="82"/>
        <v>-158.44999999999982</v>
      </c>
      <c r="Y110" s="2"/>
      <c r="Z110" s="7">
        <f t="shared" si="83"/>
        <v>-4.4620982140342727E-2</v>
      </c>
    </row>
    <row r="111" spans="1:26" s="24" customFormat="1" hidden="1" outlineLevel="2" x14ac:dyDescent="0.25">
      <c r="A111" s="26"/>
      <c r="B111" s="11" t="str">
        <f>CONCATENATE("          ", "6248", " - ", "UNIFORMS")</f>
        <v xml:space="preserve">          6248 - UNIFORMS</v>
      </c>
      <c r="C111" s="11"/>
      <c r="D111" s="6"/>
      <c r="E111" s="2"/>
      <c r="F111" s="7">
        <f t="shared" si="76"/>
        <v>0</v>
      </c>
      <c r="G111" s="2"/>
      <c r="H111" s="6">
        <v>800</v>
      </c>
      <c r="I111" s="2"/>
      <c r="J111" s="7">
        <f t="shared" si="77"/>
        <v>1.3559322033898306E-3</v>
      </c>
      <c r="K111" s="2"/>
      <c r="L111" s="6">
        <f t="shared" si="78"/>
        <v>-800</v>
      </c>
      <c r="M111" s="2"/>
      <c r="N111" s="7">
        <f t="shared" si="79"/>
        <v>-1</v>
      </c>
      <c r="O111" s="11"/>
      <c r="P111" s="6">
        <v>3733.75</v>
      </c>
      <c r="Q111" s="2"/>
      <c r="R111" s="7">
        <f t="shared" si="80"/>
        <v>1.2054632190370174E-3</v>
      </c>
      <c r="S111" s="2"/>
      <c r="T111" s="6">
        <v>6650</v>
      </c>
      <c r="U111" s="2"/>
      <c r="V111" s="7">
        <f t="shared" si="81"/>
        <v>1.8180630165246891E-3</v>
      </c>
      <c r="W111" s="2"/>
      <c r="X111" s="6">
        <f t="shared" si="82"/>
        <v>-2916.25</v>
      </c>
      <c r="Y111" s="2"/>
      <c r="Z111" s="7">
        <f t="shared" si="83"/>
        <v>-0.43853383458646616</v>
      </c>
    </row>
    <row r="112" spans="1:26" s="25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SUM(OSRRefD22_19x_0)</f>
        <v>1912.79</v>
      </c>
      <c r="E112" s="1"/>
      <c r="F112" s="5">
        <f t="shared" ref="F112:F114" si="84">IF(D$12=0,0,D112/D$12)</f>
        <v>4.4797326985169805E-3</v>
      </c>
      <c r="G112" s="1"/>
      <c r="H112" s="1">
        <f>SUM(OSRRefH22_19x_0)</f>
        <v>2011</v>
      </c>
      <c r="I112" s="1"/>
      <c r="J112" s="5">
        <f t="shared" ref="J112:J114" si="85">IF(H$12=0,0,H112/H$12)</f>
        <v>3.4084745762711865E-3</v>
      </c>
      <c r="K112" s="1"/>
      <c r="L112" s="1">
        <f t="shared" ref="L112:L114" si="86">+D112-H112</f>
        <v>-98.210000000000036</v>
      </c>
      <c r="M112" s="1"/>
      <c r="N112" s="5">
        <f t="shared" ref="N112:N114" si="87">IF(H112=0,0,L112/H112)</f>
        <v>-4.8836399801093999E-2</v>
      </c>
      <c r="O112" s="13"/>
      <c r="P112" s="1">
        <f>SUM(OSRRefP22_19x_0)</f>
        <v>10498.52</v>
      </c>
      <c r="Q112" s="1"/>
      <c r="R112" s="5">
        <f t="shared" ref="R112:R114" si="88">IF(P$12=0,0,P112/P$12)</f>
        <v>3.3895091300500859E-3</v>
      </c>
      <c r="S112" s="1"/>
      <c r="T112" s="1">
        <f>SUM(OSRRefT22_19x_0)</f>
        <v>11047</v>
      </c>
      <c r="U112" s="1"/>
      <c r="V112" s="5">
        <f t="shared" ref="V112:V114" si="89">IF(T$12=0,0,T112/T$12)</f>
        <v>3.0201717509095098E-3</v>
      </c>
      <c r="W112" s="1"/>
      <c r="X112" s="1">
        <f t="shared" ref="X112:X114" si="90">+P112-T112</f>
        <v>-548.47999999999956</v>
      </c>
      <c r="Y112" s="1"/>
      <c r="Z112" s="5">
        <f t="shared" ref="Z112:Z114" si="91">IF(T112=0,0,X112/T112)</f>
        <v>-4.9649678645786149E-2</v>
      </c>
    </row>
    <row r="113" spans="1:26" s="24" customFormat="1" hidden="1" outlineLevel="2" x14ac:dyDescent="0.25">
      <c r="A113" s="26"/>
      <c r="B113" s="11" t="str">
        <f>CONCATENATE("          ", "6303", " - ", "DATA PHONE LINES")</f>
        <v xml:space="preserve">          6303 - DATA PHONE LINES</v>
      </c>
      <c r="C113" s="11"/>
      <c r="D113" s="6"/>
      <c r="E113" s="2"/>
      <c r="F113" s="7">
        <f t="shared" si="84"/>
        <v>0</v>
      </c>
      <c r="G113" s="2"/>
      <c r="H113" s="6">
        <v>696</v>
      </c>
      <c r="I113" s="2"/>
      <c r="J113" s="7">
        <f t="shared" si="85"/>
        <v>1.1796610169491526E-3</v>
      </c>
      <c r="K113" s="2"/>
      <c r="L113" s="6">
        <f t="shared" si="86"/>
        <v>-696</v>
      </c>
      <c r="M113" s="2"/>
      <c r="N113" s="7">
        <f t="shared" si="87"/>
        <v>-1</v>
      </c>
      <c r="O113" s="11"/>
      <c r="P113" s="6"/>
      <c r="Q113" s="2"/>
      <c r="R113" s="7">
        <f t="shared" si="88"/>
        <v>0</v>
      </c>
      <c r="S113" s="2"/>
      <c r="T113" s="6">
        <v>3382</v>
      </c>
      <c r="U113" s="2"/>
      <c r="V113" s="7">
        <f t="shared" si="89"/>
        <v>9.2461490554684187E-4</v>
      </c>
      <c r="W113" s="2"/>
      <c r="X113" s="6">
        <f t="shared" si="90"/>
        <v>-3382</v>
      </c>
      <c r="Y113" s="2"/>
      <c r="Z113" s="7">
        <f t="shared" si="91"/>
        <v>-1</v>
      </c>
    </row>
    <row r="114" spans="1:26" s="24" customFormat="1" hidden="1" outlineLevel="2" x14ac:dyDescent="0.25">
      <c r="A114" s="26"/>
      <c r="B114" s="11" t="str">
        <f>CONCATENATE("          ", "6309", " - ", "TELEPHONE")</f>
        <v xml:space="preserve">          6309 - TELEPHONE</v>
      </c>
      <c r="C114" s="11"/>
      <c r="D114" s="6">
        <v>1912.79</v>
      </c>
      <c r="E114" s="2"/>
      <c r="F114" s="7">
        <f t="shared" si="84"/>
        <v>4.4797326985169805E-3</v>
      </c>
      <c r="G114" s="2"/>
      <c r="H114" s="6">
        <v>1315</v>
      </c>
      <c r="I114" s="2"/>
      <c r="J114" s="7">
        <f t="shared" si="85"/>
        <v>2.2288135593220341E-3</v>
      </c>
      <c r="K114" s="2"/>
      <c r="L114" s="6">
        <f t="shared" si="86"/>
        <v>597.79</v>
      </c>
      <c r="M114" s="2"/>
      <c r="N114" s="7">
        <f t="shared" si="87"/>
        <v>0.4545931558935361</v>
      </c>
      <c r="O114" s="11"/>
      <c r="P114" s="6">
        <v>10498.52</v>
      </c>
      <c r="Q114" s="2"/>
      <c r="R114" s="7">
        <f t="shared" si="88"/>
        <v>3.3895091300500859E-3</v>
      </c>
      <c r="S114" s="2"/>
      <c r="T114" s="6">
        <v>7665</v>
      </c>
      <c r="U114" s="2"/>
      <c r="V114" s="7">
        <f t="shared" si="89"/>
        <v>2.095556845362668E-3</v>
      </c>
      <c r="W114" s="2"/>
      <c r="X114" s="6">
        <f t="shared" si="90"/>
        <v>2833.5200000000004</v>
      </c>
      <c r="Y114" s="2"/>
      <c r="Z114" s="7">
        <f t="shared" si="91"/>
        <v>0.36966992824527078</v>
      </c>
    </row>
    <row r="115" spans="1:26" s="25" customFormat="1" outlineLevel="1" collapsed="1" x14ac:dyDescent="0.25">
      <c r="A115" s="27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SUM(OSRRefD22_20x_0)</f>
        <v>159</v>
      </c>
      <c r="E115" s="1"/>
      <c r="F115" s="5">
        <f t="shared" ref="F115:F120" si="92">IF(D$12=0,0,D115/D$12)</f>
        <v>3.7237621435923436E-4</v>
      </c>
      <c r="G115" s="1"/>
      <c r="H115" s="1">
        <f>SUM(OSRRefH22_20x_0)</f>
        <v>160</v>
      </c>
      <c r="I115" s="1"/>
      <c r="J115" s="5">
        <f t="shared" ref="J115:J120" si="93">IF(H$12=0,0,H115/H$12)</f>
        <v>2.711864406779661E-4</v>
      </c>
      <c r="K115" s="1"/>
      <c r="L115" s="1">
        <f t="shared" ref="L115:L120" si="94">+D115-H115</f>
        <v>-1</v>
      </c>
      <c r="M115" s="1"/>
      <c r="N115" s="5">
        <f t="shared" ref="N115:N120" si="95">IF(H115=0,0,L115/H115)</f>
        <v>-6.2500000000000003E-3</v>
      </c>
      <c r="O115" s="13"/>
      <c r="P115" s="1">
        <f>SUM(OSRRefP22_20x_0)</f>
        <v>1811.5</v>
      </c>
      <c r="Q115" s="1"/>
      <c r="R115" s="5">
        <f t="shared" ref="R115:R120" si="96">IF(P$12=0,0,P115/P$12)</f>
        <v>5.8485346402023628E-4</v>
      </c>
      <c r="S115" s="1"/>
      <c r="T115" s="1">
        <f>SUM(OSRRefT22_20x_0)</f>
        <v>5740</v>
      </c>
      <c r="U115" s="1"/>
      <c r="V115" s="5">
        <f t="shared" ref="V115:V120" si="97">IF(T$12=0,0,T115/T$12)</f>
        <v>1.5692754458423632E-3</v>
      </c>
      <c r="W115" s="1"/>
      <c r="X115" s="1">
        <f t="shared" ref="X115:X120" si="98">+P115-T115</f>
        <v>-3928.5</v>
      </c>
      <c r="Y115" s="1"/>
      <c r="Z115" s="5">
        <f t="shared" ref="Z115:Z120" si="99">IF(T115=0,0,X115/T115)</f>
        <v>-0.68440766550522647</v>
      </c>
    </row>
    <row r="116" spans="1:26" s="24" customFormat="1" hidden="1" outlineLevel="2" x14ac:dyDescent="0.25">
      <c r="A116" s="26"/>
      <c r="B116" s="11" t="str">
        <f>CONCATENATE("          ", "6376", " - ", "TRAINING")</f>
        <v xml:space="preserve">          6376 - TRAINING</v>
      </c>
      <c r="C116" s="11"/>
      <c r="D116" s="6">
        <v>159</v>
      </c>
      <c r="E116" s="2"/>
      <c r="F116" s="7">
        <f t="shared" si="92"/>
        <v>3.7237621435923436E-4</v>
      </c>
      <c r="G116" s="2"/>
      <c r="H116" s="6">
        <v>160</v>
      </c>
      <c r="I116" s="2"/>
      <c r="J116" s="7">
        <f t="shared" si="93"/>
        <v>2.711864406779661E-4</v>
      </c>
      <c r="K116" s="2"/>
      <c r="L116" s="6">
        <f t="shared" si="94"/>
        <v>-1</v>
      </c>
      <c r="M116" s="2"/>
      <c r="N116" s="7">
        <f t="shared" si="95"/>
        <v>-6.2500000000000003E-3</v>
      </c>
      <c r="O116" s="11"/>
      <c r="P116" s="6">
        <v>1811.5</v>
      </c>
      <c r="Q116" s="2"/>
      <c r="R116" s="7">
        <f t="shared" si="96"/>
        <v>5.8485346402023628E-4</v>
      </c>
      <c r="S116" s="2"/>
      <c r="T116" s="6">
        <v>5740</v>
      </c>
      <c r="U116" s="2"/>
      <c r="V116" s="7">
        <f t="shared" si="97"/>
        <v>1.5692754458423632E-3</v>
      </c>
      <c r="W116" s="2"/>
      <c r="X116" s="6">
        <f t="shared" si="98"/>
        <v>-3928.5</v>
      </c>
      <c r="Y116" s="2"/>
      <c r="Z116" s="7">
        <f t="shared" si="99"/>
        <v>-0.68440766550522647</v>
      </c>
    </row>
    <row r="117" spans="1:26" s="25" customFormat="1" outlineLevel="1" collapsed="1" x14ac:dyDescent="0.25">
      <c r="A117" s="27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SUM(OSRRefD22_21x_0)</f>
        <v>1540.91</v>
      </c>
      <c r="E117" s="1"/>
      <c r="F117" s="5">
        <f t="shared" si="92"/>
        <v>3.6087939148948919E-3</v>
      </c>
      <c r="G117" s="1"/>
      <c r="H117" s="1">
        <f>SUM(OSRRefH22_21x_0)</f>
        <v>0</v>
      </c>
      <c r="I117" s="1"/>
      <c r="J117" s="5">
        <f t="shared" si="93"/>
        <v>0</v>
      </c>
      <c r="K117" s="1"/>
      <c r="L117" s="1">
        <f t="shared" si="94"/>
        <v>1540.91</v>
      </c>
      <c r="M117" s="1"/>
      <c r="N117" s="5">
        <f t="shared" si="95"/>
        <v>0</v>
      </c>
      <c r="O117" s="13"/>
      <c r="P117" s="1">
        <f>SUM(OSRRefP22_21x_0)</f>
        <v>2943.8199999999997</v>
      </c>
      <c r="Q117" s="1"/>
      <c r="R117" s="5">
        <f t="shared" si="96"/>
        <v>9.5042965743971945E-4</v>
      </c>
      <c r="S117" s="1"/>
      <c r="T117" s="1">
        <f>SUM(OSRRefT22_21x_0)</f>
        <v>7700</v>
      </c>
      <c r="U117" s="1"/>
      <c r="V117" s="5">
        <f t="shared" si="97"/>
        <v>2.1051255980812189E-3</v>
      </c>
      <c r="W117" s="1"/>
      <c r="X117" s="1">
        <f t="shared" si="98"/>
        <v>-4756.18</v>
      </c>
      <c r="Y117" s="1"/>
      <c r="Z117" s="5">
        <f t="shared" si="99"/>
        <v>-0.61768571428571428</v>
      </c>
    </row>
    <row r="118" spans="1:26" s="24" customFormat="1" hidden="1" outlineLevel="2" x14ac:dyDescent="0.25">
      <c r="A118" s="26"/>
      <c r="B118" s="11" t="str">
        <f>CONCATENATE("          ", "6292", " - ", "TRAVEL/CONFERENCE")</f>
        <v xml:space="preserve">          6292 - TRAVEL/CONFERENCE</v>
      </c>
      <c r="C118" s="11"/>
      <c r="D118" s="6">
        <v>1426.23</v>
      </c>
      <c r="E118" s="2"/>
      <c r="F118" s="7">
        <f t="shared" si="92"/>
        <v>3.3402146428023324E-3</v>
      </c>
      <c r="G118" s="2"/>
      <c r="H118" s="6"/>
      <c r="I118" s="2"/>
      <c r="J118" s="7">
        <f t="shared" si="93"/>
        <v>0</v>
      </c>
      <c r="K118" s="2"/>
      <c r="L118" s="6">
        <f t="shared" si="94"/>
        <v>1426.23</v>
      </c>
      <c r="M118" s="2"/>
      <c r="N118" s="7">
        <f t="shared" si="95"/>
        <v>0</v>
      </c>
      <c r="O118" s="11"/>
      <c r="P118" s="6">
        <v>2125.6</v>
      </c>
      <c r="Q118" s="2"/>
      <c r="R118" s="7">
        <f t="shared" si="96"/>
        <v>6.8626250241314612E-4</v>
      </c>
      <c r="S118" s="2"/>
      <c r="T118" s="6">
        <v>7700</v>
      </c>
      <c r="U118" s="2"/>
      <c r="V118" s="7">
        <f t="shared" si="97"/>
        <v>2.1051255980812189E-3</v>
      </c>
      <c r="W118" s="2"/>
      <c r="X118" s="6">
        <f t="shared" si="98"/>
        <v>-5574.4</v>
      </c>
      <c r="Y118" s="2"/>
      <c r="Z118" s="7">
        <f t="shared" si="99"/>
        <v>-0.7239480519480519</v>
      </c>
    </row>
    <row r="119" spans="1:26" s="24" customFormat="1" hidden="1" outlineLevel="2" x14ac:dyDescent="0.25">
      <c r="A119" s="26"/>
      <c r="B119" s="11" t="str">
        <f>CONCATENATE("          ", "6294", " - ", "TRAVEL OPERATIONAL")</f>
        <v xml:space="preserve">          6294 - TRAVEL OPERATIONAL</v>
      </c>
      <c r="C119" s="11"/>
      <c r="D119" s="6"/>
      <c r="E119" s="2"/>
      <c r="F119" s="7">
        <f t="shared" si="92"/>
        <v>0</v>
      </c>
      <c r="G119" s="2"/>
      <c r="H119" s="6"/>
      <c r="I119" s="2"/>
      <c r="J119" s="7">
        <f t="shared" si="93"/>
        <v>0</v>
      </c>
      <c r="K119" s="2"/>
      <c r="L119" s="6">
        <f t="shared" si="94"/>
        <v>0</v>
      </c>
      <c r="M119" s="2"/>
      <c r="N119" s="7">
        <f t="shared" si="95"/>
        <v>0</v>
      </c>
      <c r="O119" s="11"/>
      <c r="P119" s="6">
        <v>45.49</v>
      </c>
      <c r="Q119" s="2"/>
      <c r="R119" s="7">
        <f t="shared" si="96"/>
        <v>1.4686714920386723E-5</v>
      </c>
      <c r="S119" s="2"/>
      <c r="T119" s="6"/>
      <c r="U119" s="2"/>
      <c r="V119" s="7">
        <f t="shared" si="97"/>
        <v>0</v>
      </c>
      <c r="W119" s="2"/>
      <c r="X119" s="6">
        <f t="shared" si="98"/>
        <v>45.49</v>
      </c>
      <c r="Y119" s="2"/>
      <c r="Z119" s="7">
        <f t="shared" si="99"/>
        <v>0</v>
      </c>
    </row>
    <row r="120" spans="1:26" s="24" customFormat="1" hidden="1" outlineLevel="2" x14ac:dyDescent="0.25">
      <c r="A120" s="26"/>
      <c r="B120" s="11" t="str">
        <f>CONCATENATE("          ", "6298", " - ", "VEHICLE MILEAGE")</f>
        <v xml:space="preserve">          6298 - VEHICLE MILEAGE</v>
      </c>
      <c r="C120" s="11"/>
      <c r="D120" s="6">
        <v>114.68</v>
      </c>
      <c r="E120" s="2"/>
      <c r="F120" s="7">
        <f t="shared" si="92"/>
        <v>2.6857927209255976E-4</v>
      </c>
      <c r="G120" s="2"/>
      <c r="H120" s="6"/>
      <c r="I120" s="2"/>
      <c r="J120" s="7">
        <f t="shared" si="93"/>
        <v>0</v>
      </c>
      <c r="K120" s="2"/>
      <c r="L120" s="6">
        <f t="shared" si="94"/>
        <v>114.68</v>
      </c>
      <c r="M120" s="2"/>
      <c r="N120" s="7">
        <f t="shared" si="95"/>
        <v>0</v>
      </c>
      <c r="O120" s="11"/>
      <c r="P120" s="6">
        <v>772.73</v>
      </c>
      <c r="Q120" s="2"/>
      <c r="R120" s="7">
        <f t="shared" si="96"/>
        <v>2.4948044010618669E-4</v>
      </c>
      <c r="S120" s="2"/>
      <c r="T120" s="6">
        <v>0</v>
      </c>
      <c r="U120" s="2"/>
      <c r="V120" s="7">
        <f t="shared" si="97"/>
        <v>0</v>
      </c>
      <c r="W120" s="2"/>
      <c r="X120" s="6">
        <f t="shared" si="98"/>
        <v>772.73</v>
      </c>
      <c r="Y120" s="2"/>
      <c r="Z120" s="7">
        <f t="shared" si="99"/>
        <v>0</v>
      </c>
    </row>
    <row r="121" spans="1:26" s="25" customFormat="1" outlineLevel="1" collapsed="1" x14ac:dyDescent="0.25">
      <c r="A121" s="27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SUM(OSRRefD22_22x_0)</f>
        <v>38547</v>
      </c>
      <c r="E121" s="1"/>
      <c r="F121" s="5">
        <f t="shared" ref="F121:F122" si="100">IF(D$12=0,0,D121/D$12)</f>
        <v>9.0276641100034E-2</v>
      </c>
      <c r="G121" s="1"/>
      <c r="H121" s="1">
        <f>SUM(OSRRefH22_22x_0)</f>
        <v>17450</v>
      </c>
      <c r="I121" s="1"/>
      <c r="J121" s="5">
        <f t="shared" ref="J121:J122" si="101">IF(H$12=0,0,H121/H$12)</f>
        <v>2.9576271186440677E-2</v>
      </c>
      <c r="K121" s="1"/>
      <c r="L121" s="1">
        <f t="shared" ref="L121:L122" si="102">+D121-H121</f>
        <v>21097</v>
      </c>
      <c r="M121" s="1"/>
      <c r="N121" s="5">
        <f t="shared" ref="N121:N122" si="103">IF(H121=0,0,L121/H121)</f>
        <v>1.2089971346704871</v>
      </c>
      <c r="O121" s="13"/>
      <c r="P121" s="1">
        <f>SUM(OSRRefP22_22x_0)</f>
        <v>96887</v>
      </c>
      <c r="Q121" s="1"/>
      <c r="R121" s="5">
        <f t="shared" ref="R121:R122" si="104">IF(P$12=0,0,P121/P$12)</f>
        <v>3.1280539645889387E-2</v>
      </c>
      <c r="S121" s="1"/>
      <c r="T121" s="1">
        <f>SUM(OSRRefT22_22x_0)</f>
        <v>114700</v>
      </c>
      <c r="U121" s="1"/>
      <c r="V121" s="5">
        <f t="shared" ref="V121:V122" si="105">IF(T$12=0,0,T121/T$12)</f>
        <v>3.1358169623365691E-2</v>
      </c>
      <c r="W121" s="1"/>
      <c r="X121" s="1">
        <f t="shared" ref="X121:X122" si="106">+P121-T121</f>
        <v>-17813</v>
      </c>
      <c r="Y121" s="1"/>
      <c r="Z121" s="5">
        <f t="shared" ref="Z121:Z122" si="107">IF(T121=0,0,X121/T121)</f>
        <v>-0.15530078465562336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38547</v>
      </c>
      <c r="E122" s="2"/>
      <c r="F122" s="7">
        <f t="shared" si="100"/>
        <v>9.0276641100034E-2</v>
      </c>
      <c r="G122" s="2"/>
      <c r="H122" s="6">
        <v>17450</v>
      </c>
      <c r="I122" s="2"/>
      <c r="J122" s="7">
        <f t="shared" si="101"/>
        <v>2.9576271186440677E-2</v>
      </c>
      <c r="K122" s="2"/>
      <c r="L122" s="6">
        <f t="shared" si="102"/>
        <v>21097</v>
      </c>
      <c r="M122" s="2"/>
      <c r="N122" s="7">
        <f t="shared" si="103"/>
        <v>1.2089971346704871</v>
      </c>
      <c r="O122" s="11"/>
      <c r="P122" s="6">
        <v>96887</v>
      </c>
      <c r="Q122" s="2"/>
      <c r="R122" s="7">
        <f t="shared" si="104"/>
        <v>3.1280539645889387E-2</v>
      </c>
      <c r="S122" s="2"/>
      <c r="T122" s="6">
        <v>114700</v>
      </c>
      <c r="U122" s="2"/>
      <c r="V122" s="7">
        <f t="shared" si="105"/>
        <v>3.1358169623365691E-2</v>
      </c>
      <c r="W122" s="2"/>
      <c r="X122" s="6">
        <f t="shared" si="106"/>
        <v>-17813</v>
      </c>
      <c r="Y122" s="2"/>
      <c r="Z122" s="7">
        <f t="shared" si="107"/>
        <v>-0.15530078465562336</v>
      </c>
    </row>
    <row r="123" spans="1:26" s="53" customFormat="1" x14ac:dyDescent="0.25">
      <c r="A123" s="36"/>
      <c r="B123" s="36"/>
      <c r="C123" s="36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6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8" t="s">
        <v>0</v>
      </c>
      <c r="C124" s="10"/>
      <c r="D124" s="4">
        <f>SUM(OSRRefD25x_0)</f>
        <v>21370.27</v>
      </c>
      <c r="E124" s="4"/>
      <c r="F124" s="12">
        <f t="shared" ref="F124:F128" si="108">IF(D$12=0,0,D124/D$12)</f>
        <v>5.0048932342356703E-2</v>
      </c>
      <c r="G124" s="4"/>
      <c r="H124" s="4">
        <f>SUM(OSRRefH25x_0)</f>
        <v>28721</v>
      </c>
      <c r="I124" s="4"/>
      <c r="J124" s="12">
        <f t="shared" ref="J124:J128" si="109">IF(H$12=0,0,H124/H$12)</f>
        <v>4.8679661016949149E-2</v>
      </c>
      <c r="K124" s="4"/>
      <c r="L124" s="4">
        <f t="shared" ref="L124:L128" si="110">+D124-H124</f>
        <v>-7350.73</v>
      </c>
      <c r="M124" s="4"/>
      <c r="N124" s="12">
        <f t="shared" ref="N124:N128" si="111">IF(H124=0,0,L124/H124)</f>
        <v>-0.25593572647191948</v>
      </c>
      <c r="O124" s="10"/>
      <c r="P124" s="4">
        <f>SUM(OSRRefP25x_0)</f>
        <v>514437.52999999997</v>
      </c>
      <c r="Q124" s="4"/>
      <c r="R124" s="12">
        <f t="shared" ref="R124:R128" si="112">IF(P$12=0,0,P124/P$12)</f>
        <v>0.16608919207425568</v>
      </c>
      <c r="S124" s="4"/>
      <c r="T124" s="4">
        <f>SUM(OSRRefT25x_0)</f>
        <v>444395</v>
      </c>
      <c r="U124" s="4"/>
      <c r="V124" s="12">
        <f t="shared" ref="V124:V128" si="113">IF(T$12=0,0,T124/T$12)</f>
        <v>0.12149445326744199</v>
      </c>
      <c r="W124" s="4"/>
      <c r="X124" s="4">
        <f t="shared" ref="X124:X128" si="114">+P124-T124</f>
        <v>70042.52999999997</v>
      </c>
      <c r="Y124" s="4"/>
      <c r="Z124" s="12">
        <f t="shared" ref="Z124:Z128" si="115">IF(T124=0,0,X124/T124)</f>
        <v>0.15761322697150051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--17328.33</f>
        <v>17328.330000000002</v>
      </c>
      <c r="E125" s="2"/>
      <c r="F125" s="19">
        <f t="shared" si="108"/>
        <v>4.0582754255141837E-2</v>
      </c>
      <c r="G125" s="2"/>
      <c r="H125" s="2">
        <v>28721</v>
      </c>
      <c r="I125" s="2"/>
      <c r="J125" s="19">
        <f t="shared" si="109"/>
        <v>4.8679661016949149E-2</v>
      </c>
      <c r="K125" s="2"/>
      <c r="L125" s="2">
        <f t="shared" si="110"/>
        <v>-11392.669999999998</v>
      </c>
      <c r="M125" s="2"/>
      <c r="N125" s="19">
        <f t="shared" si="111"/>
        <v>-0.39666689878486117</v>
      </c>
      <c r="O125" s="11"/>
      <c r="P125" s="2">
        <f>--182971.27</f>
        <v>182971.27</v>
      </c>
      <c r="Q125" s="2"/>
      <c r="R125" s="19">
        <f t="shared" si="112"/>
        <v>5.9073354168193169E-2</v>
      </c>
      <c r="S125" s="2"/>
      <c r="T125" s="2">
        <v>186578</v>
      </c>
      <c r="U125" s="2"/>
      <c r="V125" s="19">
        <f t="shared" si="113"/>
        <v>5.1009106992051648E-2</v>
      </c>
      <c r="W125" s="2"/>
      <c r="X125" s="2">
        <f t="shared" si="114"/>
        <v>-3606.7300000000105</v>
      </c>
      <c r="Y125" s="2"/>
      <c r="Z125" s="19">
        <f t="shared" si="115"/>
        <v>-1.9330950058420664E-2</v>
      </c>
    </row>
    <row r="126" spans="1:26" s="24" customFormat="1" hidden="1" outlineLevel="1" x14ac:dyDescent="0.25">
      <c r="A126" s="44"/>
      <c r="B126" s="11" t="str">
        <f>CONCATENATE("          ", "9151", " - ", "MISC. INCOME")</f>
        <v xml:space="preserve">          9151 - MISC. INCOME</v>
      </c>
      <c r="C126" s="11"/>
      <c r="D126" s="2">
        <f t="shared" ref="D126:D127" si="116">0</f>
        <v>0</v>
      </c>
      <c r="E126" s="2"/>
      <c r="F126" s="19">
        <f t="shared" si="108"/>
        <v>0</v>
      </c>
      <c r="G126" s="2"/>
      <c r="H126" s="2">
        <v>0</v>
      </c>
      <c r="I126" s="2"/>
      <c r="J126" s="19">
        <f t="shared" si="109"/>
        <v>0</v>
      </c>
      <c r="K126" s="2"/>
      <c r="L126" s="2">
        <f t="shared" si="110"/>
        <v>0</v>
      </c>
      <c r="M126" s="2"/>
      <c r="N126" s="19">
        <f t="shared" si="111"/>
        <v>0</v>
      </c>
      <c r="O126" s="11"/>
      <c r="P126" s="2">
        <f>0</f>
        <v>0</v>
      </c>
      <c r="Q126" s="2"/>
      <c r="R126" s="19">
        <f t="shared" si="112"/>
        <v>0</v>
      </c>
      <c r="S126" s="2"/>
      <c r="T126" s="2">
        <v>257817</v>
      </c>
      <c r="U126" s="2"/>
      <c r="V126" s="19">
        <f t="shared" si="113"/>
        <v>7.048534627539034E-2</v>
      </c>
      <c r="W126" s="2"/>
      <c r="X126" s="2">
        <f t="shared" si="114"/>
        <v>-257817</v>
      </c>
      <c r="Y126" s="2"/>
      <c r="Z126" s="19">
        <f t="shared" si="115"/>
        <v>-1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 t="shared" si="116"/>
        <v>0</v>
      </c>
      <c r="E127" s="2"/>
      <c r="F127" s="19">
        <f t="shared" si="108"/>
        <v>0</v>
      </c>
      <c r="G127" s="2"/>
      <c r="H127" s="2"/>
      <c r="I127" s="2"/>
      <c r="J127" s="19">
        <f t="shared" si="109"/>
        <v>0</v>
      </c>
      <c r="K127" s="2"/>
      <c r="L127" s="2">
        <f t="shared" si="110"/>
        <v>0</v>
      </c>
      <c r="M127" s="2"/>
      <c r="N127" s="19">
        <f t="shared" si="111"/>
        <v>0</v>
      </c>
      <c r="O127" s="11"/>
      <c r="P127" s="2">
        <f>--104050.2</f>
        <v>104050.2</v>
      </c>
      <c r="Q127" s="2"/>
      <c r="R127" s="19">
        <f t="shared" si="112"/>
        <v>3.3593221033396847E-2</v>
      </c>
      <c r="S127" s="2"/>
      <c r="T127" s="2"/>
      <c r="U127" s="2"/>
      <c r="V127" s="19">
        <f t="shared" si="113"/>
        <v>0</v>
      </c>
      <c r="W127" s="2"/>
      <c r="X127" s="2">
        <f t="shared" si="114"/>
        <v>104050.2</v>
      </c>
      <c r="Y127" s="2"/>
      <c r="Z127" s="19">
        <f t="shared" si="115"/>
        <v>0</v>
      </c>
    </row>
    <row r="128" spans="1:26" s="24" customFormat="1" hidden="1" outlineLevel="1" x14ac:dyDescent="0.25">
      <c r="A128" s="44"/>
      <c r="B128" s="11" t="str">
        <f>CONCATENATE("          ", "9165", " - ", "OTHER INCOME")</f>
        <v xml:space="preserve">          9165 - OTHER INCOME</v>
      </c>
      <c r="C128" s="11"/>
      <c r="D128" s="2">
        <f>--4041.94</f>
        <v>4041.94</v>
      </c>
      <c r="E128" s="2"/>
      <c r="F128" s="19">
        <f t="shared" si="108"/>
        <v>9.466178087214866E-3</v>
      </c>
      <c r="G128" s="2"/>
      <c r="H128" s="2"/>
      <c r="I128" s="2"/>
      <c r="J128" s="19">
        <f t="shared" si="109"/>
        <v>0</v>
      </c>
      <c r="K128" s="2"/>
      <c r="L128" s="2">
        <f t="shared" si="110"/>
        <v>4041.94</v>
      </c>
      <c r="M128" s="2"/>
      <c r="N128" s="19">
        <f t="shared" si="111"/>
        <v>0</v>
      </c>
      <c r="O128" s="11"/>
      <c r="P128" s="2">
        <f>--227416.06</f>
        <v>227416.06</v>
      </c>
      <c r="Q128" s="2"/>
      <c r="R128" s="19">
        <f t="shared" si="112"/>
        <v>7.3422616872665686E-2</v>
      </c>
      <c r="S128" s="2"/>
      <c r="T128" s="2"/>
      <c r="U128" s="2"/>
      <c r="V128" s="19">
        <f t="shared" si="113"/>
        <v>0</v>
      </c>
      <c r="W128" s="2"/>
      <c r="X128" s="2">
        <f t="shared" si="114"/>
        <v>227416.06</v>
      </c>
      <c r="Y128" s="2"/>
      <c r="Z128" s="19">
        <f t="shared" si="115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2">
        <f>+D30-D32+D124</f>
        <v>-169979.66000000006</v>
      </c>
      <c r="E130" s="14"/>
      <c r="F130" s="20">
        <f>IF(D$12=0,0,D130/D$12)</f>
        <v>-0.398090454772766</v>
      </c>
      <c r="G130" s="14"/>
      <c r="H130" s="22">
        <f>+H30-H32+H124</f>
        <v>12976.610899118648</v>
      </c>
      <c r="I130" s="14"/>
      <c r="J130" s="20">
        <f>IF(H$12=0,0,H130/H$12)</f>
        <v>2.1994255761218048E-2</v>
      </c>
      <c r="K130" s="16"/>
      <c r="L130" s="22">
        <f>+D130-H130</f>
        <v>-182956.27089911871</v>
      </c>
      <c r="M130" s="16"/>
      <c r="N130" s="20">
        <f>IF(H130=0,0,L130/H130)</f>
        <v>-14.098925545463093</v>
      </c>
      <c r="O130" s="28"/>
      <c r="P130" s="22">
        <f>+P30-P32+P124</f>
        <v>-274371.45</v>
      </c>
      <c r="Q130" s="14"/>
      <c r="R130" s="20">
        <f>IF(P$12=0,0,P130/P$12)</f>
        <v>-8.8582441601300063E-2</v>
      </c>
      <c r="S130" s="14"/>
      <c r="T130" s="22">
        <f>+T30-T32+T124</f>
        <v>196242.35587730538</v>
      </c>
      <c r="U130" s="14"/>
      <c r="V130" s="20">
        <f>IF(T$12=0,0,T130/T$12)</f>
        <v>5.3651273608451934E-2</v>
      </c>
      <c r="W130" s="16"/>
      <c r="X130" s="22">
        <f>+P130-T130</f>
        <v>-470613.80587730539</v>
      </c>
      <c r="Y130" s="16"/>
      <c r="Z130" s="20">
        <f>IF(T130=0,0,X130/T130)</f>
        <v>-2.3981255411117388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51764.33</v>
      </c>
      <c r="E132" s="4"/>
      <c r="F132" s="12">
        <f>IF(D$12=0,0,D132/D$12)</f>
        <v>0.12123147952353551</v>
      </c>
      <c r="G132" s="4"/>
      <c r="H132" s="4">
        <v>82392</v>
      </c>
      <c r="I132" s="4"/>
      <c r="J132" s="12">
        <f>IF(H$12=0,0,H132/H$12)</f>
        <v>0.13964745762711864</v>
      </c>
      <c r="K132" s="4"/>
      <c r="L132" s="4">
        <f>+D132-H132</f>
        <v>-30627.67</v>
      </c>
      <c r="M132" s="4"/>
      <c r="N132" s="12">
        <f>IF(H132=0,0,L132/H132)</f>
        <v>-0.3717311146713273</v>
      </c>
      <c r="O132" s="10"/>
      <c r="P132" s="4">
        <v>334538.41000000003</v>
      </c>
      <c r="Q132" s="4"/>
      <c r="R132" s="12">
        <f>IF(P$12=0,0,P132/P$12)</f>
        <v>0.10800769966123216</v>
      </c>
      <c r="S132" s="4"/>
      <c r="T132" s="4">
        <v>471173</v>
      </c>
      <c r="U132" s="4"/>
      <c r="V132" s="12">
        <f>IF(T$12=0,0,T132/T$12)</f>
        <v>0.12881536927593795</v>
      </c>
      <c r="W132" s="4"/>
      <c r="X132" s="4">
        <f>+P132-T132</f>
        <v>-136634.58999999997</v>
      </c>
      <c r="Y132" s="4"/>
      <c r="Z132" s="12">
        <f>IF(T132=0,0,X132/T132)</f>
        <v>-0.28998815721613924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1">
        <f>+D130-D132</f>
        <v>-221743.99000000005</v>
      </c>
      <c r="E134" s="14"/>
      <c r="F134" s="32">
        <f>IF(D$12=0,0,D134/D$12)</f>
        <v>-0.51932193429630147</v>
      </c>
      <c r="G134" s="14"/>
      <c r="H134" s="31">
        <f>+H130-H132</f>
        <v>-69415.389100881352</v>
      </c>
      <c r="I134" s="14"/>
      <c r="J134" s="32">
        <f>IF(H$12=0,0,H134/H$12)</f>
        <v>-0.1176532018659006</v>
      </c>
      <c r="K134" s="16"/>
      <c r="L134" s="31">
        <f>D134-H134</f>
        <v>-152328.6008991187</v>
      </c>
      <c r="M134" s="16"/>
      <c r="N134" s="32">
        <f>IF(H134=0,0,L134/H134)</f>
        <v>2.1944500041300583</v>
      </c>
      <c r="O134" s="28"/>
      <c r="P134" s="31">
        <f>+P130-P132</f>
        <v>-608909.8600000001</v>
      </c>
      <c r="Q134" s="14"/>
      <c r="R134" s="32">
        <f>IF(P$12=0,0,P134/P$12)</f>
        <v>-0.19659014126253224</v>
      </c>
      <c r="S134" s="14"/>
      <c r="T134" s="31">
        <f>+T130-T132</f>
        <v>-274930.64412269462</v>
      </c>
      <c r="U134" s="14"/>
      <c r="V134" s="32">
        <f>IF(T$12=0,0,T134/T$12)</f>
        <v>-7.5164095667486011E-2</v>
      </c>
      <c r="W134" s="16"/>
      <c r="X134" s="31">
        <f>P134-T134</f>
        <v>-333979.21587730548</v>
      </c>
      <c r="Y134" s="16"/>
      <c r="Z134" s="32">
        <f>IF(T134=0,0,X134/T134)</f>
        <v>1.2147762463621878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5">
        <f>SUM(D134:D136)</f>
        <v>-221743.99000000005</v>
      </c>
      <c r="E137" s="14"/>
      <c r="F137" s="34">
        <f>IF(D$12=0,0,D137/D$12)</f>
        <v>-0.51932193429630147</v>
      </c>
      <c r="G137" s="14"/>
      <c r="H137" s="35">
        <f>SUM(H134:H136)</f>
        <v>-69415.389100881352</v>
      </c>
      <c r="I137" s="14"/>
      <c r="J137" s="34">
        <f>IF(H$12=0,0,H137/H$12)</f>
        <v>-0.1176532018659006</v>
      </c>
      <c r="K137" s="16"/>
      <c r="L137" s="35">
        <f>+D137-H137</f>
        <v>-152328.6008991187</v>
      </c>
      <c r="M137" s="16"/>
      <c r="N137" s="34">
        <f>IF(H137=0,0,L137/H137)</f>
        <v>2.1944500041300583</v>
      </c>
      <c r="O137" s="28"/>
      <c r="P137" s="35">
        <f>SUM(P134:P136)</f>
        <v>-608909.8600000001</v>
      </c>
      <c r="Q137" s="14"/>
      <c r="R137" s="34">
        <f>IF(P$12=0,0,P137/P$12)</f>
        <v>-0.19659014126253224</v>
      </c>
      <c r="S137" s="14"/>
      <c r="T137" s="35">
        <f>SUM(T134:T136)</f>
        <v>-274930.64412269462</v>
      </c>
      <c r="U137" s="14"/>
      <c r="V137" s="34">
        <f>IF(T$12=0,0,T137/T$12)</f>
        <v>-7.5164095667486011E-2</v>
      </c>
      <c r="W137" s="16"/>
      <c r="X137" s="35">
        <f>+P137-T137</f>
        <v>-333979.21587730548</v>
      </c>
      <c r="Y137" s="16"/>
      <c r="Z137" s="34">
        <f>IF(T137=0,0,X137/T137)</f>
        <v>1.2147762463621878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3">
        <v>43847.445579317129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5" t="s">
        <v>314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56"/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81578.179999999993</v>
      </c>
      <c r="E12" s="4"/>
      <c r="F12" s="12"/>
      <c r="G12" s="4"/>
      <c r="H12" s="4">
        <f>SUM(OSRRefH13x_0)</f>
        <v>115000</v>
      </c>
      <c r="I12" s="4"/>
      <c r="J12" s="12"/>
      <c r="K12" s="4"/>
      <c r="L12" s="4">
        <f t="shared" ref="L12:L15" si="0">+D12-H12</f>
        <v>-33421.820000000007</v>
      </c>
      <c r="M12" s="4"/>
      <c r="N12" s="12">
        <f t="shared" ref="N12:N15" si="1">IF(H12=0,0,L12/H12)</f>
        <v>-0.2906245217391305</v>
      </c>
      <c r="O12" s="10"/>
      <c r="P12" s="4">
        <f>SUM(OSRRefP13x_0)</f>
        <v>506433.89</v>
      </c>
      <c r="Q12" s="4"/>
      <c r="R12" s="12"/>
      <c r="S12" s="4"/>
      <c r="T12" s="4">
        <f>SUM(OSRRefT13x_0)</f>
        <v>658300</v>
      </c>
      <c r="U12" s="4"/>
      <c r="V12" s="12"/>
      <c r="W12" s="4"/>
      <c r="X12" s="4">
        <f t="shared" ref="X12:X15" si="2">+P12-T12</f>
        <v>-151866.10999999999</v>
      </c>
      <c r="Y12" s="4"/>
      <c r="Z12" s="12">
        <f t="shared" ref="Z12:Z15" si="3">IF(T12=0,0,X12/T12)</f>
        <v>-0.23069437946225124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115000</v>
      </c>
      <c r="I13" s="2"/>
      <c r="J13" s="19"/>
      <c r="K13" s="2"/>
      <c r="L13" s="2">
        <f t="shared" si="0"/>
        <v>-115000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658300</v>
      </c>
      <c r="U13" s="2"/>
      <c r="V13" s="19"/>
      <c r="W13" s="2"/>
      <c r="X13" s="2">
        <f t="shared" si="2"/>
        <v>-658300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--15664.79</f>
        <v>15664.79</v>
      </c>
      <c r="E14" s="2"/>
      <c r="F14" s="19"/>
      <c r="G14" s="2"/>
      <c r="H14" s="2"/>
      <c r="I14" s="2"/>
      <c r="J14" s="19"/>
      <c r="K14" s="2"/>
      <c r="L14" s="2">
        <f t="shared" si="0"/>
        <v>15664.79</v>
      </c>
      <c r="M14" s="2"/>
      <c r="N14" s="19">
        <f t="shared" si="1"/>
        <v>0</v>
      </c>
      <c r="O14" s="11"/>
      <c r="P14" s="2">
        <f>--110351.72</f>
        <v>110351.72</v>
      </c>
      <c r="Q14" s="2"/>
      <c r="R14" s="19"/>
      <c r="S14" s="2"/>
      <c r="T14" s="2"/>
      <c r="U14" s="2"/>
      <c r="V14" s="19"/>
      <c r="W14" s="2"/>
      <c r="X14" s="2">
        <f t="shared" si="2"/>
        <v>110351.72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--65913.39</f>
        <v>65913.39</v>
      </c>
      <c r="E15" s="2"/>
      <c r="F15" s="19"/>
      <c r="G15" s="2"/>
      <c r="H15" s="2"/>
      <c r="I15" s="2"/>
      <c r="J15" s="19"/>
      <c r="K15" s="2"/>
      <c r="L15" s="2">
        <f t="shared" si="0"/>
        <v>65913.39</v>
      </c>
      <c r="M15" s="2"/>
      <c r="N15" s="19">
        <f t="shared" si="1"/>
        <v>0</v>
      </c>
      <c r="O15" s="11"/>
      <c r="P15" s="2">
        <f>--396082.17</f>
        <v>396082.17</v>
      </c>
      <c r="Q15" s="2"/>
      <c r="R15" s="19"/>
      <c r="S15" s="2"/>
      <c r="T15" s="2"/>
      <c r="U15" s="2"/>
      <c r="V15" s="19"/>
      <c r="W15" s="2"/>
      <c r="X15" s="2">
        <f t="shared" si="2"/>
        <v>396082.17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30685.63</v>
      </c>
      <c r="E17" s="4"/>
      <c r="F17" s="12">
        <f t="shared" ref="F17:F20" si="4">IF(D$12=0,0,D17/D$12)</f>
        <v>0.37614997049456123</v>
      </c>
      <c r="G17" s="4"/>
      <c r="H17" s="4">
        <f>SUM(OSRRefH16x_0)</f>
        <v>36800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-6114.369999999999</v>
      </c>
      <c r="M17" s="4"/>
      <c r="N17" s="12">
        <f t="shared" ref="N17:N20" si="7">IF(H17=0,0,L17/H17)</f>
        <v>-0.16615135869565215</v>
      </c>
      <c r="O17" s="10"/>
      <c r="P17" s="4">
        <f>SUM(OSRRefP16x_0)</f>
        <v>194139.05</v>
      </c>
      <c r="Q17" s="4"/>
      <c r="R17" s="12">
        <f t="shared" ref="R17:R20" si="8">IF(P$12=0,0,P17/P$12)</f>
        <v>0.38334529705348114</v>
      </c>
      <c r="S17" s="4"/>
      <c r="T17" s="4">
        <f>SUM(OSRRefT16x_0)</f>
        <v>210656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-16516.950000000012</v>
      </c>
      <c r="Y17" s="4"/>
      <c r="Z17" s="12">
        <f t="shared" ref="Z17:Z20" si="11">IF(T17=0,0,X17/T17)</f>
        <v>-7.8407213656387725E-2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36800</v>
      </c>
      <c r="I18" s="2"/>
      <c r="J18" s="19">
        <f t="shared" si="5"/>
        <v>0.32</v>
      </c>
      <c r="K18" s="2"/>
      <c r="L18" s="2">
        <f t="shared" si="6"/>
        <v>-36800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210656</v>
      </c>
      <c r="U18" s="2"/>
      <c r="V18" s="19">
        <f t="shared" si="9"/>
        <v>0.32</v>
      </c>
      <c r="W18" s="2"/>
      <c r="X18" s="2">
        <f t="shared" si="10"/>
        <v>-210656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31975.63</v>
      </c>
      <c r="E19" s="2"/>
      <c r="F19" s="19">
        <f t="shared" si="4"/>
        <v>0.39196302246507586</v>
      </c>
      <c r="G19" s="2"/>
      <c r="H19" s="2"/>
      <c r="I19" s="2"/>
      <c r="J19" s="19">
        <f t="shared" si="5"/>
        <v>0</v>
      </c>
      <c r="K19" s="2"/>
      <c r="L19" s="2">
        <f t="shared" si="6"/>
        <v>31975.63</v>
      </c>
      <c r="M19" s="2"/>
      <c r="N19" s="19">
        <f t="shared" si="7"/>
        <v>0</v>
      </c>
      <c r="O19" s="11"/>
      <c r="P19" s="2">
        <v>202741.05</v>
      </c>
      <c r="Q19" s="2"/>
      <c r="R19" s="19">
        <f t="shared" si="8"/>
        <v>0.40033073221067411</v>
      </c>
      <c r="S19" s="2"/>
      <c r="T19" s="2"/>
      <c r="U19" s="2"/>
      <c r="V19" s="19">
        <f t="shared" si="9"/>
        <v>0</v>
      </c>
      <c r="W19" s="2"/>
      <c r="X19" s="2">
        <f t="shared" si="10"/>
        <v>202741.05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-1290</v>
      </c>
      <c r="E20" s="2"/>
      <c r="F20" s="19">
        <f t="shared" si="4"/>
        <v>-1.5813051970514667E-2</v>
      </c>
      <c r="G20" s="2"/>
      <c r="H20" s="2"/>
      <c r="I20" s="2"/>
      <c r="J20" s="19">
        <f t="shared" si="5"/>
        <v>0</v>
      </c>
      <c r="K20" s="2"/>
      <c r="L20" s="2">
        <f t="shared" si="6"/>
        <v>-1290</v>
      </c>
      <c r="M20" s="2"/>
      <c r="N20" s="19">
        <f t="shared" si="7"/>
        <v>0</v>
      </c>
      <c r="O20" s="11"/>
      <c r="P20" s="2">
        <v>-8602</v>
      </c>
      <c r="Q20" s="2"/>
      <c r="R20" s="19">
        <f t="shared" si="8"/>
        <v>-1.6985435157192974E-2</v>
      </c>
      <c r="S20" s="2"/>
      <c r="T20" s="2"/>
      <c r="U20" s="2"/>
      <c r="V20" s="19">
        <f t="shared" si="9"/>
        <v>0</v>
      </c>
      <c r="W20" s="2"/>
      <c r="X20" s="2">
        <f t="shared" si="10"/>
        <v>-8602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50892.549999999988</v>
      </c>
      <c r="E22" s="14"/>
      <c r="F22" s="20">
        <f>IF(D$12=0,0,D22/D$12)</f>
        <v>0.62385002950543877</v>
      </c>
      <c r="G22" s="14"/>
      <c r="H22" s="22">
        <f>H12-H17</f>
        <v>78200</v>
      </c>
      <c r="I22" s="14"/>
      <c r="J22" s="20">
        <f>IF(H$12=0,0,H22/H$12)</f>
        <v>0.68</v>
      </c>
      <c r="K22" s="16"/>
      <c r="L22" s="22">
        <f>+D22-H22</f>
        <v>-27307.450000000012</v>
      </c>
      <c r="M22" s="16"/>
      <c r="N22" s="20">
        <f>IF(H22=0,0,L22/H22)</f>
        <v>-0.34920012787723798</v>
      </c>
      <c r="O22" s="28"/>
      <c r="P22" s="22">
        <f>P12-P17</f>
        <v>312294.84000000003</v>
      </c>
      <c r="Q22" s="14"/>
      <c r="R22" s="20">
        <f>IF(P$12=0,0,P22/P$12)</f>
        <v>0.61665470294651892</v>
      </c>
      <c r="S22" s="14"/>
      <c r="T22" s="22">
        <f>T12-T17</f>
        <v>447644</v>
      </c>
      <c r="U22" s="14"/>
      <c r="V22" s="20">
        <f>IF(T$12=0,0,T22/T$12)</f>
        <v>0.68</v>
      </c>
      <c r="W22" s="16"/>
      <c r="X22" s="22">
        <f>+P22-T22</f>
        <v>-135349.15999999997</v>
      </c>
      <c r="Y22" s="16"/>
      <c r="Z22" s="20">
        <f>IF(T22=0,0,X22/T22)</f>
        <v>-0.30235892807677522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55764.12</v>
      </c>
      <c r="E24" s="21"/>
      <c r="F24" s="30">
        <f t="shared" ref="F24:F34" si="12">IF(D$12=0,0,D24/D$12)</f>
        <v>0.683566610581408</v>
      </c>
      <c r="G24" s="21"/>
      <c r="H24" s="21">
        <f>SUM(OSRRefH22x_0)</f>
        <v>62769.173469600006</v>
      </c>
      <c r="I24" s="21"/>
      <c r="J24" s="30">
        <f t="shared" ref="J24:J34" si="13">IF(H$12=0,0,H24/H$12)</f>
        <v>0.54581889973565223</v>
      </c>
      <c r="K24" s="4"/>
      <c r="L24" s="21">
        <f t="shared" ref="L24:L34" si="14">+D24-H24</f>
        <v>-7005.0534696000032</v>
      </c>
      <c r="M24" s="4"/>
      <c r="N24" s="30">
        <f t="shared" ref="N24:N34" si="15">IF(H24=0,0,L24/H24)</f>
        <v>-0.11160021842557237</v>
      </c>
      <c r="O24" s="10"/>
      <c r="P24" s="21">
        <f>SUM(OSRRefP22x_0)</f>
        <v>338285.95999999996</v>
      </c>
      <c r="Q24" s="21"/>
      <c r="R24" s="30">
        <f t="shared" ref="R24:R34" si="16">IF(P$12=0,0,P24/P$12)</f>
        <v>0.6679765447766538</v>
      </c>
      <c r="S24" s="21"/>
      <c r="T24" s="21">
        <f>SUM(OSRRefT22x_0)</f>
        <v>345188.45755240001</v>
      </c>
      <c r="U24" s="21"/>
      <c r="V24" s="30">
        <f t="shared" ref="V24:V34" si="17">IF(T$12=0,0,T24/T$12)</f>
        <v>0.5243634475959289</v>
      </c>
      <c r="W24" s="4"/>
      <c r="X24" s="21">
        <f t="shared" ref="X24:X34" si="18">+P24-T24</f>
        <v>-6902.4975524000474</v>
      </c>
      <c r="Y24" s="4"/>
      <c r="Z24" s="30">
        <f t="shared" ref="Z24:Z34" si="19">IF(T24=0,0,X24/T24)</f>
        <v>-1.9996316219096755E-2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5560.14</v>
      </c>
      <c r="E25" s="1"/>
      <c r="F25" s="5">
        <f t="shared" si="12"/>
        <v>6.8157195956075514E-2</v>
      </c>
      <c r="G25" s="1"/>
      <c r="H25" s="1">
        <f>SUM(OSRRefH22_0x_0)</f>
        <v>13093.022823446156</v>
      </c>
      <c r="I25" s="1"/>
      <c r="J25" s="5">
        <f t="shared" si="13"/>
        <v>0.11385237237779265</v>
      </c>
      <c r="K25" s="1"/>
      <c r="L25" s="1">
        <f t="shared" si="14"/>
        <v>-7532.8828234461553</v>
      </c>
      <c r="M25" s="1"/>
      <c r="N25" s="5">
        <f t="shared" si="15"/>
        <v>-0.57533565205101045</v>
      </c>
      <c r="O25" s="13"/>
      <c r="P25" s="1">
        <f>SUM(OSRRefP22_0x_0)</f>
        <v>31394.36</v>
      </c>
      <c r="Q25" s="1"/>
      <c r="R25" s="5">
        <f t="shared" si="16"/>
        <v>6.1991033025060781E-2</v>
      </c>
      <c r="S25" s="1"/>
      <c r="T25" s="1">
        <f>SUM(OSRRefT22_0x_0)</f>
        <v>49179.978352400016</v>
      </c>
      <c r="U25" s="1"/>
      <c r="V25" s="5">
        <f t="shared" si="17"/>
        <v>7.4707547246544159E-2</v>
      </c>
      <c r="W25" s="1"/>
      <c r="X25" s="1">
        <f t="shared" si="18"/>
        <v>-17785.618352400015</v>
      </c>
      <c r="Y25" s="1"/>
      <c r="Z25" s="5">
        <f t="shared" si="19"/>
        <v>-0.36164347663914875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763.34</v>
      </c>
      <c r="E26" s="2"/>
      <c r="F26" s="7">
        <f t="shared" si="12"/>
        <v>9.3571589854051663E-3</v>
      </c>
      <c r="G26" s="2"/>
      <c r="H26" s="6">
        <v>724.52340313846196</v>
      </c>
      <c r="I26" s="2"/>
      <c r="J26" s="7">
        <f t="shared" si="13"/>
        <v>6.3002035055518433E-3</v>
      </c>
      <c r="K26" s="2"/>
      <c r="L26" s="6">
        <f t="shared" si="14"/>
        <v>38.816596861538073</v>
      </c>
      <c r="M26" s="2"/>
      <c r="N26" s="7">
        <f t="shared" si="15"/>
        <v>5.3575352698606929E-2</v>
      </c>
      <c r="O26" s="11"/>
      <c r="P26" s="6">
        <v>6437.62</v>
      </c>
      <c r="Q26" s="2"/>
      <c r="R26" s="7">
        <f t="shared" si="16"/>
        <v>1.2711669039368594E-2</v>
      </c>
      <c r="S26" s="2"/>
      <c r="T26" s="6">
        <v>6148.1661204000002</v>
      </c>
      <c r="U26" s="2"/>
      <c r="V26" s="7">
        <f t="shared" si="17"/>
        <v>9.3394593960200514E-3</v>
      </c>
      <c r="W26" s="2"/>
      <c r="X26" s="6">
        <f t="shared" si="18"/>
        <v>289.45387959999971</v>
      </c>
      <c r="Y26" s="2"/>
      <c r="Z26" s="7">
        <f t="shared" si="19"/>
        <v>4.7079710263451341E-2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1436</v>
      </c>
      <c r="E27" s="2"/>
      <c r="F27" s="7">
        <f t="shared" si="12"/>
        <v>1.7602746224541908E-2</v>
      </c>
      <c r="G27" s="2"/>
      <c r="H27" s="6">
        <v>1056.5698436923101</v>
      </c>
      <c r="I27" s="2"/>
      <c r="J27" s="7">
        <f t="shared" si="13"/>
        <v>9.1875638581940013E-3</v>
      </c>
      <c r="K27" s="2"/>
      <c r="L27" s="6">
        <f t="shared" si="14"/>
        <v>379.43015630768991</v>
      </c>
      <c r="M27" s="2"/>
      <c r="N27" s="7">
        <f t="shared" si="15"/>
        <v>0.35911507277334898</v>
      </c>
      <c r="O27" s="11"/>
      <c r="P27" s="6">
        <v>5067.8900000000003</v>
      </c>
      <c r="Q27" s="2"/>
      <c r="R27" s="7">
        <f t="shared" si="16"/>
        <v>1.0007011971493457E-2</v>
      </c>
      <c r="S27" s="2"/>
      <c r="T27" s="6">
        <v>6487.0759840000046</v>
      </c>
      <c r="U27" s="2"/>
      <c r="V27" s="7">
        <f t="shared" si="17"/>
        <v>9.8542852559623337E-3</v>
      </c>
      <c r="W27" s="2"/>
      <c r="X27" s="6">
        <f t="shared" si="18"/>
        <v>-1419.1859840000043</v>
      </c>
      <c r="Y27" s="2"/>
      <c r="Z27" s="7">
        <f t="shared" si="19"/>
        <v>-0.2187712904088597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1376.23</v>
      </c>
      <c r="E28" s="2"/>
      <c r="F28" s="7">
        <f t="shared" si="12"/>
        <v>1.6870074816574727E-2</v>
      </c>
      <c r="G28" s="2"/>
      <c r="H28" s="6">
        <v>1326</v>
      </c>
      <c r="I28" s="2"/>
      <c r="J28" s="7">
        <f t="shared" si="13"/>
        <v>1.1530434782608696E-2</v>
      </c>
      <c r="K28" s="2"/>
      <c r="L28" s="6">
        <f t="shared" si="14"/>
        <v>50.230000000000018</v>
      </c>
      <c r="M28" s="2"/>
      <c r="N28" s="7">
        <f t="shared" si="15"/>
        <v>3.788084464555054E-2</v>
      </c>
      <c r="O28" s="11"/>
      <c r="P28" s="6">
        <v>8257.3799999999992</v>
      </c>
      <c r="Q28" s="2"/>
      <c r="R28" s="7">
        <f t="shared" si="16"/>
        <v>1.6304951471553374E-2</v>
      </c>
      <c r="S28" s="2"/>
      <c r="T28" s="6">
        <v>7956</v>
      </c>
      <c r="U28" s="2"/>
      <c r="V28" s="7">
        <f t="shared" si="17"/>
        <v>1.2085675224061978E-2</v>
      </c>
      <c r="W28" s="2"/>
      <c r="X28" s="6">
        <f t="shared" si="18"/>
        <v>301.3799999999992</v>
      </c>
      <c r="Y28" s="2"/>
      <c r="Z28" s="7">
        <f t="shared" si="19"/>
        <v>3.7880844645550429E-2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96.23</v>
      </c>
      <c r="E29" s="2"/>
      <c r="F29" s="7">
        <f t="shared" si="12"/>
        <v>1.1796046442811058E-3</v>
      </c>
      <c r="G29" s="2"/>
      <c r="H29" s="6">
        <v>70.801072000000005</v>
      </c>
      <c r="I29" s="2"/>
      <c r="J29" s="7">
        <f t="shared" si="13"/>
        <v>6.1566149565217391E-4</v>
      </c>
      <c r="K29" s="2"/>
      <c r="L29" s="6">
        <f t="shared" si="14"/>
        <v>25.428927999999999</v>
      </c>
      <c r="M29" s="2"/>
      <c r="N29" s="7">
        <f t="shared" si="15"/>
        <v>0.35916021158549688</v>
      </c>
      <c r="O29" s="11"/>
      <c r="P29" s="6">
        <v>443.72</v>
      </c>
      <c r="Q29" s="2"/>
      <c r="R29" s="7">
        <f t="shared" si="16"/>
        <v>8.7616569262376979E-4</v>
      </c>
      <c r="S29" s="2"/>
      <c r="T29" s="6">
        <v>434.70096799999999</v>
      </c>
      <c r="U29" s="2"/>
      <c r="V29" s="7">
        <f t="shared" si="17"/>
        <v>6.6033870271912497E-4</v>
      </c>
      <c r="W29" s="2"/>
      <c r="X29" s="6">
        <f t="shared" si="18"/>
        <v>9.0190320000000384</v>
      </c>
      <c r="Y29" s="2"/>
      <c r="Z29" s="7">
        <f t="shared" si="19"/>
        <v>2.0747669464587063E-2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696.67</v>
      </c>
      <c r="E30" s="2"/>
      <c r="F30" s="7">
        <f t="shared" si="12"/>
        <v>8.539906136665467E-3</v>
      </c>
      <c r="G30" s="2"/>
      <c r="H30" s="6">
        <v>814.17761230769202</v>
      </c>
      <c r="I30" s="2"/>
      <c r="J30" s="7">
        <f t="shared" si="13"/>
        <v>7.0798053244147128E-3</v>
      </c>
      <c r="K30" s="2"/>
      <c r="L30" s="6">
        <f t="shared" si="14"/>
        <v>-117.50761230769206</v>
      </c>
      <c r="M30" s="2"/>
      <c r="N30" s="7">
        <f t="shared" si="15"/>
        <v>-0.14432675442233098</v>
      </c>
      <c r="O30" s="11"/>
      <c r="P30" s="6">
        <v>4180.0200000000004</v>
      </c>
      <c r="Q30" s="2"/>
      <c r="R30" s="7">
        <f t="shared" si="16"/>
        <v>8.2538315119471961E-3</v>
      </c>
      <c r="S30" s="2"/>
      <c r="T30" s="6">
        <v>5292.1544800000083</v>
      </c>
      <c r="U30" s="2"/>
      <c r="V30" s="7">
        <f t="shared" si="17"/>
        <v>8.0391227100106467E-3</v>
      </c>
      <c r="W30" s="2"/>
      <c r="X30" s="6">
        <f t="shared" si="18"/>
        <v>-1112.1344800000079</v>
      </c>
      <c r="Y30" s="2"/>
      <c r="Z30" s="7">
        <f t="shared" si="19"/>
        <v>-0.21014777331292228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8000</v>
      </c>
      <c r="I31" s="2"/>
      <c r="J31" s="7">
        <f t="shared" si="13"/>
        <v>6.9565217391304349E-2</v>
      </c>
      <c r="K31" s="2"/>
      <c r="L31" s="6">
        <f t="shared" si="14"/>
        <v>-8000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16000</v>
      </c>
      <c r="U31" s="2"/>
      <c r="V31" s="7">
        <f t="shared" si="17"/>
        <v>2.4305028102688742E-2</v>
      </c>
      <c r="W31" s="2"/>
      <c r="X31" s="6">
        <f t="shared" si="18"/>
        <v>-16000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384</v>
      </c>
      <c r="E32" s="2"/>
      <c r="F32" s="7">
        <f t="shared" si="12"/>
        <v>4.7071410516880867E-3</v>
      </c>
      <c r="G32" s="2"/>
      <c r="H32" s="6">
        <v>284.01544615384603</v>
      </c>
      <c r="I32" s="2"/>
      <c r="J32" s="7">
        <f t="shared" si="13"/>
        <v>2.469699531772574E-3</v>
      </c>
      <c r="K32" s="2"/>
      <c r="L32" s="6">
        <f t="shared" si="14"/>
        <v>99.984553846153972</v>
      </c>
      <c r="M32" s="2"/>
      <c r="N32" s="7">
        <f t="shared" si="15"/>
        <v>0.35203914153314797</v>
      </c>
      <c r="O32" s="11"/>
      <c r="P32" s="6">
        <v>2496</v>
      </c>
      <c r="Q32" s="2"/>
      <c r="R32" s="7">
        <f t="shared" si="16"/>
        <v>4.9285801153631324E-3</v>
      </c>
      <c r="S32" s="2"/>
      <c r="T32" s="6">
        <v>1846.1004</v>
      </c>
      <c r="U32" s="2"/>
      <c r="V32" s="7">
        <f t="shared" si="17"/>
        <v>2.8043451313990581E-3</v>
      </c>
      <c r="W32" s="2"/>
      <c r="X32" s="6">
        <f t="shared" si="18"/>
        <v>649.89959999999996</v>
      </c>
      <c r="Y32" s="2"/>
      <c r="Z32" s="7">
        <f t="shared" si="19"/>
        <v>0.35203914153314736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460.04</v>
      </c>
      <c r="E33" s="2"/>
      <c r="F33" s="7">
        <f t="shared" si="12"/>
        <v>5.6392530453609046E-3</v>
      </c>
      <c r="G33" s="2"/>
      <c r="H33" s="6">
        <v>816.93544615384599</v>
      </c>
      <c r="I33" s="2"/>
      <c r="J33" s="7">
        <f t="shared" si="13"/>
        <v>7.1037864882943129E-3</v>
      </c>
      <c r="K33" s="2"/>
      <c r="L33" s="6">
        <f t="shared" si="14"/>
        <v>-356.89544615384597</v>
      </c>
      <c r="M33" s="2"/>
      <c r="N33" s="7">
        <f t="shared" si="15"/>
        <v>-0.43687105001272658</v>
      </c>
      <c r="O33" s="11"/>
      <c r="P33" s="6">
        <v>2990.26</v>
      </c>
      <c r="Q33" s="2"/>
      <c r="R33" s="7">
        <f t="shared" si="16"/>
        <v>5.9045416569574365E-3</v>
      </c>
      <c r="S33" s="2"/>
      <c r="T33" s="6">
        <v>5015.7804000000015</v>
      </c>
      <c r="U33" s="2"/>
      <c r="V33" s="7">
        <f t="shared" si="17"/>
        <v>7.6192927236822137E-3</v>
      </c>
      <c r="W33" s="2"/>
      <c r="X33" s="6">
        <f t="shared" si="18"/>
        <v>-2025.5204000000012</v>
      </c>
      <c r="Y33" s="2"/>
      <c r="Z33" s="7">
        <f t="shared" si="19"/>
        <v>-0.40382956159723432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347.63</v>
      </c>
      <c r="E34" s="2"/>
      <c r="F34" s="7">
        <f t="shared" si="12"/>
        <v>4.2613110515581495E-3</v>
      </c>
      <c r="G34" s="2"/>
      <c r="H34" s="6"/>
      <c r="I34" s="2"/>
      <c r="J34" s="7">
        <f t="shared" si="13"/>
        <v>0</v>
      </c>
      <c r="K34" s="2"/>
      <c r="L34" s="6">
        <f t="shared" si="14"/>
        <v>347.63</v>
      </c>
      <c r="M34" s="2"/>
      <c r="N34" s="7">
        <f t="shared" si="15"/>
        <v>0</v>
      </c>
      <c r="O34" s="11"/>
      <c r="P34" s="6">
        <v>1521.47</v>
      </c>
      <c r="Q34" s="2"/>
      <c r="R34" s="7">
        <f t="shared" si="16"/>
        <v>3.0042815657538241E-3</v>
      </c>
      <c r="S34" s="2"/>
      <c r="T34" s="6"/>
      <c r="U34" s="2"/>
      <c r="V34" s="7">
        <f t="shared" si="17"/>
        <v>0</v>
      </c>
      <c r="W34" s="2"/>
      <c r="X34" s="6">
        <f t="shared" si="18"/>
        <v>1521.47</v>
      </c>
      <c r="Y34" s="2"/>
      <c r="Z34" s="7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23591.66</v>
      </c>
      <c r="E35" s="1"/>
      <c r="F35" s="5">
        <f t="shared" ref="F35:F45" si="20">IF(D$12=0,0,D35/D$12)</f>
        <v>0.28919081058194729</v>
      </c>
      <c r="G35" s="1"/>
      <c r="H35" s="1">
        <f>SUM(OSRRefH22_1x_0)</f>
        <v>26663.150646153852</v>
      </c>
      <c r="I35" s="1"/>
      <c r="J35" s="5">
        <f t="shared" ref="J35:J45" si="21">IF(H$12=0,0,H35/H$12)</f>
        <v>0.23185348387959873</v>
      </c>
      <c r="K35" s="1"/>
      <c r="L35" s="1">
        <f t="shared" ref="L35:L45" si="22">+D35-H35</f>
        <v>-3071.4906461538521</v>
      </c>
      <c r="M35" s="1"/>
      <c r="N35" s="5">
        <f t="shared" ref="N35:N45" si="23">IF(H35=0,0,L35/H35)</f>
        <v>-0.11519608792357452</v>
      </c>
      <c r="O35" s="13"/>
      <c r="P35" s="1">
        <f>SUM(OSRRefP22_1x_0)</f>
        <v>157380.87</v>
      </c>
      <c r="Q35" s="1"/>
      <c r="R35" s="5">
        <f t="shared" ref="R35:R45" si="24">IF(P$12=0,0,P35/P$12)</f>
        <v>0.31076291122618194</v>
      </c>
      <c r="S35" s="1"/>
      <c r="T35" s="1">
        <f>SUM(OSRRefT22_1x_0)</f>
        <v>163500.4792</v>
      </c>
      <c r="U35" s="1"/>
      <c r="V35" s="5">
        <f t="shared" ref="V35:V45" si="25">IF(T$12=0,0,T35/T$12)</f>
        <v>0.24836773385994229</v>
      </c>
      <c r="W35" s="1"/>
      <c r="X35" s="1">
        <f t="shared" ref="X35:X45" si="26">+P35-T35</f>
        <v>-6119.6092000000062</v>
      </c>
      <c r="Y35" s="1"/>
      <c r="Z35" s="5">
        <f t="shared" ref="Z35:Z45" si="27">IF(T35=0,0,X35/T35)</f>
        <v>-3.7428692747219827E-2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9682.65</v>
      </c>
      <c r="E37" s="2"/>
      <c r="F37" s="7">
        <f t="shared" si="20"/>
        <v>0.11869166485449908</v>
      </c>
      <c r="G37" s="2"/>
      <c r="H37" s="6">
        <v>8899.1506461538502</v>
      </c>
      <c r="I37" s="2"/>
      <c r="J37" s="7">
        <f t="shared" si="21"/>
        <v>7.7383918662207396E-2</v>
      </c>
      <c r="K37" s="2"/>
      <c r="L37" s="6">
        <f t="shared" si="22"/>
        <v>783.49935384614946</v>
      </c>
      <c r="M37" s="2"/>
      <c r="N37" s="7">
        <f t="shared" si="23"/>
        <v>8.8042037380811428E-2</v>
      </c>
      <c r="O37" s="11"/>
      <c r="P37" s="6">
        <v>62751.5</v>
      </c>
      <c r="Q37" s="2"/>
      <c r="R37" s="7">
        <f t="shared" si="24"/>
        <v>0.12390857175849744</v>
      </c>
      <c r="S37" s="2"/>
      <c r="T37" s="6">
        <v>57844.479200000002</v>
      </c>
      <c r="U37" s="2"/>
      <c r="V37" s="7">
        <f t="shared" si="25"/>
        <v>8.7869480783837162E-2</v>
      </c>
      <c r="W37" s="2"/>
      <c r="X37" s="6">
        <f t="shared" si="26"/>
        <v>4907.0207999999984</v>
      </c>
      <c r="Y37" s="2"/>
      <c r="Z37" s="7">
        <f t="shared" si="27"/>
        <v>8.4831272886626632E-2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8.9843908352973771E-5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12742.01</v>
      </c>
      <c r="E42" s="2"/>
      <c r="F42" s="7">
        <f t="shared" si="20"/>
        <v>0.15619384987505239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12742.01</v>
      </c>
      <c r="M42" s="2"/>
      <c r="N42" s="7">
        <f t="shared" si="23"/>
        <v>0</v>
      </c>
      <c r="O42" s="11"/>
      <c r="P42" s="6">
        <v>90119.87</v>
      </c>
      <c r="Q42" s="2"/>
      <c r="R42" s="7">
        <f t="shared" si="24"/>
        <v>0.17794991958377823</v>
      </c>
      <c r="S42" s="2"/>
      <c r="T42" s="6">
        <v>18800</v>
      </c>
      <c r="U42" s="2"/>
      <c r="V42" s="7">
        <f t="shared" si="25"/>
        <v>2.8558408020659273E-2</v>
      </c>
      <c r="W42" s="2"/>
      <c r="X42" s="6">
        <f t="shared" si="26"/>
        <v>71319.87</v>
      </c>
      <c r="Y42" s="2"/>
      <c r="Z42" s="7">
        <f t="shared" si="27"/>
        <v>3.7936101063829786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>
        <v>1167</v>
      </c>
      <c r="E43" s="2"/>
      <c r="F43" s="7">
        <f t="shared" si="20"/>
        <v>1.4305295852395825E-2</v>
      </c>
      <c r="G43" s="2"/>
      <c r="H43" s="6">
        <v>17764</v>
      </c>
      <c r="I43" s="2"/>
      <c r="J43" s="7">
        <f t="shared" si="21"/>
        <v>0.1544695652173913</v>
      </c>
      <c r="K43" s="2"/>
      <c r="L43" s="6">
        <f t="shared" si="22"/>
        <v>-16597</v>
      </c>
      <c r="M43" s="2"/>
      <c r="N43" s="7">
        <f t="shared" si="23"/>
        <v>-0.93430533663589277</v>
      </c>
      <c r="O43" s="11"/>
      <c r="P43" s="6">
        <v>4464</v>
      </c>
      <c r="Q43" s="2"/>
      <c r="R43" s="7">
        <f t="shared" si="24"/>
        <v>8.8145759755532942E-3</v>
      </c>
      <c r="S43" s="2"/>
      <c r="T43" s="6">
        <v>86856</v>
      </c>
      <c r="U43" s="2"/>
      <c r="V43" s="7">
        <f t="shared" si="25"/>
        <v>0.13193984505544584</v>
      </c>
      <c r="W43" s="2"/>
      <c r="X43" s="6">
        <f t="shared" si="26"/>
        <v>-82392</v>
      </c>
      <c r="Y43" s="2"/>
      <c r="Z43" s="7">
        <f t="shared" si="27"/>
        <v>-0.94860458690245919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656.8</v>
      </c>
      <c r="E46" s="1"/>
      <c r="F46" s="5">
        <f t="shared" ref="F46:F55" si="28">IF(D$12=0,0,D46/D$12)</f>
        <v>8.051172507158165E-3</v>
      </c>
      <c r="G46" s="1"/>
      <c r="H46" s="1">
        <f>SUM(OSRRefH22_2x_0)</f>
        <v>150</v>
      </c>
      <c r="I46" s="1"/>
      <c r="J46" s="5">
        <f t="shared" ref="J46:J55" si="29">IF(H$12=0,0,H46/H$12)</f>
        <v>1.3043478260869566E-3</v>
      </c>
      <c r="K46" s="1"/>
      <c r="L46" s="1">
        <f t="shared" ref="L46:L55" si="30">+D46-H46</f>
        <v>506.79999999999995</v>
      </c>
      <c r="M46" s="1"/>
      <c r="N46" s="5">
        <f t="shared" ref="N46:N55" si="31">IF(H46=0,0,L46/H46)</f>
        <v>3.3786666666666663</v>
      </c>
      <c r="O46" s="13"/>
      <c r="P46" s="1">
        <f>SUM(OSRRefP22_2x_0)</f>
        <v>1121.74</v>
      </c>
      <c r="Q46" s="1"/>
      <c r="R46" s="5">
        <f t="shared" ref="R46:R55" si="32">IF(P$12=0,0,P46/P$12)</f>
        <v>2.214978148480545E-3</v>
      </c>
      <c r="S46" s="1"/>
      <c r="T46" s="1">
        <f>SUM(OSRRefT22_2x_0)</f>
        <v>900</v>
      </c>
      <c r="U46" s="1"/>
      <c r="V46" s="5">
        <f t="shared" ref="V46:V55" si="33">IF(T$12=0,0,T46/T$12)</f>
        <v>1.3671578307762418E-3</v>
      </c>
      <c r="W46" s="1"/>
      <c r="X46" s="1">
        <f t="shared" ref="X46:X55" si="34">+P46-T46</f>
        <v>221.74</v>
      </c>
      <c r="Y46" s="1"/>
      <c r="Z46" s="5">
        <f t="shared" ref="Z46:Z55" si="35">IF(T46=0,0,X46/T46)</f>
        <v>0.24637777777777778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>
        <v>656.8</v>
      </c>
      <c r="E47" s="2"/>
      <c r="F47" s="7">
        <f t="shared" si="28"/>
        <v>8.051172507158165E-3</v>
      </c>
      <c r="G47" s="2"/>
      <c r="H47" s="6">
        <v>150</v>
      </c>
      <c r="I47" s="2"/>
      <c r="J47" s="7">
        <f t="shared" si="29"/>
        <v>1.3043478260869566E-3</v>
      </c>
      <c r="K47" s="2"/>
      <c r="L47" s="6">
        <f t="shared" si="30"/>
        <v>506.79999999999995</v>
      </c>
      <c r="M47" s="2"/>
      <c r="N47" s="7">
        <f t="shared" si="31"/>
        <v>3.3786666666666663</v>
      </c>
      <c r="O47" s="11"/>
      <c r="P47" s="6">
        <v>1121.74</v>
      </c>
      <c r="Q47" s="2"/>
      <c r="R47" s="7">
        <f t="shared" si="32"/>
        <v>2.214978148480545E-3</v>
      </c>
      <c r="S47" s="2"/>
      <c r="T47" s="6">
        <v>900</v>
      </c>
      <c r="U47" s="2"/>
      <c r="V47" s="7">
        <f t="shared" si="33"/>
        <v>1.3671578307762418E-3</v>
      </c>
      <c r="W47" s="2"/>
      <c r="X47" s="6">
        <f t="shared" si="34"/>
        <v>221.74</v>
      </c>
      <c r="Y47" s="2"/>
      <c r="Z47" s="7">
        <f t="shared" si="35"/>
        <v>0.24637777777777778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-14.33</v>
      </c>
      <c r="E48" s="1"/>
      <c r="F48" s="5">
        <f t="shared" si="28"/>
        <v>-1.7565971685075594E-4</v>
      </c>
      <c r="G48" s="1"/>
      <c r="H48" s="1">
        <f>SUM(OSRRefH22_3x_0)</f>
        <v>20</v>
      </c>
      <c r="I48" s="1"/>
      <c r="J48" s="5">
        <f t="shared" si="29"/>
        <v>1.7391304347826088E-4</v>
      </c>
      <c r="K48" s="1"/>
      <c r="L48" s="1">
        <f t="shared" si="30"/>
        <v>-34.33</v>
      </c>
      <c r="M48" s="1"/>
      <c r="N48" s="5">
        <f t="shared" si="31"/>
        <v>-1.7164999999999999</v>
      </c>
      <c r="O48" s="13"/>
      <c r="P48" s="1">
        <f>SUM(OSRRefP22_3x_0)</f>
        <v>-3.01</v>
      </c>
      <c r="Q48" s="1"/>
      <c r="R48" s="5">
        <f t="shared" si="32"/>
        <v>-5.9435200910428794E-6</v>
      </c>
      <c r="S48" s="1"/>
      <c r="T48" s="1">
        <f>SUM(OSRRefT22_3x_0)</f>
        <v>120</v>
      </c>
      <c r="U48" s="1"/>
      <c r="V48" s="5">
        <f t="shared" si="33"/>
        <v>1.8228771077016557E-4</v>
      </c>
      <c r="W48" s="1"/>
      <c r="X48" s="1">
        <f t="shared" si="34"/>
        <v>-123.01</v>
      </c>
      <c r="Y48" s="1"/>
      <c r="Z48" s="5">
        <f t="shared" si="35"/>
        <v>-1.0250833333333333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-14.33</v>
      </c>
      <c r="E49" s="2"/>
      <c r="F49" s="7">
        <f t="shared" si="28"/>
        <v>-1.7565971685075594E-4</v>
      </c>
      <c r="G49" s="2"/>
      <c r="H49" s="6">
        <v>20</v>
      </c>
      <c r="I49" s="2"/>
      <c r="J49" s="7">
        <f t="shared" si="29"/>
        <v>1.7391304347826088E-4</v>
      </c>
      <c r="K49" s="2"/>
      <c r="L49" s="6">
        <f t="shared" si="30"/>
        <v>-34.33</v>
      </c>
      <c r="M49" s="2"/>
      <c r="N49" s="7">
        <f t="shared" si="31"/>
        <v>-1.7164999999999999</v>
      </c>
      <c r="O49" s="11"/>
      <c r="P49" s="6">
        <v>-3.01</v>
      </c>
      <c r="Q49" s="2"/>
      <c r="R49" s="7">
        <f t="shared" si="32"/>
        <v>-5.9435200910428794E-6</v>
      </c>
      <c r="S49" s="2"/>
      <c r="T49" s="6">
        <v>120</v>
      </c>
      <c r="U49" s="2"/>
      <c r="V49" s="7">
        <f t="shared" si="33"/>
        <v>1.8228771077016557E-4</v>
      </c>
      <c r="W49" s="2"/>
      <c r="X49" s="6">
        <f t="shared" si="34"/>
        <v>-123.01</v>
      </c>
      <c r="Y49" s="2"/>
      <c r="Z49" s="7">
        <f t="shared" si="35"/>
        <v>-1.0250833333333333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5557.64</v>
      </c>
      <c r="E50" s="1"/>
      <c r="F50" s="5">
        <f t="shared" si="28"/>
        <v>6.8126550506520264E-2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5557.64</v>
      </c>
      <c r="M50" s="1"/>
      <c r="N50" s="5">
        <f t="shared" si="31"/>
        <v>0</v>
      </c>
      <c r="O50" s="13"/>
      <c r="P50" s="1">
        <f>SUM(OSRRefP22_4x_0)</f>
        <v>17679.28</v>
      </c>
      <c r="Q50" s="1"/>
      <c r="R50" s="5">
        <f t="shared" si="32"/>
        <v>3.4909354111353014E-2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17679.28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5557.64</v>
      </c>
      <c r="E51" s="2"/>
      <c r="F51" s="7">
        <f t="shared" si="28"/>
        <v>6.8126550506520264E-2</v>
      </c>
      <c r="G51" s="2"/>
      <c r="H51" s="6"/>
      <c r="I51" s="2"/>
      <c r="J51" s="7">
        <f t="shared" si="29"/>
        <v>0</v>
      </c>
      <c r="K51" s="2"/>
      <c r="L51" s="6">
        <f t="shared" si="30"/>
        <v>5557.64</v>
      </c>
      <c r="M51" s="2"/>
      <c r="N51" s="7">
        <f t="shared" si="31"/>
        <v>0</v>
      </c>
      <c r="O51" s="11"/>
      <c r="P51" s="6">
        <v>17679.28</v>
      </c>
      <c r="Q51" s="2"/>
      <c r="R51" s="7">
        <f t="shared" si="32"/>
        <v>3.4909354111353014E-2</v>
      </c>
      <c r="S51" s="2"/>
      <c r="T51" s="6"/>
      <c r="U51" s="2"/>
      <c r="V51" s="7">
        <f t="shared" si="33"/>
        <v>0</v>
      </c>
      <c r="W51" s="2"/>
      <c r="X51" s="6">
        <f t="shared" si="34"/>
        <v>17679.28</v>
      </c>
      <c r="Y51" s="2"/>
      <c r="Z51" s="7">
        <f t="shared" si="35"/>
        <v>0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6.8799892324148446E-2</v>
      </c>
      <c r="G52" s="1"/>
      <c r="H52" s="1">
        <f>SUM(OSRRefH22_5x_0)</f>
        <v>6318</v>
      </c>
      <c r="I52" s="1"/>
      <c r="J52" s="5">
        <f t="shared" si="29"/>
        <v>5.4939130434782608E-2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33675.42</v>
      </c>
      <c r="Q52" s="1"/>
      <c r="R52" s="5">
        <f t="shared" si="32"/>
        <v>6.6495194466547253E-2</v>
      </c>
      <c r="S52" s="1"/>
      <c r="T52" s="1">
        <f>SUM(OSRRefT22_5x_0)</f>
        <v>36574</v>
      </c>
      <c r="U52" s="1"/>
      <c r="V52" s="5">
        <f t="shared" si="33"/>
        <v>5.555825611423363E-2</v>
      </c>
      <c r="W52" s="1"/>
      <c r="X52" s="1">
        <f t="shared" si="34"/>
        <v>-2898.5800000000017</v>
      </c>
      <c r="Y52" s="1"/>
      <c r="Z52" s="5">
        <f t="shared" si="35"/>
        <v>-7.925247443539131E-2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5.6712468946965973E-2</v>
      </c>
      <c r="G53" s="2"/>
      <c r="H53" s="6">
        <v>5165</v>
      </c>
      <c r="I53" s="2"/>
      <c r="J53" s="7">
        <f t="shared" si="29"/>
        <v>4.4913043478260868E-2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27759</v>
      </c>
      <c r="Q53" s="2"/>
      <c r="R53" s="7">
        <f t="shared" si="32"/>
        <v>5.4812682460883493E-2</v>
      </c>
      <c r="S53" s="2"/>
      <c r="T53" s="6">
        <v>30990</v>
      </c>
      <c r="U53" s="2"/>
      <c r="V53" s="7">
        <f t="shared" si="33"/>
        <v>4.7075801306395264E-2</v>
      </c>
      <c r="W53" s="2"/>
      <c r="X53" s="6">
        <f t="shared" si="34"/>
        <v>-3231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986.07</v>
      </c>
      <c r="E54" s="2"/>
      <c r="F54" s="7">
        <f t="shared" si="28"/>
        <v>1.2087423377182478E-2</v>
      </c>
      <c r="G54" s="2"/>
      <c r="H54" s="6">
        <v>486</v>
      </c>
      <c r="I54" s="2"/>
      <c r="J54" s="7">
        <f t="shared" si="29"/>
        <v>4.226086956521739E-3</v>
      </c>
      <c r="K54" s="2"/>
      <c r="L54" s="6">
        <f t="shared" si="30"/>
        <v>500.07000000000005</v>
      </c>
      <c r="M54" s="2"/>
      <c r="N54" s="7">
        <f t="shared" si="31"/>
        <v>1.0289506172839507</v>
      </c>
      <c r="O54" s="11"/>
      <c r="P54" s="6">
        <v>5916.42</v>
      </c>
      <c r="Q54" s="2"/>
      <c r="R54" s="7">
        <f t="shared" si="32"/>
        <v>1.168251200566376E-2</v>
      </c>
      <c r="S54" s="2"/>
      <c r="T54" s="6">
        <v>2916</v>
      </c>
      <c r="U54" s="2"/>
      <c r="V54" s="7">
        <f t="shared" si="33"/>
        <v>4.4295913717150234E-3</v>
      </c>
      <c r="W54" s="2"/>
      <c r="X54" s="6">
        <f t="shared" si="34"/>
        <v>3000.42</v>
      </c>
      <c r="Y54" s="2"/>
      <c r="Z54" s="7">
        <f t="shared" si="35"/>
        <v>1.0289506172839507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667</v>
      </c>
      <c r="I55" s="2"/>
      <c r="J55" s="7">
        <f t="shared" si="29"/>
        <v>5.7999999999999996E-3</v>
      </c>
      <c r="K55" s="2"/>
      <c r="L55" s="6">
        <f t="shared" si="30"/>
        <v>-667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2668</v>
      </c>
      <c r="U55" s="2"/>
      <c r="V55" s="7">
        <f t="shared" si="33"/>
        <v>4.0528634361233478E-3</v>
      </c>
      <c r="W55" s="2"/>
      <c r="X55" s="6">
        <f t="shared" si="34"/>
        <v>-2668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2000</v>
      </c>
      <c r="I56" s="1"/>
      <c r="J56" s="5">
        <f t="shared" ref="J56:J69" si="37">IF(H$12=0,0,H56/H$12)</f>
        <v>1.7391304347826087E-2</v>
      </c>
      <c r="K56" s="1"/>
      <c r="L56" s="1">
        <f t="shared" ref="L56:L69" si="38">+D56-H56</f>
        <v>-2000</v>
      </c>
      <c r="M56" s="1"/>
      <c r="N56" s="5">
        <f t="shared" ref="N56:N69" si="39">IF(H56=0,0,L56/H56)</f>
        <v>-1</v>
      </c>
      <c r="O56" s="13"/>
      <c r="P56" s="1">
        <f>SUM(OSRRefP22_6x_0)</f>
        <v>0</v>
      </c>
      <c r="Q56" s="1"/>
      <c r="R56" s="5">
        <f t="shared" ref="R56:R69" si="40">IF(P$12=0,0,P56/P$12)</f>
        <v>0</v>
      </c>
      <c r="S56" s="1"/>
      <c r="T56" s="1">
        <f>SUM(OSRRefT22_6x_0)</f>
        <v>2000</v>
      </c>
      <c r="U56" s="1"/>
      <c r="V56" s="5">
        <f t="shared" ref="V56:V69" si="41">IF(T$12=0,0,T56/T$12)</f>
        <v>3.0381285128360928E-3</v>
      </c>
      <c r="W56" s="1"/>
      <c r="X56" s="1">
        <f t="shared" ref="X56:X69" si="42">+P56-T56</f>
        <v>-2000</v>
      </c>
      <c r="Y56" s="1"/>
      <c r="Z56" s="5">
        <f t="shared" ref="Z56:Z69" si="43">IF(T56=0,0,X56/T56)</f>
        <v>-1</v>
      </c>
    </row>
    <row r="57" spans="1:26" s="24" customFormat="1" hidden="1" outlineLevel="2" x14ac:dyDescent="0.25">
      <c r="A57" s="26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36"/>
        <v>0</v>
      </c>
      <c r="G57" s="2"/>
      <c r="H57" s="6">
        <v>2000</v>
      </c>
      <c r="I57" s="2"/>
      <c r="J57" s="7">
        <f t="shared" si="37"/>
        <v>1.7391304347826087E-2</v>
      </c>
      <c r="K57" s="2"/>
      <c r="L57" s="6">
        <f t="shared" si="38"/>
        <v>-2000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2000</v>
      </c>
      <c r="U57" s="2"/>
      <c r="V57" s="7">
        <f t="shared" si="41"/>
        <v>3.0381285128360928E-3</v>
      </c>
      <c r="W57" s="2"/>
      <c r="X57" s="6">
        <f t="shared" si="42"/>
        <v>-2000</v>
      </c>
      <c r="Y57" s="2"/>
      <c r="Z57" s="7">
        <f t="shared" si="43"/>
        <v>-1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200</v>
      </c>
      <c r="I58" s="1"/>
      <c r="J58" s="5">
        <f t="shared" si="37"/>
        <v>1.7391304347826088E-3</v>
      </c>
      <c r="K58" s="1"/>
      <c r="L58" s="1">
        <f t="shared" si="38"/>
        <v>-200</v>
      </c>
      <c r="M58" s="1"/>
      <c r="N58" s="5">
        <f t="shared" si="39"/>
        <v>-1</v>
      </c>
      <c r="O58" s="13"/>
      <c r="P58" s="1">
        <f>SUM(OSRRefP22_7x_0)</f>
        <v>186.48</v>
      </c>
      <c r="Q58" s="1"/>
      <c r="R58" s="5">
        <f t="shared" si="40"/>
        <v>3.6822180284972633E-4</v>
      </c>
      <c r="S58" s="1"/>
      <c r="T58" s="1">
        <f>SUM(OSRRefT22_7x_0)</f>
        <v>550</v>
      </c>
      <c r="U58" s="1"/>
      <c r="V58" s="5">
        <f t="shared" si="41"/>
        <v>8.3548534102992561E-4</v>
      </c>
      <c r="W58" s="1"/>
      <c r="X58" s="1">
        <f t="shared" si="42"/>
        <v>-363.52</v>
      </c>
      <c r="Y58" s="1"/>
      <c r="Z58" s="5">
        <f t="shared" si="43"/>
        <v>-0.6609454545454545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6"/>
        <v>0</v>
      </c>
      <c r="G59" s="2"/>
      <c r="H59" s="6">
        <v>200</v>
      </c>
      <c r="I59" s="2"/>
      <c r="J59" s="7">
        <f t="shared" si="37"/>
        <v>1.7391304347826088E-3</v>
      </c>
      <c r="K59" s="2"/>
      <c r="L59" s="6">
        <f t="shared" si="38"/>
        <v>-200</v>
      </c>
      <c r="M59" s="2"/>
      <c r="N59" s="7">
        <f t="shared" si="39"/>
        <v>-1</v>
      </c>
      <c r="O59" s="11"/>
      <c r="P59" s="6">
        <v>186.48</v>
      </c>
      <c r="Q59" s="2"/>
      <c r="R59" s="7">
        <f t="shared" si="40"/>
        <v>3.6822180284972633E-4</v>
      </c>
      <c r="S59" s="2"/>
      <c r="T59" s="6">
        <v>550</v>
      </c>
      <c r="U59" s="2"/>
      <c r="V59" s="7">
        <f t="shared" si="41"/>
        <v>8.3548534102992561E-4</v>
      </c>
      <c r="W59" s="2"/>
      <c r="X59" s="6">
        <f t="shared" si="42"/>
        <v>-363.52</v>
      </c>
      <c r="Y59" s="2"/>
      <c r="Z59" s="7">
        <f t="shared" si="43"/>
        <v>-0.6609454545454545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320.51</v>
      </c>
      <c r="E60" s="1"/>
      <c r="F60" s="5">
        <f t="shared" si="36"/>
        <v>3.9288692147826784E-3</v>
      </c>
      <c r="G60" s="1"/>
      <c r="H60" s="1">
        <f>SUM(OSRRefH22_8x_0)</f>
        <v>115</v>
      </c>
      <c r="I60" s="1"/>
      <c r="J60" s="5">
        <f t="shared" si="37"/>
        <v>1E-3</v>
      </c>
      <c r="K60" s="1"/>
      <c r="L60" s="1">
        <f t="shared" si="38"/>
        <v>205.51</v>
      </c>
      <c r="M60" s="1"/>
      <c r="N60" s="5">
        <f t="shared" si="39"/>
        <v>1.7870434782608695</v>
      </c>
      <c r="O60" s="13"/>
      <c r="P60" s="1">
        <f>SUM(OSRRefP22_8x_0)</f>
        <v>2256.02</v>
      </c>
      <c r="Q60" s="1"/>
      <c r="R60" s="5">
        <f t="shared" si="40"/>
        <v>4.454717673021448E-3</v>
      </c>
      <c r="S60" s="1"/>
      <c r="T60" s="1">
        <f>SUM(OSRRefT22_8x_0)</f>
        <v>690</v>
      </c>
      <c r="U60" s="1"/>
      <c r="V60" s="5">
        <f t="shared" si="41"/>
        <v>1.0481543369284521E-3</v>
      </c>
      <c r="W60" s="1"/>
      <c r="X60" s="1">
        <f t="shared" si="42"/>
        <v>1566.02</v>
      </c>
      <c r="Y60" s="1"/>
      <c r="Z60" s="5">
        <f t="shared" si="43"/>
        <v>2.2695942028985505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320.51</v>
      </c>
      <c r="E61" s="2"/>
      <c r="F61" s="7">
        <f t="shared" si="36"/>
        <v>3.9288692147826784E-3</v>
      </c>
      <c r="G61" s="2"/>
      <c r="H61" s="6">
        <v>115</v>
      </c>
      <c r="I61" s="2"/>
      <c r="J61" s="7">
        <f t="shared" si="37"/>
        <v>1E-3</v>
      </c>
      <c r="K61" s="2"/>
      <c r="L61" s="6">
        <f t="shared" si="38"/>
        <v>205.51</v>
      </c>
      <c r="M61" s="2"/>
      <c r="N61" s="7">
        <f t="shared" si="39"/>
        <v>1.7870434782608695</v>
      </c>
      <c r="O61" s="11"/>
      <c r="P61" s="6">
        <v>2256.02</v>
      </c>
      <c r="Q61" s="2"/>
      <c r="R61" s="7">
        <f t="shared" si="40"/>
        <v>4.454717673021448E-3</v>
      </c>
      <c r="S61" s="2"/>
      <c r="T61" s="6">
        <v>690</v>
      </c>
      <c r="U61" s="2"/>
      <c r="V61" s="7">
        <f t="shared" si="41"/>
        <v>1.0481543369284521E-3</v>
      </c>
      <c r="W61" s="2"/>
      <c r="X61" s="6">
        <f t="shared" si="42"/>
        <v>1566.02</v>
      </c>
      <c r="Y61" s="2"/>
      <c r="Z61" s="7">
        <f t="shared" si="43"/>
        <v>2.2695942028985505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718.22</v>
      </c>
      <c r="E62" s="1"/>
      <c r="F62" s="5">
        <f t="shared" si="36"/>
        <v>8.8040699118318161E-3</v>
      </c>
      <c r="G62" s="1"/>
      <c r="H62" s="1">
        <f>SUM(OSRRefH22_9x_0)</f>
        <v>1000</v>
      </c>
      <c r="I62" s="1"/>
      <c r="J62" s="5">
        <f t="shared" si="37"/>
        <v>8.6956521739130436E-3</v>
      </c>
      <c r="K62" s="1"/>
      <c r="L62" s="1">
        <f t="shared" si="38"/>
        <v>-281.77999999999997</v>
      </c>
      <c r="M62" s="1"/>
      <c r="N62" s="5">
        <f t="shared" si="39"/>
        <v>-0.28177999999999997</v>
      </c>
      <c r="O62" s="13"/>
      <c r="P62" s="1">
        <f>SUM(OSRRefP22_9x_0)</f>
        <v>6440</v>
      </c>
      <c r="Q62" s="1"/>
      <c r="R62" s="5">
        <f t="shared" si="40"/>
        <v>1.2716368566882441E-2</v>
      </c>
      <c r="S62" s="1"/>
      <c r="T62" s="1">
        <f>SUM(OSRRefT22_9x_0)</f>
        <v>6000</v>
      </c>
      <c r="U62" s="1"/>
      <c r="V62" s="5">
        <f t="shared" si="41"/>
        <v>9.1143855385082788E-3</v>
      </c>
      <c r="W62" s="1"/>
      <c r="X62" s="1">
        <f t="shared" si="42"/>
        <v>440</v>
      </c>
      <c r="Y62" s="1"/>
      <c r="Z62" s="5">
        <f t="shared" si="43"/>
        <v>7.3333333333333334E-2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718.22</v>
      </c>
      <c r="E63" s="2"/>
      <c r="F63" s="7">
        <f t="shared" si="36"/>
        <v>8.8040699118318161E-3</v>
      </c>
      <c r="G63" s="2"/>
      <c r="H63" s="6">
        <v>1000</v>
      </c>
      <c r="I63" s="2"/>
      <c r="J63" s="7">
        <f t="shared" si="37"/>
        <v>8.6956521739130436E-3</v>
      </c>
      <c r="K63" s="2"/>
      <c r="L63" s="6">
        <f t="shared" si="38"/>
        <v>-281.77999999999997</v>
      </c>
      <c r="M63" s="2"/>
      <c r="N63" s="7">
        <f t="shared" si="39"/>
        <v>-0.28177999999999997</v>
      </c>
      <c r="O63" s="11"/>
      <c r="P63" s="6">
        <v>6440</v>
      </c>
      <c r="Q63" s="2"/>
      <c r="R63" s="7">
        <f t="shared" si="40"/>
        <v>1.2716368566882441E-2</v>
      </c>
      <c r="S63" s="2"/>
      <c r="T63" s="6">
        <v>6000</v>
      </c>
      <c r="U63" s="2"/>
      <c r="V63" s="7">
        <f t="shared" si="41"/>
        <v>9.1143855385082788E-3</v>
      </c>
      <c r="W63" s="2"/>
      <c r="X63" s="6">
        <f t="shared" si="42"/>
        <v>440</v>
      </c>
      <c r="Y63" s="2"/>
      <c r="Z63" s="7">
        <f t="shared" si="43"/>
        <v>7.3333333333333334E-2</v>
      </c>
    </row>
    <row r="64" spans="1:26" s="25" customFormat="1" outlineLevel="1" collapsed="1" x14ac:dyDescent="0.25">
      <c r="A64" s="27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SUM(OSRRefD22_10x_0)</f>
        <v>1850</v>
      </c>
      <c r="E64" s="1"/>
      <c r="F64" s="5">
        <f t="shared" si="36"/>
        <v>2.2677632670893125E-2</v>
      </c>
      <c r="G64" s="1"/>
      <c r="H64" s="1">
        <f>SUM(OSRRefH22_10x_0)</f>
        <v>1850</v>
      </c>
      <c r="I64" s="1"/>
      <c r="J64" s="5">
        <f t="shared" si="37"/>
        <v>1.6086956521739131E-2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11100</v>
      </c>
      <c r="Q64" s="1"/>
      <c r="R64" s="5">
        <f t="shared" si="40"/>
        <v>2.1917964455340853E-2</v>
      </c>
      <c r="S64" s="1"/>
      <c r="T64" s="1">
        <f>SUM(OSRRefT22_10x_0)</f>
        <v>11100</v>
      </c>
      <c r="U64" s="1"/>
      <c r="V64" s="5">
        <f t="shared" si="41"/>
        <v>1.6861613246240317E-2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6"/>
      <c r="B65" s="11" t="str">
        <f>CONCATENATE("          ", "6273", " - ", "RENT")</f>
        <v xml:space="preserve">          6273 - RENT</v>
      </c>
      <c r="C65" s="11"/>
      <c r="D65" s="6">
        <v>1850</v>
      </c>
      <c r="E65" s="2"/>
      <c r="F65" s="7">
        <f t="shared" si="36"/>
        <v>2.2677632670893125E-2</v>
      </c>
      <c r="G65" s="2"/>
      <c r="H65" s="6">
        <v>1850</v>
      </c>
      <c r="I65" s="2"/>
      <c r="J65" s="7">
        <f t="shared" si="37"/>
        <v>1.6086956521739131E-2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11100</v>
      </c>
      <c r="Q65" s="2"/>
      <c r="R65" s="7">
        <f t="shared" si="40"/>
        <v>2.1917964455340853E-2</v>
      </c>
      <c r="S65" s="2"/>
      <c r="T65" s="6">
        <v>11100</v>
      </c>
      <c r="U65" s="2"/>
      <c r="V65" s="7">
        <f t="shared" si="41"/>
        <v>1.6861613246240317E-2</v>
      </c>
      <c r="W65" s="2"/>
      <c r="X65" s="6">
        <f t="shared" si="42"/>
        <v>0</v>
      </c>
      <c r="Y65" s="2"/>
      <c r="Z65" s="7">
        <f t="shared" si="43"/>
        <v>0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1965.23</v>
      </c>
      <c r="E66" s="1"/>
      <c r="F66" s="5">
        <f t="shared" si="36"/>
        <v>2.4090142731794214E-2</v>
      </c>
      <c r="G66" s="1"/>
      <c r="H66" s="1">
        <f>SUM(OSRRefH22_11x_0)</f>
        <v>1000</v>
      </c>
      <c r="I66" s="1"/>
      <c r="J66" s="5">
        <f t="shared" si="37"/>
        <v>8.6956521739130436E-3</v>
      </c>
      <c r="K66" s="1"/>
      <c r="L66" s="1">
        <f t="shared" si="38"/>
        <v>965.23</v>
      </c>
      <c r="M66" s="1"/>
      <c r="N66" s="5">
        <f t="shared" si="39"/>
        <v>0.96523000000000003</v>
      </c>
      <c r="O66" s="13"/>
      <c r="P66" s="1">
        <f>SUM(OSRRefP22_11x_0)</f>
        <v>17656.849999999999</v>
      </c>
      <c r="Q66" s="1"/>
      <c r="R66" s="5">
        <f t="shared" si="40"/>
        <v>3.4865064026422081E-2</v>
      </c>
      <c r="S66" s="1"/>
      <c r="T66" s="1">
        <f>SUM(OSRRefT22_11x_0)</f>
        <v>7100</v>
      </c>
      <c r="U66" s="1"/>
      <c r="V66" s="5">
        <f t="shared" si="41"/>
        <v>1.0785356220568131E-2</v>
      </c>
      <c r="W66" s="1"/>
      <c r="X66" s="1">
        <f t="shared" si="42"/>
        <v>10556.849999999999</v>
      </c>
      <c r="Y66" s="1"/>
      <c r="Z66" s="5">
        <f t="shared" si="43"/>
        <v>1.4868802816901407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200</v>
      </c>
      <c r="U67" s="2"/>
      <c r="V67" s="7">
        <f t="shared" si="41"/>
        <v>3.0381285128360929E-4</v>
      </c>
      <c r="W67" s="2"/>
      <c r="X67" s="6">
        <f t="shared" si="42"/>
        <v>-200</v>
      </c>
      <c r="Y67" s="2"/>
      <c r="Z67" s="7">
        <f t="shared" si="43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1869.35</v>
      </c>
      <c r="E68" s="2"/>
      <c r="F68" s="7">
        <f t="shared" si="36"/>
        <v>2.2914828450450845E-2</v>
      </c>
      <c r="G68" s="2"/>
      <c r="H68" s="6">
        <v>1000</v>
      </c>
      <c r="I68" s="2"/>
      <c r="J68" s="7">
        <f t="shared" si="37"/>
        <v>8.6956521739130436E-3</v>
      </c>
      <c r="K68" s="2"/>
      <c r="L68" s="6">
        <f t="shared" si="38"/>
        <v>869.34999999999991</v>
      </c>
      <c r="M68" s="2"/>
      <c r="N68" s="7">
        <f t="shared" si="39"/>
        <v>0.86934999999999996</v>
      </c>
      <c r="O68" s="11"/>
      <c r="P68" s="6">
        <v>10920.41</v>
      </c>
      <c r="Q68" s="2"/>
      <c r="R68" s="7">
        <f t="shared" si="40"/>
        <v>2.1563347587184579E-2</v>
      </c>
      <c r="S68" s="2"/>
      <c r="T68" s="6">
        <v>6000</v>
      </c>
      <c r="U68" s="2"/>
      <c r="V68" s="7">
        <f t="shared" si="41"/>
        <v>9.1143855385082788E-3</v>
      </c>
      <c r="W68" s="2"/>
      <c r="X68" s="6">
        <f t="shared" si="42"/>
        <v>4920.41</v>
      </c>
      <c r="Y68" s="2"/>
      <c r="Z68" s="7">
        <f t="shared" si="43"/>
        <v>0.82006833333333329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95.88</v>
      </c>
      <c r="E69" s="2"/>
      <c r="F69" s="7">
        <f t="shared" si="36"/>
        <v>1.175314281343369E-3</v>
      </c>
      <c r="G69" s="2"/>
      <c r="H69" s="6"/>
      <c r="I69" s="2"/>
      <c r="J69" s="7">
        <f t="shared" si="37"/>
        <v>0</v>
      </c>
      <c r="K69" s="2"/>
      <c r="L69" s="6">
        <f t="shared" si="38"/>
        <v>95.88</v>
      </c>
      <c r="M69" s="2"/>
      <c r="N69" s="7">
        <f t="shared" si="39"/>
        <v>0</v>
      </c>
      <c r="O69" s="11"/>
      <c r="P69" s="6">
        <v>6736.44</v>
      </c>
      <c r="Q69" s="2"/>
      <c r="R69" s="7">
        <f t="shared" si="40"/>
        <v>1.3301716439237507E-2</v>
      </c>
      <c r="S69" s="2"/>
      <c r="T69" s="6">
        <v>900</v>
      </c>
      <c r="U69" s="2"/>
      <c r="V69" s="7">
        <f t="shared" si="41"/>
        <v>1.3671578307762418E-3</v>
      </c>
      <c r="W69" s="2"/>
      <c r="X69" s="6">
        <f t="shared" si="42"/>
        <v>5836.44</v>
      </c>
      <c r="Y69" s="2"/>
      <c r="Z69" s="7">
        <f t="shared" si="43"/>
        <v>6.4849333333333332</v>
      </c>
    </row>
    <row r="70" spans="1:26" s="25" customFormat="1" outlineLevel="1" collapsed="1" x14ac:dyDescent="0.25">
      <c r="A70" s="27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SUM(OSRRefD22_12x_0)</f>
        <v>6526.24</v>
      </c>
      <c r="E70" s="1"/>
      <c r="F70" s="5">
        <f t="shared" ref="F70:F75" si="44">IF(D$12=0,0,D70/D$12)</f>
        <v>7.9999823482210561E-2</v>
      </c>
      <c r="G70" s="1"/>
      <c r="H70" s="1">
        <f>SUM(OSRRefH22_12x_0)</f>
        <v>9200</v>
      </c>
      <c r="I70" s="1"/>
      <c r="J70" s="5">
        <f t="shared" ref="J70:J75" si="45">IF(H$12=0,0,H70/H$12)</f>
        <v>0.08</v>
      </c>
      <c r="K70" s="1"/>
      <c r="L70" s="1">
        <f t="shared" ref="L70:L75" si="46">+D70-H70</f>
        <v>-2673.76</v>
      </c>
      <c r="M70" s="1"/>
      <c r="N70" s="5">
        <f t="shared" ref="N70:N75" si="47">IF(H70=0,0,L70/H70)</f>
        <v>-0.29062608695652176</v>
      </c>
      <c r="O70" s="13"/>
      <c r="P70" s="1">
        <f>SUM(OSRRefP22_12x_0)</f>
        <v>43343.76</v>
      </c>
      <c r="Q70" s="1"/>
      <c r="R70" s="5">
        <f t="shared" ref="R70:R75" si="48">IF(P$12=0,0,P70/P$12)</f>
        <v>8.5586215409083302E-2</v>
      </c>
      <c r="S70" s="1"/>
      <c r="T70" s="1">
        <f>SUM(OSRRefT22_12x_0)</f>
        <v>52664</v>
      </c>
      <c r="U70" s="1"/>
      <c r="V70" s="5">
        <f t="shared" ref="V70:V75" si="49">IF(T$12=0,0,T70/T$12)</f>
        <v>0.08</v>
      </c>
      <c r="W70" s="1"/>
      <c r="X70" s="1">
        <f t="shared" ref="X70:X75" si="50">+P70-T70</f>
        <v>-9320.239999999998</v>
      </c>
      <c r="Y70" s="1"/>
      <c r="Z70" s="5">
        <f t="shared" ref="Z70:Z75" si="51">IF(T70=0,0,X70/T70)</f>
        <v>-0.17697554306547164</v>
      </c>
    </row>
    <row r="71" spans="1:26" s="24" customFormat="1" hidden="1" outlineLevel="2" x14ac:dyDescent="0.25">
      <c r="A71" s="26"/>
      <c r="B71" s="11" t="str">
        <f>CONCATENATE("          ", "6259", " - ", "ROYALTY &amp; COMMISSIONS")</f>
        <v xml:space="preserve">          6259 - ROYALTY &amp; COMMISSIONS</v>
      </c>
      <c r="C71" s="11"/>
      <c r="D71" s="6">
        <v>6526.24</v>
      </c>
      <c r="E71" s="2"/>
      <c r="F71" s="7">
        <f t="shared" si="44"/>
        <v>7.9999823482210561E-2</v>
      </c>
      <c r="G71" s="2"/>
      <c r="H71" s="6">
        <v>9200</v>
      </c>
      <c r="I71" s="2"/>
      <c r="J71" s="7">
        <f t="shared" si="45"/>
        <v>0.08</v>
      </c>
      <c r="K71" s="2"/>
      <c r="L71" s="6">
        <f t="shared" si="46"/>
        <v>-2673.76</v>
      </c>
      <c r="M71" s="2"/>
      <c r="N71" s="7">
        <f t="shared" si="47"/>
        <v>-0.29062608695652176</v>
      </c>
      <c r="O71" s="11"/>
      <c r="P71" s="6">
        <v>43343.76</v>
      </c>
      <c r="Q71" s="2"/>
      <c r="R71" s="7">
        <f t="shared" si="48"/>
        <v>8.5586215409083302E-2</v>
      </c>
      <c r="S71" s="2"/>
      <c r="T71" s="6">
        <v>52664</v>
      </c>
      <c r="U71" s="2"/>
      <c r="V71" s="7">
        <f t="shared" si="49"/>
        <v>0.08</v>
      </c>
      <c r="W71" s="2"/>
      <c r="X71" s="6">
        <f t="shared" si="50"/>
        <v>-9320.239999999998</v>
      </c>
      <c r="Y71" s="2"/>
      <c r="Z71" s="7">
        <f t="shared" si="51"/>
        <v>-0.17697554306547164</v>
      </c>
    </row>
    <row r="72" spans="1:26" s="25" customFormat="1" outlineLevel="1" collapsed="1" x14ac:dyDescent="0.25">
      <c r="A72" s="27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SUM(OSRRefD22_13x_0)</f>
        <v>667.26</v>
      </c>
      <c r="E72" s="1"/>
      <c r="F72" s="5">
        <f t="shared" si="44"/>
        <v>8.1793930680973768E-3</v>
      </c>
      <c r="G72" s="1"/>
      <c r="H72" s="1">
        <f>SUM(OSRRefH22_13x_0)</f>
        <v>360</v>
      </c>
      <c r="I72" s="1"/>
      <c r="J72" s="5">
        <f t="shared" si="45"/>
        <v>3.1304347826086958E-3</v>
      </c>
      <c r="K72" s="1"/>
      <c r="L72" s="1">
        <f t="shared" si="46"/>
        <v>307.26</v>
      </c>
      <c r="M72" s="1"/>
      <c r="N72" s="5">
        <f t="shared" si="47"/>
        <v>0.85349999999999993</v>
      </c>
      <c r="O72" s="13"/>
      <c r="P72" s="1">
        <f>SUM(OSRRefP22_13x_0)</f>
        <v>2736.12</v>
      </c>
      <c r="Q72" s="1"/>
      <c r="R72" s="5">
        <f t="shared" si="48"/>
        <v>5.402719000499749E-3</v>
      </c>
      <c r="S72" s="1"/>
      <c r="T72" s="1">
        <f>SUM(OSRRefT22_13x_0)</f>
        <v>2160</v>
      </c>
      <c r="U72" s="1"/>
      <c r="V72" s="5">
        <f t="shared" si="49"/>
        <v>3.2811787938629806E-3</v>
      </c>
      <c r="W72" s="1"/>
      <c r="X72" s="1">
        <f t="shared" si="50"/>
        <v>576.11999999999989</v>
      </c>
      <c r="Y72" s="1"/>
      <c r="Z72" s="5">
        <f t="shared" si="51"/>
        <v>0.26672222222222219</v>
      </c>
    </row>
    <row r="73" spans="1:26" s="24" customFormat="1" hidden="1" outlineLevel="2" x14ac:dyDescent="0.25">
      <c r="A73" s="26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193.92</v>
      </c>
      <c r="E73" s="2"/>
      <c r="F73" s="7">
        <f t="shared" si="44"/>
        <v>2.3771062311024834E-3</v>
      </c>
      <c r="G73" s="2"/>
      <c r="H73" s="6">
        <v>100</v>
      </c>
      <c r="I73" s="2"/>
      <c r="J73" s="7">
        <f t="shared" si="45"/>
        <v>8.6956521739130438E-4</v>
      </c>
      <c r="K73" s="2"/>
      <c r="L73" s="6">
        <f t="shared" si="46"/>
        <v>93.919999999999987</v>
      </c>
      <c r="M73" s="2"/>
      <c r="N73" s="7">
        <f t="shared" si="47"/>
        <v>0.93919999999999992</v>
      </c>
      <c r="O73" s="11"/>
      <c r="P73" s="6">
        <v>678.72</v>
      </c>
      <c r="Q73" s="2"/>
      <c r="R73" s="7">
        <f t="shared" si="48"/>
        <v>1.3401946698314365E-3</v>
      </c>
      <c r="S73" s="2"/>
      <c r="T73" s="6">
        <v>600</v>
      </c>
      <c r="U73" s="2"/>
      <c r="V73" s="7">
        <f t="shared" si="49"/>
        <v>9.1143855385082792E-4</v>
      </c>
      <c r="W73" s="2"/>
      <c r="X73" s="6">
        <f t="shared" si="50"/>
        <v>78.720000000000027</v>
      </c>
      <c r="Y73" s="2"/>
      <c r="Z73" s="7">
        <f t="shared" si="51"/>
        <v>0.13120000000000004</v>
      </c>
    </row>
    <row r="74" spans="1:26" s="24" customFormat="1" hidden="1" outlineLevel="2" x14ac:dyDescent="0.25">
      <c r="A74" s="26"/>
      <c r="B74" s="11" t="str">
        <f>CONCATENATE("          ", "6284", " - ", "TRASH REMOVAL EXPENSE")</f>
        <v xml:space="preserve">          6284 - TRASH REMOVAL EXPENSE</v>
      </c>
      <c r="C74" s="11"/>
      <c r="D74" s="6">
        <v>312</v>
      </c>
      <c r="E74" s="2"/>
      <c r="F74" s="7">
        <f t="shared" si="44"/>
        <v>3.8245521044965704E-3</v>
      </c>
      <c r="G74" s="2"/>
      <c r="H74" s="6">
        <v>40</v>
      </c>
      <c r="I74" s="2"/>
      <c r="J74" s="7">
        <f t="shared" si="45"/>
        <v>3.4782608695652176E-4</v>
      </c>
      <c r="K74" s="2"/>
      <c r="L74" s="6">
        <f t="shared" si="46"/>
        <v>272</v>
      </c>
      <c r="M74" s="2"/>
      <c r="N74" s="7">
        <f t="shared" si="47"/>
        <v>6.8</v>
      </c>
      <c r="O74" s="11"/>
      <c r="P74" s="6">
        <v>594</v>
      </c>
      <c r="Q74" s="2"/>
      <c r="R74" s="7">
        <f t="shared" si="48"/>
        <v>1.1729072870695916E-3</v>
      </c>
      <c r="S74" s="2"/>
      <c r="T74" s="6">
        <v>240</v>
      </c>
      <c r="U74" s="2"/>
      <c r="V74" s="7">
        <f t="shared" si="49"/>
        <v>3.6457542154033114E-4</v>
      </c>
      <c r="W74" s="2"/>
      <c r="X74" s="6">
        <f t="shared" si="50"/>
        <v>354</v>
      </c>
      <c r="Y74" s="2"/>
      <c r="Z74" s="7">
        <f t="shared" si="51"/>
        <v>1.4750000000000001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6">
        <v>161.34</v>
      </c>
      <c r="E75" s="2"/>
      <c r="F75" s="7">
        <f t="shared" si="44"/>
        <v>1.9777347324983225E-3</v>
      </c>
      <c r="G75" s="2"/>
      <c r="H75" s="6">
        <v>220</v>
      </c>
      <c r="I75" s="2"/>
      <c r="J75" s="7">
        <f t="shared" si="45"/>
        <v>1.9130434782608696E-3</v>
      </c>
      <c r="K75" s="2"/>
      <c r="L75" s="6">
        <f t="shared" si="46"/>
        <v>-58.66</v>
      </c>
      <c r="M75" s="2"/>
      <c r="N75" s="7">
        <f t="shared" si="47"/>
        <v>-0.26663636363636362</v>
      </c>
      <c r="O75" s="11"/>
      <c r="P75" s="6">
        <v>1463.4</v>
      </c>
      <c r="Q75" s="2"/>
      <c r="R75" s="7">
        <f t="shared" si="48"/>
        <v>2.8896170435987216E-3</v>
      </c>
      <c r="S75" s="2"/>
      <c r="T75" s="6">
        <v>1320</v>
      </c>
      <c r="U75" s="2"/>
      <c r="V75" s="7">
        <f t="shared" si="49"/>
        <v>2.0051648184718214E-3</v>
      </c>
      <c r="W75" s="2"/>
      <c r="X75" s="6">
        <f t="shared" si="50"/>
        <v>143.40000000000009</v>
      </c>
      <c r="Y75" s="2"/>
      <c r="Z75" s="7">
        <f t="shared" si="51"/>
        <v>0.10863636363636371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SUM(OSRRefD22_14x_0)</f>
        <v>979</v>
      </c>
      <c r="E76" s="1"/>
      <c r="F76" s="5">
        <f t="shared" ref="F76:F78" si="52">IF(D$12=0,0,D76/D$12)</f>
        <v>1.20007580458402E-2</v>
      </c>
      <c r="G76" s="1"/>
      <c r="H76" s="1">
        <f>SUM(OSRRefH22_14x_0)</f>
        <v>0</v>
      </c>
      <c r="I76" s="1"/>
      <c r="J76" s="5">
        <f t="shared" ref="J76:J78" si="53">IF(H$12=0,0,H76/H$12)</f>
        <v>0</v>
      </c>
      <c r="K76" s="1"/>
      <c r="L76" s="1">
        <f t="shared" ref="L76:L78" si="54">+D76-H76</f>
        <v>979</v>
      </c>
      <c r="M76" s="1"/>
      <c r="N76" s="5">
        <f t="shared" ref="N76:N78" si="55">IF(H76=0,0,L76/H76)</f>
        <v>0</v>
      </c>
      <c r="O76" s="13"/>
      <c r="P76" s="1">
        <f>SUM(OSRRefP22_14x_0)</f>
        <v>1071.04</v>
      </c>
      <c r="Q76" s="1"/>
      <c r="R76" s="5">
        <f t="shared" ref="R76:R78" si="56">IF(P$12=0,0,P76/P$12)</f>
        <v>2.1148663648872311E-3</v>
      </c>
      <c r="S76" s="1"/>
      <c r="T76" s="1">
        <f>SUM(OSRRefT22_14x_0)</f>
        <v>0</v>
      </c>
      <c r="U76" s="1"/>
      <c r="V76" s="5">
        <f t="shared" ref="V76:V78" si="57">IF(T$12=0,0,T76/T$12)</f>
        <v>0</v>
      </c>
      <c r="W76" s="1"/>
      <c r="X76" s="1">
        <f t="shared" ref="X76:X78" si="58">+P76-T76</f>
        <v>1071.04</v>
      </c>
      <c r="Y76" s="1"/>
      <c r="Z76" s="5">
        <f t="shared" ref="Z76:Z78" si="59">IF(T76=0,0,X76/T76)</f>
        <v>0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6">
        <v>979</v>
      </c>
      <c r="E77" s="2"/>
      <c r="F77" s="7">
        <f t="shared" si="52"/>
        <v>1.20007580458402E-2</v>
      </c>
      <c r="G77" s="2"/>
      <c r="H77" s="6"/>
      <c r="I77" s="2"/>
      <c r="J77" s="7">
        <f t="shared" si="53"/>
        <v>0</v>
      </c>
      <c r="K77" s="2"/>
      <c r="L77" s="6">
        <f t="shared" si="54"/>
        <v>979</v>
      </c>
      <c r="M77" s="2"/>
      <c r="N77" s="7">
        <f t="shared" si="55"/>
        <v>0</v>
      </c>
      <c r="O77" s="11"/>
      <c r="P77" s="6">
        <v>979</v>
      </c>
      <c r="Q77" s="2"/>
      <c r="R77" s="7">
        <f t="shared" si="56"/>
        <v>1.9331249731332158E-3</v>
      </c>
      <c r="S77" s="2"/>
      <c r="T77" s="6"/>
      <c r="U77" s="2"/>
      <c r="V77" s="7">
        <f t="shared" si="57"/>
        <v>0</v>
      </c>
      <c r="W77" s="2"/>
      <c r="X77" s="6">
        <f t="shared" si="58"/>
        <v>979</v>
      </c>
      <c r="Y77" s="2"/>
      <c r="Z77" s="7">
        <f t="shared" si="59"/>
        <v>0</v>
      </c>
    </row>
    <row r="78" spans="1:26" s="24" customFormat="1" hidden="1" outlineLevel="2" x14ac:dyDescent="0.25">
      <c r="A78" s="26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92.04</v>
      </c>
      <c r="Q78" s="2"/>
      <c r="R78" s="7">
        <f t="shared" si="56"/>
        <v>1.8174139175401553E-4</v>
      </c>
      <c r="S78" s="2"/>
      <c r="T78" s="6"/>
      <c r="U78" s="2"/>
      <c r="V78" s="7">
        <f t="shared" si="57"/>
        <v>0</v>
      </c>
      <c r="W78" s="2"/>
      <c r="X78" s="6">
        <f t="shared" si="58"/>
        <v>92.04</v>
      </c>
      <c r="Y78" s="2"/>
      <c r="Z78" s="7">
        <f t="shared" si="59"/>
        <v>0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SUM(OSRRefD22_15x_0)</f>
        <v>934.18000000000006</v>
      </c>
      <c r="E79" s="1"/>
      <c r="F79" s="5">
        <f t="shared" ref="F79:F88" si="60">IF(D$12=0,0,D79/D$12)</f>
        <v>1.1451346426213482E-2</v>
      </c>
      <c r="G79" s="1"/>
      <c r="H79" s="1">
        <f>SUM(OSRRefH22_15x_0)</f>
        <v>400</v>
      </c>
      <c r="I79" s="1"/>
      <c r="J79" s="5">
        <f t="shared" ref="J79:J88" si="61">IF(H$12=0,0,H79/H$12)</f>
        <v>3.4782608695652175E-3</v>
      </c>
      <c r="K79" s="1"/>
      <c r="L79" s="1">
        <f t="shared" ref="L79:L88" si="62">+D79-H79</f>
        <v>534.18000000000006</v>
      </c>
      <c r="M79" s="1"/>
      <c r="N79" s="5">
        <f t="shared" ref="N79:N88" si="63">IF(H79=0,0,L79/H79)</f>
        <v>1.3354500000000002</v>
      </c>
      <c r="O79" s="13"/>
      <c r="P79" s="1">
        <f>SUM(OSRRefP22_15x_0)</f>
        <v>9205.0800000000017</v>
      </c>
      <c r="Q79" s="1"/>
      <c r="R79" s="5">
        <f t="shared" ref="R79:R88" si="64">IF(P$12=0,0,P79/P$12)</f>
        <v>1.8176271734105319E-2</v>
      </c>
      <c r="S79" s="1"/>
      <c r="T79" s="1">
        <f>SUM(OSRRefT22_15x_0)</f>
        <v>9750</v>
      </c>
      <c r="U79" s="1"/>
      <c r="V79" s="5">
        <f t="shared" ref="V79:V88" si="65">IF(T$12=0,0,T79/T$12)</f>
        <v>1.4810876500075953E-2</v>
      </c>
      <c r="W79" s="1"/>
      <c r="X79" s="1">
        <f t="shared" ref="X79:X88" si="66">+P79-T79</f>
        <v>-544.91999999999825</v>
      </c>
      <c r="Y79" s="1"/>
      <c r="Z79" s="5">
        <f t="shared" ref="Z79:Z88" si="67">IF(T79=0,0,X79/T79)</f>
        <v>-5.5889230769230587E-2</v>
      </c>
    </row>
    <row r="80" spans="1:26" s="24" customFormat="1" hidden="1" outlineLevel="2" x14ac:dyDescent="0.25">
      <c r="A80" s="26"/>
      <c r="B80" s="11" t="str">
        <f>CONCATENATE("          ", "6237", " - ", "JANITORIAL SUPPLIES")</f>
        <v xml:space="preserve">          6237 - JANITORIAL SUPPLIES</v>
      </c>
      <c r="C80" s="11"/>
      <c r="D80" s="6">
        <v>15.21</v>
      </c>
      <c r="E80" s="2"/>
      <c r="F80" s="7">
        <f t="shared" si="60"/>
        <v>1.8644691509420782E-4</v>
      </c>
      <c r="G80" s="2"/>
      <c r="H80" s="6">
        <v>100</v>
      </c>
      <c r="I80" s="2"/>
      <c r="J80" s="7">
        <f t="shared" si="61"/>
        <v>8.6956521739130438E-4</v>
      </c>
      <c r="K80" s="2"/>
      <c r="L80" s="6">
        <f t="shared" si="62"/>
        <v>-84.789999999999992</v>
      </c>
      <c r="M80" s="2"/>
      <c r="N80" s="7">
        <f t="shared" si="63"/>
        <v>-0.84789999999999988</v>
      </c>
      <c r="O80" s="11"/>
      <c r="P80" s="6">
        <v>1073.1400000000001</v>
      </c>
      <c r="Q80" s="2"/>
      <c r="R80" s="7">
        <f t="shared" si="64"/>
        <v>2.1190130068112151E-3</v>
      </c>
      <c r="S80" s="2"/>
      <c r="T80" s="6">
        <v>600</v>
      </c>
      <c r="U80" s="2"/>
      <c r="V80" s="7">
        <f t="shared" si="65"/>
        <v>9.1143855385082792E-4</v>
      </c>
      <c r="W80" s="2"/>
      <c r="X80" s="6">
        <f t="shared" si="66"/>
        <v>473.1400000000001</v>
      </c>
      <c r="Y80" s="2"/>
      <c r="Z80" s="7">
        <f t="shared" si="67"/>
        <v>0.78856666666666686</v>
      </c>
    </row>
    <row r="81" spans="1:26" s="24" customFormat="1" hidden="1" outlineLevel="2" x14ac:dyDescent="0.25">
      <c r="A81" s="26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3472.75</v>
      </c>
      <c r="Q81" s="2"/>
      <c r="R81" s="7">
        <f t="shared" si="64"/>
        <v>6.8572622578635086E-3</v>
      </c>
      <c r="S81" s="2"/>
      <c r="T81" s="6">
        <v>4900</v>
      </c>
      <c r="U81" s="2"/>
      <c r="V81" s="7">
        <f t="shared" si="65"/>
        <v>7.4434148564484276E-3</v>
      </c>
      <c r="W81" s="2"/>
      <c r="X81" s="6">
        <f t="shared" si="66"/>
        <v>-1427.25</v>
      </c>
      <c r="Y81" s="2"/>
      <c r="Z81" s="7">
        <f t="shared" si="67"/>
        <v>-0.29127551020408166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6">
        <v>153.91</v>
      </c>
      <c r="E82" s="2"/>
      <c r="F82" s="7">
        <f t="shared" si="60"/>
        <v>1.8866564564200871E-3</v>
      </c>
      <c r="G82" s="2"/>
      <c r="H82" s="6">
        <v>100</v>
      </c>
      <c r="I82" s="2"/>
      <c r="J82" s="7">
        <f t="shared" si="61"/>
        <v>8.6956521739130438E-4</v>
      </c>
      <c r="K82" s="2"/>
      <c r="L82" s="6">
        <f t="shared" si="62"/>
        <v>53.91</v>
      </c>
      <c r="M82" s="2"/>
      <c r="N82" s="7">
        <f t="shared" si="63"/>
        <v>0.53909999999999991</v>
      </c>
      <c r="O82" s="11"/>
      <c r="P82" s="6">
        <v>1169</v>
      </c>
      <c r="Q82" s="2"/>
      <c r="R82" s="7">
        <f t="shared" si="64"/>
        <v>2.3082973376840955E-3</v>
      </c>
      <c r="S82" s="2"/>
      <c r="T82" s="6">
        <v>650</v>
      </c>
      <c r="U82" s="2"/>
      <c r="V82" s="7">
        <f t="shared" si="65"/>
        <v>9.8739176667173023E-4</v>
      </c>
      <c r="W82" s="2"/>
      <c r="X82" s="6">
        <f t="shared" si="66"/>
        <v>519</v>
      </c>
      <c r="Y82" s="2"/>
      <c r="Z82" s="7">
        <f t="shared" si="67"/>
        <v>0.79846153846153844</v>
      </c>
    </row>
    <row r="83" spans="1:26" s="24" customFormat="1" hidden="1" outlineLevel="2" x14ac:dyDescent="0.25">
      <c r="A83" s="26"/>
      <c r="B83" s="11" t="str">
        <f>CONCATENATE("          ", "6243", " - ", "PAPER SUPPLIES")</f>
        <v xml:space="preserve">          6243 - PAPER SUPPLIES</v>
      </c>
      <c r="C83" s="11"/>
      <c r="D83" s="6">
        <v>617.37</v>
      </c>
      <c r="E83" s="2"/>
      <c r="F83" s="7">
        <f t="shared" si="60"/>
        <v>7.5678324767725885E-3</v>
      </c>
      <c r="G83" s="2"/>
      <c r="H83" s="6"/>
      <c r="I83" s="2"/>
      <c r="J83" s="7">
        <f t="shared" si="61"/>
        <v>0</v>
      </c>
      <c r="K83" s="2"/>
      <c r="L83" s="6">
        <f t="shared" si="62"/>
        <v>617.37</v>
      </c>
      <c r="M83" s="2"/>
      <c r="N83" s="7">
        <f t="shared" si="63"/>
        <v>0</v>
      </c>
      <c r="O83" s="11"/>
      <c r="P83" s="6">
        <v>3668.76</v>
      </c>
      <c r="Q83" s="2"/>
      <c r="R83" s="7">
        <f t="shared" si="64"/>
        <v>7.2443019166825509E-3</v>
      </c>
      <c r="S83" s="2"/>
      <c r="T83" s="6"/>
      <c r="U83" s="2"/>
      <c r="V83" s="7">
        <f t="shared" si="65"/>
        <v>0</v>
      </c>
      <c r="W83" s="2"/>
      <c r="X83" s="6">
        <f t="shared" si="66"/>
        <v>3668.76</v>
      </c>
      <c r="Y83" s="2"/>
      <c r="Z83" s="7">
        <f t="shared" si="67"/>
        <v>0</v>
      </c>
    </row>
    <row r="84" spans="1:26" s="24" customFormat="1" hidden="1" outlineLevel="2" x14ac:dyDescent="0.25">
      <c r="A84" s="26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60"/>
        <v>0</v>
      </c>
      <c r="G84" s="2"/>
      <c r="H84" s="6">
        <v>50</v>
      </c>
      <c r="I84" s="2"/>
      <c r="J84" s="7">
        <f t="shared" si="61"/>
        <v>4.3478260869565219E-4</v>
      </c>
      <c r="K84" s="2"/>
      <c r="L84" s="6">
        <f t="shared" si="62"/>
        <v>-50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300</v>
      </c>
      <c r="U84" s="2"/>
      <c r="V84" s="7">
        <f t="shared" si="65"/>
        <v>4.5571927692541396E-4</v>
      </c>
      <c r="W84" s="2"/>
      <c r="X84" s="6">
        <f t="shared" si="66"/>
        <v>-300</v>
      </c>
      <c r="Y84" s="2"/>
      <c r="Z84" s="7">
        <f t="shared" si="67"/>
        <v>-1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0"/>
        <v>0</v>
      </c>
      <c r="G85" s="2"/>
      <c r="H85" s="6">
        <v>50</v>
      </c>
      <c r="I85" s="2"/>
      <c r="J85" s="7">
        <f t="shared" si="61"/>
        <v>4.3478260869565219E-4</v>
      </c>
      <c r="K85" s="2"/>
      <c r="L85" s="6">
        <f t="shared" si="62"/>
        <v>-50</v>
      </c>
      <c r="M85" s="2"/>
      <c r="N85" s="7">
        <f t="shared" si="63"/>
        <v>-1</v>
      </c>
      <c r="O85" s="11"/>
      <c r="P85" s="6">
        <v>66.930000000000007</v>
      </c>
      <c r="Q85" s="2"/>
      <c r="R85" s="7">
        <f t="shared" si="64"/>
        <v>1.3215940189152824E-4</v>
      </c>
      <c r="S85" s="2"/>
      <c r="T85" s="6">
        <v>350</v>
      </c>
      <c r="U85" s="2"/>
      <c r="V85" s="7">
        <f t="shared" si="65"/>
        <v>5.3167248974631627E-4</v>
      </c>
      <c r="W85" s="2"/>
      <c r="X85" s="6">
        <f t="shared" si="66"/>
        <v>-283.07</v>
      </c>
      <c r="Y85" s="2"/>
      <c r="Z85" s="7">
        <f t="shared" si="67"/>
        <v>-0.80877142857142859</v>
      </c>
    </row>
    <row r="86" spans="1:26" s="24" customFormat="1" hidden="1" outlineLevel="2" x14ac:dyDescent="0.25">
      <c r="A86" s="26"/>
      <c r="B86" s="11" t="str">
        <f>CONCATENATE("          ", "6246", " - ", "REPLACEMENTS")</f>
        <v xml:space="preserve">          6246 - REPLACEMENTS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/>
      <c r="Q86" s="2"/>
      <c r="R86" s="7">
        <f t="shared" si="64"/>
        <v>0</v>
      </c>
      <c r="S86" s="2"/>
      <c r="T86" s="6">
        <v>2400</v>
      </c>
      <c r="U86" s="2"/>
      <c r="V86" s="7">
        <f t="shared" si="65"/>
        <v>3.6457542154033117E-3</v>
      </c>
      <c r="W86" s="2"/>
      <c r="X86" s="6">
        <f t="shared" si="66"/>
        <v>-2400</v>
      </c>
      <c r="Y86" s="2"/>
      <c r="Z86" s="7">
        <f t="shared" si="67"/>
        <v>-1</v>
      </c>
    </row>
    <row r="87" spans="1:26" s="24" customFormat="1" hidden="1" outlineLevel="2" x14ac:dyDescent="0.25">
      <c r="A87" s="26"/>
      <c r="B87" s="11" t="str">
        <f>CONCATENATE("          ", "6247", " - ", "STORE SUPPLIES")</f>
        <v xml:space="preserve">          6247 - STORE SUPPLIES</v>
      </c>
      <c r="C87" s="11"/>
      <c r="D87" s="6">
        <v>147.69</v>
      </c>
      <c r="E87" s="2"/>
      <c r="F87" s="7">
        <f t="shared" si="60"/>
        <v>1.8104105779265976E-3</v>
      </c>
      <c r="G87" s="2"/>
      <c r="H87" s="6">
        <v>100</v>
      </c>
      <c r="I87" s="2"/>
      <c r="J87" s="7">
        <f t="shared" si="61"/>
        <v>8.6956521739130438E-4</v>
      </c>
      <c r="K87" s="2"/>
      <c r="L87" s="6">
        <f t="shared" si="62"/>
        <v>47.69</v>
      </c>
      <c r="M87" s="2"/>
      <c r="N87" s="7">
        <f t="shared" si="63"/>
        <v>0.47689999999999999</v>
      </c>
      <c r="O87" s="11"/>
      <c r="P87" s="6">
        <v>-379.58</v>
      </c>
      <c r="Q87" s="2"/>
      <c r="R87" s="7">
        <f t="shared" si="64"/>
        <v>-7.4951540071696218E-4</v>
      </c>
      <c r="S87" s="2"/>
      <c r="T87" s="6">
        <v>550</v>
      </c>
      <c r="U87" s="2"/>
      <c r="V87" s="7">
        <f t="shared" si="65"/>
        <v>8.3548534102992561E-4</v>
      </c>
      <c r="W87" s="2"/>
      <c r="X87" s="6">
        <f t="shared" si="66"/>
        <v>-929.57999999999993</v>
      </c>
      <c r="Y87" s="2"/>
      <c r="Z87" s="7">
        <f t="shared" si="67"/>
        <v>-1.6901454545454544</v>
      </c>
    </row>
    <row r="88" spans="1:26" s="24" customFormat="1" hidden="1" outlineLevel="2" x14ac:dyDescent="0.25">
      <c r="A88" s="26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134.08000000000001</v>
      </c>
      <c r="Q88" s="2"/>
      <c r="R88" s="7">
        <f t="shared" si="64"/>
        <v>2.6475321388937854E-4</v>
      </c>
      <c r="S88" s="2"/>
      <c r="T88" s="6"/>
      <c r="U88" s="2"/>
      <c r="V88" s="7">
        <f t="shared" si="65"/>
        <v>0</v>
      </c>
      <c r="W88" s="2"/>
      <c r="X88" s="6">
        <f t="shared" si="66"/>
        <v>134.08000000000001</v>
      </c>
      <c r="Y88" s="2"/>
      <c r="Z88" s="7">
        <f t="shared" si="67"/>
        <v>0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SUM(OSRRefD22_16x_0)</f>
        <v>73</v>
      </c>
      <c r="E89" s="1"/>
      <c r="F89" s="5">
        <f t="shared" ref="F89:F94" si="68">IF(D$12=0,0,D89/D$12)</f>
        <v>8.9484712701362059E-4</v>
      </c>
      <c r="G89" s="1"/>
      <c r="H89" s="1">
        <f>SUM(OSRRefH22_16x_0)</f>
        <v>50</v>
      </c>
      <c r="I89" s="1"/>
      <c r="J89" s="5">
        <f t="shared" ref="J89:J94" si="69">IF(H$12=0,0,H89/H$12)</f>
        <v>4.3478260869565219E-4</v>
      </c>
      <c r="K89" s="1"/>
      <c r="L89" s="1">
        <f t="shared" ref="L89:L94" si="70">+D89-H89</f>
        <v>23</v>
      </c>
      <c r="M89" s="1"/>
      <c r="N89" s="5">
        <f t="shared" ref="N89:N94" si="71">IF(H89=0,0,L89/H89)</f>
        <v>0.46</v>
      </c>
      <c r="O89" s="13"/>
      <c r="P89" s="1">
        <f>SUM(OSRRefP22_16x_0)</f>
        <v>492.3</v>
      </c>
      <c r="Q89" s="1"/>
      <c r="R89" s="5">
        <f t="shared" ref="R89:R94" si="72">IF(P$12=0,0,P89/P$12)</f>
        <v>9.7209134246525246E-4</v>
      </c>
      <c r="S89" s="1"/>
      <c r="T89" s="1">
        <f>SUM(OSRRefT22_16x_0)</f>
        <v>300</v>
      </c>
      <c r="U89" s="1"/>
      <c r="V89" s="5">
        <f t="shared" ref="V89:V94" si="73">IF(T$12=0,0,T89/T$12)</f>
        <v>4.5571927692541396E-4</v>
      </c>
      <c r="W89" s="1"/>
      <c r="X89" s="1">
        <f t="shared" ref="X89:X94" si="74">+P89-T89</f>
        <v>192.3</v>
      </c>
      <c r="Y89" s="1"/>
      <c r="Z89" s="5">
        <f t="shared" ref="Z89:Z94" si="75">IF(T89=0,0,X89/T89)</f>
        <v>0.64100000000000001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6">
        <v>73</v>
      </c>
      <c r="E90" s="2"/>
      <c r="F90" s="7">
        <f t="shared" si="68"/>
        <v>8.9484712701362059E-4</v>
      </c>
      <c r="G90" s="2"/>
      <c r="H90" s="6">
        <v>50</v>
      </c>
      <c r="I90" s="2"/>
      <c r="J90" s="7">
        <f t="shared" si="69"/>
        <v>4.3478260869565219E-4</v>
      </c>
      <c r="K90" s="2"/>
      <c r="L90" s="6">
        <f t="shared" si="70"/>
        <v>23</v>
      </c>
      <c r="M90" s="2"/>
      <c r="N90" s="7">
        <f t="shared" si="71"/>
        <v>0.46</v>
      </c>
      <c r="O90" s="11"/>
      <c r="P90" s="6">
        <v>492.3</v>
      </c>
      <c r="Q90" s="2"/>
      <c r="R90" s="7">
        <f t="shared" si="72"/>
        <v>9.7209134246525246E-4</v>
      </c>
      <c r="S90" s="2"/>
      <c r="T90" s="6">
        <v>300</v>
      </c>
      <c r="U90" s="2"/>
      <c r="V90" s="7">
        <f t="shared" si="73"/>
        <v>4.5571927692541396E-4</v>
      </c>
      <c r="W90" s="2"/>
      <c r="X90" s="6">
        <f t="shared" si="74"/>
        <v>192.3</v>
      </c>
      <c r="Y90" s="2"/>
      <c r="Z90" s="7">
        <f t="shared" si="75"/>
        <v>0.64100000000000001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SUM(OSRRefP22_17x_0)</f>
        <v>465.65</v>
      </c>
      <c r="Q91" s="1"/>
      <c r="R91" s="5">
        <f t="shared" si="72"/>
        <v>9.1946848185851067E-4</v>
      </c>
      <c r="S91" s="1"/>
      <c r="T91" s="1">
        <f>SUM(OSRRefT22_17x_0)</f>
        <v>500</v>
      </c>
      <c r="U91" s="1"/>
      <c r="V91" s="5">
        <f t="shared" si="73"/>
        <v>7.595321282090232E-4</v>
      </c>
      <c r="W91" s="1"/>
      <c r="X91" s="1">
        <f t="shared" si="74"/>
        <v>-34.350000000000023</v>
      </c>
      <c r="Y91" s="1"/>
      <c r="Z91" s="5">
        <f t="shared" si="75"/>
        <v>-6.8700000000000039E-2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68"/>
        <v>0</v>
      </c>
      <c r="G92" s="2"/>
      <c r="H92" s="6"/>
      <c r="I92" s="2"/>
      <c r="J92" s="7">
        <f t="shared" si="69"/>
        <v>0</v>
      </c>
      <c r="K92" s="2"/>
      <c r="L92" s="6">
        <f t="shared" si="70"/>
        <v>0</v>
      </c>
      <c r="M92" s="2"/>
      <c r="N92" s="7">
        <f t="shared" si="71"/>
        <v>0</v>
      </c>
      <c r="O92" s="11"/>
      <c r="P92" s="6">
        <v>465.65</v>
      </c>
      <c r="Q92" s="2"/>
      <c r="R92" s="7">
        <f t="shared" si="72"/>
        <v>9.1946848185851067E-4</v>
      </c>
      <c r="S92" s="2"/>
      <c r="T92" s="6">
        <v>500</v>
      </c>
      <c r="U92" s="2"/>
      <c r="V92" s="7">
        <f t="shared" si="73"/>
        <v>7.595321282090232E-4</v>
      </c>
      <c r="W92" s="2"/>
      <c r="X92" s="6">
        <f t="shared" si="74"/>
        <v>-34.350000000000023</v>
      </c>
      <c r="Y92" s="2"/>
      <c r="Z92" s="7">
        <f t="shared" si="75"/>
        <v>-6.8700000000000039E-2</v>
      </c>
    </row>
    <row r="93" spans="1:26" s="25" customFormat="1" outlineLevel="1" collapsed="1" x14ac:dyDescent="0.25">
      <c r="A93" s="27"/>
      <c r="B93" s="13" t="str">
        <f>CONCATENATE("     ","Utilities                                         ")</f>
        <v xml:space="preserve">     Utilities                                         </v>
      </c>
      <c r="C93" s="13"/>
      <c r="D93" s="1">
        <f>SUM(OSRRefD22_18x_0)</f>
        <v>766</v>
      </c>
      <c r="E93" s="1"/>
      <c r="F93" s="5">
        <f t="shared" si="68"/>
        <v>9.3897657437319645E-3</v>
      </c>
      <c r="G93" s="1"/>
      <c r="H93" s="1">
        <f>SUM(OSRRefH22_18x_0)</f>
        <v>350</v>
      </c>
      <c r="I93" s="1"/>
      <c r="J93" s="5">
        <f t="shared" si="69"/>
        <v>3.0434782608695652E-3</v>
      </c>
      <c r="K93" s="1"/>
      <c r="L93" s="1">
        <f t="shared" si="70"/>
        <v>416</v>
      </c>
      <c r="M93" s="1"/>
      <c r="N93" s="5">
        <f t="shared" si="71"/>
        <v>1.1885714285714286</v>
      </c>
      <c r="O93" s="13"/>
      <c r="P93" s="1">
        <f>SUM(OSRRefP22_18x_0)</f>
        <v>2084</v>
      </c>
      <c r="Q93" s="1"/>
      <c r="R93" s="5">
        <f t="shared" si="72"/>
        <v>4.1150484617054357E-3</v>
      </c>
      <c r="S93" s="1"/>
      <c r="T93" s="1">
        <f>SUM(OSRRefT22_18x_0)</f>
        <v>2100</v>
      </c>
      <c r="U93" s="1"/>
      <c r="V93" s="5">
        <f t="shared" si="73"/>
        <v>3.1900349384778974E-3</v>
      </c>
      <c r="W93" s="1"/>
      <c r="X93" s="1">
        <f t="shared" si="74"/>
        <v>-16</v>
      </c>
      <c r="Y93" s="1"/>
      <c r="Z93" s="5">
        <f t="shared" si="75"/>
        <v>-7.619047619047619E-3</v>
      </c>
    </row>
    <row r="94" spans="1:26" s="24" customFormat="1" hidden="1" outlineLevel="2" x14ac:dyDescent="0.25">
      <c r="A94" s="26"/>
      <c r="B94" s="11" t="str">
        <f>CONCATENATE("          ", "6274", " - ", "UTILITIES")</f>
        <v xml:space="preserve">          6274 - UTILITIES</v>
      </c>
      <c r="C94" s="11"/>
      <c r="D94" s="6">
        <v>766</v>
      </c>
      <c r="E94" s="2"/>
      <c r="F94" s="7">
        <f t="shared" si="68"/>
        <v>9.3897657437319645E-3</v>
      </c>
      <c r="G94" s="2"/>
      <c r="H94" s="6">
        <v>350</v>
      </c>
      <c r="I94" s="2"/>
      <c r="J94" s="7">
        <f t="shared" si="69"/>
        <v>3.0434782608695652E-3</v>
      </c>
      <c r="K94" s="2"/>
      <c r="L94" s="6">
        <f t="shared" si="70"/>
        <v>416</v>
      </c>
      <c r="M94" s="2"/>
      <c r="N94" s="7">
        <f t="shared" si="71"/>
        <v>1.1885714285714286</v>
      </c>
      <c r="O94" s="11"/>
      <c r="P94" s="6">
        <v>2084</v>
      </c>
      <c r="Q94" s="2"/>
      <c r="R94" s="7">
        <f t="shared" si="72"/>
        <v>4.1150484617054357E-3</v>
      </c>
      <c r="S94" s="2"/>
      <c r="T94" s="6">
        <v>2100</v>
      </c>
      <c r="U94" s="2"/>
      <c r="V94" s="7">
        <f t="shared" si="73"/>
        <v>3.1900349384778974E-3</v>
      </c>
      <c r="W94" s="2"/>
      <c r="X94" s="6">
        <f t="shared" si="74"/>
        <v>-16</v>
      </c>
      <c r="Y94" s="2"/>
      <c r="Z94" s="7">
        <f t="shared" si="75"/>
        <v>-7.619047619047619E-3</v>
      </c>
    </row>
    <row r="95" spans="1:26" s="5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2">
        <f>+D22-D24+D96</f>
        <v>-4871.5700000000143</v>
      </c>
      <c r="E98" s="14"/>
      <c r="F98" s="20">
        <f>IF(D$12=0,0,D98/D$12)</f>
        <v>-5.971658107596927E-2</v>
      </c>
      <c r="G98" s="14"/>
      <c r="H98" s="22">
        <f>+H22-H24+H96</f>
        <v>15430.826530399994</v>
      </c>
      <c r="I98" s="14"/>
      <c r="J98" s="20">
        <f>IF(H$12=0,0,H98/H$12)</f>
        <v>0.13418110026434776</v>
      </c>
      <c r="K98" s="16"/>
      <c r="L98" s="22">
        <f>+D98-H98</f>
        <v>-20302.396530400008</v>
      </c>
      <c r="M98" s="16"/>
      <c r="N98" s="20">
        <f>IF(H98=0,0,L98/H98)</f>
        <v>-1.3157037628802724</v>
      </c>
      <c r="O98" s="28"/>
      <c r="P98" s="22">
        <f>+P22-P24+P96</f>
        <v>-25991.119999999937</v>
      </c>
      <c r="Q98" s="14"/>
      <c r="R98" s="20">
        <f>IF(P$12=0,0,P98/P$12)</f>
        <v>-5.1321841830134898E-2</v>
      </c>
      <c r="S98" s="14"/>
      <c r="T98" s="22">
        <f>+T22-T24+T96</f>
        <v>102455.54244759999</v>
      </c>
      <c r="U98" s="14"/>
      <c r="V98" s="20">
        <f>IF(T$12=0,0,T98/T$12)</f>
        <v>0.15563655240407107</v>
      </c>
      <c r="W98" s="16"/>
      <c r="X98" s="22">
        <f>+P98-T98</f>
        <v>-128446.66244759993</v>
      </c>
      <c r="Y98" s="16"/>
      <c r="Z98" s="20">
        <f>IF(T98=0,0,X98/T98)</f>
        <v>-1.253681932466395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9709.41</v>
      </c>
      <c r="E100" s="4"/>
      <c r="F100" s="12">
        <f>IF(D$12=0,0,D100/D$12)</f>
        <v>0.1190196937465386</v>
      </c>
      <c r="G100" s="4"/>
      <c r="H100" s="4">
        <v>15945</v>
      </c>
      <c r="I100" s="4"/>
      <c r="J100" s="12">
        <f>IF(H$12=0,0,H100/H$12)</f>
        <v>0.13865217391304349</v>
      </c>
      <c r="K100" s="4"/>
      <c r="L100" s="4">
        <f>+D100-H100</f>
        <v>-6235.59</v>
      </c>
      <c r="M100" s="4"/>
      <c r="N100" s="12">
        <f>IF(H100=0,0,L100/H100)</f>
        <v>-0.391068673565381</v>
      </c>
      <c r="O100" s="10"/>
      <c r="P100" s="4">
        <v>54698.76</v>
      </c>
      <c r="Q100" s="4"/>
      <c r="R100" s="12">
        <f>IF(P$12=0,0,P100/P$12)</f>
        <v>0.10800770066947929</v>
      </c>
      <c r="S100" s="4"/>
      <c r="T100" s="4">
        <v>84799</v>
      </c>
      <c r="U100" s="4"/>
      <c r="V100" s="12">
        <f>IF(T$12=0,0,T100/T$12)</f>
        <v>0.12881512987999391</v>
      </c>
      <c r="W100" s="4"/>
      <c r="X100" s="4">
        <f>+P100-T100</f>
        <v>-30100.239999999998</v>
      </c>
      <c r="Y100" s="4"/>
      <c r="Z100" s="12">
        <f>IF(T100=0,0,X100/T100)</f>
        <v>-0.35495984622460169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1">
        <f>+D98-D100</f>
        <v>-14580.980000000014</v>
      </c>
      <c r="E102" s="14"/>
      <c r="F102" s="32">
        <f>IF(D$12=0,0,D102/D$12)</f>
        <v>-0.17873627482250787</v>
      </c>
      <c r="G102" s="14"/>
      <c r="H102" s="31">
        <f>+H98-H100</f>
        <v>-514.17346960000577</v>
      </c>
      <c r="I102" s="14"/>
      <c r="J102" s="32">
        <f>IF(H$12=0,0,H102/H$12)</f>
        <v>-4.4710736486957021E-3</v>
      </c>
      <c r="K102" s="16"/>
      <c r="L102" s="31">
        <f>D102-H102</f>
        <v>-14066.806530400008</v>
      </c>
      <c r="M102" s="16"/>
      <c r="N102" s="32">
        <f>IF(H102=0,0,L102/H102)</f>
        <v>27.358094810576453</v>
      </c>
      <c r="O102" s="28"/>
      <c r="P102" s="31">
        <f>+P98-P100</f>
        <v>-80689.879999999946</v>
      </c>
      <c r="Q102" s="14"/>
      <c r="R102" s="32">
        <f>IF(P$12=0,0,P102/P$12)</f>
        <v>-0.1593295424996142</v>
      </c>
      <c r="S102" s="14"/>
      <c r="T102" s="31">
        <f>+T98-T100</f>
        <v>17656.54244759999</v>
      </c>
      <c r="U102" s="14"/>
      <c r="V102" s="32">
        <f>IF(T$12=0,0,T102/T$12)</f>
        <v>2.6821422524077154E-2</v>
      </c>
      <c r="W102" s="16"/>
      <c r="X102" s="31">
        <f>P102-T102</f>
        <v>-98346.422447599936</v>
      </c>
      <c r="Y102" s="16"/>
      <c r="Z102" s="32">
        <f>IF(T102=0,0,X102/T102)</f>
        <v>-5.5699706066160148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5">
        <f>SUM(D102:D104)</f>
        <v>-14580.980000000014</v>
      </c>
      <c r="E105" s="14"/>
      <c r="F105" s="34">
        <f>IF(D$12=0,0,D105/D$12)</f>
        <v>-0.17873627482250787</v>
      </c>
      <c r="G105" s="14"/>
      <c r="H105" s="35">
        <f>SUM(H102:H104)</f>
        <v>-514.17346960000577</v>
      </c>
      <c r="I105" s="14"/>
      <c r="J105" s="34">
        <f>IF(H$12=0,0,H105/H$12)</f>
        <v>-4.4710736486957021E-3</v>
      </c>
      <c r="K105" s="16"/>
      <c r="L105" s="35">
        <f>+D105-H105</f>
        <v>-14066.806530400008</v>
      </c>
      <c r="M105" s="16"/>
      <c r="N105" s="34">
        <f>IF(H105=0,0,L105/H105)</f>
        <v>27.358094810576453</v>
      </c>
      <c r="O105" s="28"/>
      <c r="P105" s="35">
        <f>SUM(P102:P104)</f>
        <v>-80689.879999999946</v>
      </c>
      <c r="Q105" s="14"/>
      <c r="R105" s="34">
        <f>IF(P$12=0,0,P105/P$12)</f>
        <v>-0.1593295424996142</v>
      </c>
      <c r="S105" s="14"/>
      <c r="T105" s="35">
        <f>SUM(T102:T104)</f>
        <v>17656.54244759999</v>
      </c>
      <c r="U105" s="14"/>
      <c r="V105" s="34">
        <f>IF(T$12=0,0,T105/T$12)</f>
        <v>2.6821422524077154E-2</v>
      </c>
      <c r="W105" s="16"/>
      <c r="X105" s="35">
        <f>+P105-T105</f>
        <v>-98346.422447599936</v>
      </c>
      <c r="Y105" s="16"/>
      <c r="Z105" s="34">
        <f>IF(T105=0,0,X105/T105)</f>
        <v>-5.5699706066160148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3">
        <v>43847.446151388889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5" t="s">
        <v>314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6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J101" sqref="J10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14206.51</v>
      </c>
      <c r="E12" s="4"/>
      <c r="F12" s="12"/>
      <c r="G12" s="4"/>
      <c r="H12" s="4">
        <f>SUM(OSRRefH13x_0)</f>
        <v>23000</v>
      </c>
      <c r="I12" s="4"/>
      <c r="J12" s="12"/>
      <c r="K12" s="4"/>
      <c r="L12" s="4">
        <f t="shared" ref="L12:L16" si="0">+D12-H12</f>
        <v>-8793.49</v>
      </c>
      <c r="M12" s="4"/>
      <c r="N12" s="12">
        <f t="shared" ref="N12:N16" si="1">IF(H12=0,0,L12/H12)</f>
        <v>-0.38232565217391301</v>
      </c>
      <c r="O12" s="10"/>
      <c r="P12" s="4">
        <f>SUM(OSRRefP13x_0)</f>
        <v>137877.57999999999</v>
      </c>
      <c r="Q12" s="4"/>
      <c r="R12" s="12"/>
      <c r="S12" s="4"/>
      <c r="T12" s="4">
        <f>SUM(OSRRefT13x_0)</f>
        <v>207000</v>
      </c>
      <c r="U12" s="4"/>
      <c r="V12" s="12"/>
      <c r="W12" s="4"/>
      <c r="X12" s="4">
        <f t="shared" ref="X12:X16" si="2">+P12-T12</f>
        <v>-69122.420000000013</v>
      </c>
      <c r="Y12" s="4"/>
      <c r="Z12" s="12">
        <f t="shared" ref="Z12:Z16" si="3">IF(T12=0,0,X12/T12)</f>
        <v>-0.33392473429951697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3000</v>
      </c>
      <c r="I13" s="2"/>
      <c r="J13" s="19"/>
      <c r="K13" s="2"/>
      <c r="L13" s="2">
        <f t="shared" si="0"/>
        <v>-3000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35000</v>
      </c>
      <c r="U13" s="2"/>
      <c r="V13" s="19"/>
      <c r="W13" s="2"/>
      <c r="X13" s="2">
        <f t="shared" si="2"/>
        <v>-35000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--3574.53</f>
        <v>3574.53</v>
      </c>
      <c r="E14" s="2"/>
      <c r="F14" s="19"/>
      <c r="G14" s="2"/>
      <c r="H14" s="2"/>
      <c r="I14" s="2"/>
      <c r="J14" s="19"/>
      <c r="K14" s="2"/>
      <c r="L14" s="2">
        <f t="shared" si="0"/>
        <v>3574.53</v>
      </c>
      <c r="M14" s="2"/>
      <c r="N14" s="19">
        <f t="shared" si="1"/>
        <v>0</v>
      </c>
      <c r="O14" s="11"/>
      <c r="P14" s="2">
        <f>--34071.43</f>
        <v>34071.43</v>
      </c>
      <c r="Q14" s="2"/>
      <c r="R14" s="19"/>
      <c r="S14" s="2"/>
      <c r="T14" s="2"/>
      <c r="U14" s="2"/>
      <c r="V14" s="19"/>
      <c r="W14" s="2"/>
      <c r="X14" s="2">
        <f t="shared" si="2"/>
        <v>34071.43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20000</v>
      </c>
      <c r="I15" s="2"/>
      <c r="J15" s="19"/>
      <c r="K15" s="2"/>
      <c r="L15" s="2">
        <f t="shared" si="0"/>
        <v>-20000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172000</v>
      </c>
      <c r="U15" s="2"/>
      <c r="V15" s="19"/>
      <c r="W15" s="2"/>
      <c r="X15" s="2">
        <f t="shared" si="2"/>
        <v>-172000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--10631.98</f>
        <v>10631.98</v>
      </c>
      <c r="E16" s="2"/>
      <c r="F16" s="19"/>
      <c r="G16" s="2"/>
      <c r="H16" s="2"/>
      <c r="I16" s="2"/>
      <c r="J16" s="19"/>
      <c r="K16" s="2"/>
      <c r="L16" s="2">
        <f t="shared" si="0"/>
        <v>10631.98</v>
      </c>
      <c r="M16" s="2"/>
      <c r="N16" s="19">
        <f t="shared" si="1"/>
        <v>0</v>
      </c>
      <c r="O16" s="11"/>
      <c r="P16" s="2">
        <f>--103806.15</f>
        <v>103806.15</v>
      </c>
      <c r="Q16" s="2"/>
      <c r="R16" s="19"/>
      <c r="S16" s="2"/>
      <c r="T16" s="2"/>
      <c r="U16" s="2"/>
      <c r="V16" s="19"/>
      <c r="W16" s="2"/>
      <c r="X16" s="2">
        <f t="shared" si="2"/>
        <v>103806.15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5340.37</v>
      </c>
      <c r="E18" s="4"/>
      <c r="F18" s="12">
        <f t="shared" ref="F18:F21" si="4">IF(D$12=0,0,D18/D$12)</f>
        <v>0.37591005813531964</v>
      </c>
      <c r="G18" s="4"/>
      <c r="H18" s="4">
        <f>SUM(OSRRefH16x_0)</f>
        <v>7360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-2019.63</v>
      </c>
      <c r="M18" s="4"/>
      <c r="N18" s="12">
        <f t="shared" ref="N18:N21" si="7">IF(H18=0,0,L18/H18)</f>
        <v>-0.27440625000000002</v>
      </c>
      <c r="O18" s="10"/>
      <c r="P18" s="4">
        <f>SUM(OSRRefP16x_0)</f>
        <v>48420.54</v>
      </c>
      <c r="Q18" s="4"/>
      <c r="R18" s="12">
        <f t="shared" ref="R18:R21" si="8">IF(P$12=0,0,P18/P$12)</f>
        <v>0.3511850149966369</v>
      </c>
      <c r="S18" s="4"/>
      <c r="T18" s="4">
        <f>SUM(OSRRefT16x_0)</f>
        <v>66240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-17819.46</v>
      </c>
      <c r="Y18" s="4"/>
      <c r="Z18" s="12">
        <f t="shared" ref="Z18:Z21" si="11">IF(T18=0,0,X18/T18)</f>
        <v>-0.26901358695652172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7360</v>
      </c>
      <c r="I19" s="2"/>
      <c r="J19" s="19">
        <f t="shared" si="5"/>
        <v>0.32</v>
      </c>
      <c r="K19" s="2"/>
      <c r="L19" s="2">
        <f t="shared" si="6"/>
        <v>-7360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66240</v>
      </c>
      <c r="U19" s="2"/>
      <c r="V19" s="19">
        <f t="shared" si="9"/>
        <v>0.32</v>
      </c>
      <c r="W19" s="2"/>
      <c r="X19" s="2">
        <f t="shared" si="10"/>
        <v>-66240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3673.37</v>
      </c>
      <c r="E20" s="2"/>
      <c r="F20" s="19">
        <f t="shared" si="4"/>
        <v>0.2585694868056968</v>
      </c>
      <c r="G20" s="2"/>
      <c r="H20" s="2"/>
      <c r="I20" s="2"/>
      <c r="J20" s="19">
        <f t="shared" si="5"/>
        <v>0</v>
      </c>
      <c r="K20" s="2"/>
      <c r="L20" s="2">
        <f t="shared" si="6"/>
        <v>3673.37</v>
      </c>
      <c r="M20" s="2"/>
      <c r="N20" s="19">
        <f t="shared" si="7"/>
        <v>0</v>
      </c>
      <c r="O20" s="11"/>
      <c r="P20" s="2">
        <v>49253.16</v>
      </c>
      <c r="Q20" s="2"/>
      <c r="R20" s="19">
        <f t="shared" si="8"/>
        <v>0.35722385031707121</v>
      </c>
      <c r="S20" s="2"/>
      <c r="T20" s="2"/>
      <c r="U20" s="2"/>
      <c r="V20" s="19">
        <f t="shared" si="9"/>
        <v>0</v>
      </c>
      <c r="W20" s="2"/>
      <c r="X20" s="2">
        <f t="shared" si="10"/>
        <v>49253.16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1667</v>
      </c>
      <c r="E21" s="2"/>
      <c r="F21" s="19">
        <f t="shared" si="4"/>
        <v>0.11734057132962282</v>
      </c>
      <c r="G21" s="2"/>
      <c r="H21" s="2"/>
      <c r="I21" s="2"/>
      <c r="J21" s="19">
        <f t="shared" si="5"/>
        <v>0</v>
      </c>
      <c r="K21" s="2"/>
      <c r="L21" s="2">
        <f t="shared" si="6"/>
        <v>1667</v>
      </c>
      <c r="M21" s="2"/>
      <c r="N21" s="19">
        <f t="shared" si="7"/>
        <v>0</v>
      </c>
      <c r="O21" s="11"/>
      <c r="P21" s="2">
        <v>-832.62</v>
      </c>
      <c r="Q21" s="2"/>
      <c r="R21" s="19">
        <f t="shared" si="8"/>
        <v>-6.0388353204342583E-3</v>
      </c>
      <c r="S21" s="2"/>
      <c r="T21" s="2"/>
      <c r="U21" s="2"/>
      <c r="V21" s="19">
        <f t="shared" si="9"/>
        <v>0</v>
      </c>
      <c r="W21" s="2"/>
      <c r="X21" s="2">
        <f t="shared" si="10"/>
        <v>-832.62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8866.14</v>
      </c>
      <c r="E23" s="14"/>
      <c r="F23" s="20">
        <f>IF(D$12=0,0,D23/D$12)</f>
        <v>0.62408994186468025</v>
      </c>
      <c r="G23" s="14"/>
      <c r="H23" s="22">
        <f>H12-H18</f>
        <v>15640</v>
      </c>
      <c r="I23" s="14"/>
      <c r="J23" s="20">
        <f>IF(H$12=0,0,H23/H$12)</f>
        <v>0.68</v>
      </c>
      <c r="K23" s="16"/>
      <c r="L23" s="22">
        <f>+D23-H23</f>
        <v>-6773.8600000000006</v>
      </c>
      <c r="M23" s="16"/>
      <c r="N23" s="20">
        <f>IF(H23=0,0,L23/H23)</f>
        <v>-0.433111253196931</v>
      </c>
      <c r="O23" s="28"/>
      <c r="P23" s="22">
        <f>P12-P18</f>
        <v>89457.039999999979</v>
      </c>
      <c r="Q23" s="14"/>
      <c r="R23" s="20">
        <f>IF(P$12=0,0,P23/P$12)</f>
        <v>0.64881498500336299</v>
      </c>
      <c r="S23" s="14"/>
      <c r="T23" s="22">
        <f>T12-T18</f>
        <v>140760</v>
      </c>
      <c r="U23" s="14"/>
      <c r="V23" s="20">
        <f>IF(T$12=0,0,T23/T$12)</f>
        <v>0.68</v>
      </c>
      <c r="W23" s="16"/>
      <c r="X23" s="22">
        <f>+P23-T23</f>
        <v>-51302.960000000021</v>
      </c>
      <c r="Y23" s="16"/>
      <c r="Z23" s="20">
        <f>IF(T23=0,0,X23/T23)</f>
        <v>-0.3644711565785736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17790.14</v>
      </c>
      <c r="E25" s="21"/>
      <c r="F25" s="30">
        <f t="shared" ref="F25:F35" si="12">IF(D$12=0,0,D25/D$12)</f>
        <v>1.2522526644474963</v>
      </c>
      <c r="G25" s="21"/>
      <c r="H25" s="21">
        <f>SUM(OSRRefH22x_0)</f>
        <v>16402.844059999996</v>
      </c>
      <c r="I25" s="21"/>
      <c r="J25" s="30">
        <f t="shared" ref="J25:J35" si="13">IF(H$12=0,0,H25/H$12)</f>
        <v>0.71316713304347812</v>
      </c>
      <c r="K25" s="4"/>
      <c r="L25" s="21">
        <f t="shared" ref="L25:L35" si="14">+D25-H25</f>
        <v>1387.2959400000036</v>
      </c>
      <c r="M25" s="4"/>
      <c r="N25" s="30">
        <f t="shared" ref="N25:N35" si="15">IF(H25=0,0,L25/H25)</f>
        <v>8.4576548732976486E-2</v>
      </c>
      <c r="O25" s="10"/>
      <c r="P25" s="21">
        <f>SUM(OSRRefP22x_0)</f>
        <v>127228.37999999999</v>
      </c>
      <c r="Q25" s="21"/>
      <c r="R25" s="30">
        <f t="shared" ref="R25:R35" si="16">IF(P$12=0,0,P25/P$12)</f>
        <v>0.92276336732919162</v>
      </c>
      <c r="S25" s="21"/>
      <c r="T25" s="21">
        <f>SUM(OSRRefT22x_0)</f>
        <v>106431.46046999999</v>
      </c>
      <c r="U25" s="21"/>
      <c r="V25" s="30">
        <f t="shared" ref="V25:V35" si="17">IF(T$12=0,0,T25/T$12)</f>
        <v>0.51416164478260862</v>
      </c>
      <c r="W25" s="4"/>
      <c r="X25" s="21">
        <f t="shared" ref="X25:X35" si="18">+P25-T25</f>
        <v>20796.919529999999</v>
      </c>
      <c r="Y25" s="4"/>
      <c r="Z25" s="30">
        <f t="shared" ref="Z25:Z35" si="19">IF(T25=0,0,X25/T25)</f>
        <v>0.1954019933407008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2267.5500000000002</v>
      </c>
      <c r="E26" s="1"/>
      <c r="F26" s="5">
        <f t="shared" si="12"/>
        <v>0.15961344482212733</v>
      </c>
      <c r="G26" s="1"/>
      <c r="H26" s="1">
        <f>SUM(OSRRefH22_0x_0)</f>
        <v>2043.305598461538</v>
      </c>
      <c r="I26" s="1"/>
      <c r="J26" s="5">
        <f t="shared" si="13"/>
        <v>8.8839373846153827E-2</v>
      </c>
      <c r="K26" s="1"/>
      <c r="L26" s="1">
        <f t="shared" si="14"/>
        <v>224.24440153846217</v>
      </c>
      <c r="M26" s="1"/>
      <c r="N26" s="5">
        <f t="shared" si="15"/>
        <v>0.10974589493970067</v>
      </c>
      <c r="O26" s="13"/>
      <c r="P26" s="1">
        <f>SUM(OSRRefP22_0x_0)</f>
        <v>13167.43</v>
      </c>
      <c r="Q26" s="1"/>
      <c r="R26" s="5">
        <f t="shared" si="16"/>
        <v>9.550087838791485E-2</v>
      </c>
      <c r="S26" s="1"/>
      <c r="T26" s="1">
        <f>SUM(OSRRefT22_0x_0)</f>
        <v>13162.960469999998</v>
      </c>
      <c r="U26" s="1"/>
      <c r="V26" s="5">
        <f t="shared" si="17"/>
        <v>6.3589181014492749E-2</v>
      </c>
      <c r="W26" s="1"/>
      <c r="X26" s="1">
        <f t="shared" si="18"/>
        <v>4.4695300000021234</v>
      </c>
      <c r="Y26" s="1"/>
      <c r="Z26" s="5">
        <f t="shared" si="19"/>
        <v>3.3955355333541647E-4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632.82000000000005</v>
      </c>
      <c r="E27" s="2"/>
      <c r="F27" s="7">
        <f t="shared" si="12"/>
        <v>4.4544367335819991E-2</v>
      </c>
      <c r="G27" s="2"/>
      <c r="H27" s="6">
        <v>504.19141384615403</v>
      </c>
      <c r="I27" s="2"/>
      <c r="J27" s="7">
        <f t="shared" si="13"/>
        <v>2.1921365819398003E-2</v>
      </c>
      <c r="K27" s="2"/>
      <c r="L27" s="6">
        <f t="shared" si="14"/>
        <v>128.62858615384602</v>
      </c>
      <c r="M27" s="2"/>
      <c r="N27" s="7">
        <f t="shared" si="15"/>
        <v>0.25511855739989847</v>
      </c>
      <c r="O27" s="11"/>
      <c r="P27" s="6">
        <v>4544.87</v>
      </c>
      <c r="Q27" s="2"/>
      <c r="R27" s="7">
        <f t="shared" si="16"/>
        <v>3.2963082177682554E-2</v>
      </c>
      <c r="S27" s="2"/>
      <c r="T27" s="6">
        <v>3296.8358700000003</v>
      </c>
      <c r="U27" s="2"/>
      <c r="V27" s="7">
        <f t="shared" si="17"/>
        <v>1.5926743333333333E-2</v>
      </c>
      <c r="W27" s="2"/>
      <c r="X27" s="6">
        <f t="shared" si="18"/>
        <v>1248.0341299999995</v>
      </c>
      <c r="Y27" s="2"/>
      <c r="Z27" s="7">
        <f t="shared" si="19"/>
        <v>0.37855512958854071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683.91</v>
      </c>
      <c r="E28" s="2"/>
      <c r="F28" s="7">
        <f t="shared" si="12"/>
        <v>4.8140605961633082E-2</v>
      </c>
      <c r="G28" s="2"/>
      <c r="H28" s="6">
        <v>372.02036923076901</v>
      </c>
      <c r="I28" s="2"/>
      <c r="J28" s="7">
        <f t="shared" si="13"/>
        <v>1.6174798662207349E-2</v>
      </c>
      <c r="K28" s="2"/>
      <c r="L28" s="6">
        <f t="shared" si="14"/>
        <v>311.88963076923096</v>
      </c>
      <c r="M28" s="2"/>
      <c r="N28" s="7">
        <f t="shared" si="15"/>
        <v>0.83836708031371754</v>
      </c>
      <c r="O28" s="11"/>
      <c r="P28" s="6">
        <v>2539.6</v>
      </c>
      <c r="Q28" s="2"/>
      <c r="R28" s="7">
        <f t="shared" si="16"/>
        <v>1.8419238283700658E-2</v>
      </c>
      <c r="S28" s="2"/>
      <c r="T28" s="6">
        <v>2383.8332</v>
      </c>
      <c r="U28" s="2"/>
      <c r="V28" s="7">
        <f t="shared" si="17"/>
        <v>1.1516102415458937E-2</v>
      </c>
      <c r="W28" s="2"/>
      <c r="X28" s="6">
        <f t="shared" si="18"/>
        <v>155.76679999999988</v>
      </c>
      <c r="Y28" s="2"/>
      <c r="Z28" s="7">
        <f t="shared" si="19"/>
        <v>6.5342994635698454E-2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34.97</v>
      </c>
      <c r="E29" s="2"/>
      <c r="F29" s="7">
        <f t="shared" si="12"/>
        <v>2.4615475581265208E-3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34.97</v>
      </c>
      <c r="M29" s="2"/>
      <c r="N29" s="7">
        <f t="shared" si="15"/>
        <v>0</v>
      </c>
      <c r="O29" s="11"/>
      <c r="P29" s="6">
        <v>209.82</v>
      </c>
      <c r="Q29" s="2"/>
      <c r="R29" s="7">
        <f t="shared" si="16"/>
        <v>1.5217847600748433E-3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209.82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45.83</v>
      </c>
      <c r="E30" s="2"/>
      <c r="F30" s="7">
        <f t="shared" si="12"/>
        <v>3.2259858332553174E-3</v>
      </c>
      <c r="G30" s="2"/>
      <c r="H30" s="6">
        <v>24.929200000000002</v>
      </c>
      <c r="I30" s="2"/>
      <c r="J30" s="7">
        <f t="shared" si="13"/>
        <v>1.0838782608695652E-3</v>
      </c>
      <c r="K30" s="2"/>
      <c r="L30" s="6">
        <f t="shared" si="14"/>
        <v>20.900799999999997</v>
      </c>
      <c r="M30" s="2"/>
      <c r="N30" s="7">
        <f t="shared" si="15"/>
        <v>0.83840636683086478</v>
      </c>
      <c r="O30" s="11"/>
      <c r="P30" s="6">
        <v>220.68</v>
      </c>
      <c r="Q30" s="2"/>
      <c r="R30" s="7">
        <f t="shared" si="16"/>
        <v>1.6005502852603013E-3</v>
      </c>
      <c r="S30" s="2"/>
      <c r="T30" s="6">
        <v>159.7414</v>
      </c>
      <c r="U30" s="2"/>
      <c r="V30" s="7">
        <f t="shared" si="17"/>
        <v>7.7169758454106281E-4</v>
      </c>
      <c r="W30" s="2"/>
      <c r="X30" s="6">
        <f t="shared" si="18"/>
        <v>60.938600000000008</v>
      </c>
      <c r="Y30" s="2"/>
      <c r="Z30" s="7">
        <f t="shared" si="19"/>
        <v>0.3814828216104279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315.45</v>
      </c>
      <c r="E31" s="2"/>
      <c r="F31" s="7">
        <f t="shared" si="12"/>
        <v>2.2204609013754959E-2</v>
      </c>
      <c r="G31" s="2"/>
      <c r="H31" s="6">
        <v>388.38923076923101</v>
      </c>
      <c r="I31" s="2"/>
      <c r="J31" s="7">
        <f t="shared" si="13"/>
        <v>1.688648829431439E-2</v>
      </c>
      <c r="K31" s="2"/>
      <c r="L31" s="6">
        <f t="shared" si="14"/>
        <v>-72.939230769231017</v>
      </c>
      <c r="M31" s="2"/>
      <c r="N31" s="7">
        <f t="shared" si="15"/>
        <v>-0.18779931313947598</v>
      </c>
      <c r="O31" s="11"/>
      <c r="P31" s="6">
        <v>1892.7</v>
      </c>
      <c r="Q31" s="2"/>
      <c r="R31" s="7">
        <f t="shared" si="16"/>
        <v>1.37273949832888E-2</v>
      </c>
      <c r="S31" s="2"/>
      <c r="T31" s="6">
        <v>2524.530000000002</v>
      </c>
      <c r="U31" s="2"/>
      <c r="V31" s="7">
        <f t="shared" si="17"/>
        <v>1.2195797101449284E-2</v>
      </c>
      <c r="W31" s="2"/>
      <c r="X31" s="6">
        <f t="shared" si="18"/>
        <v>-631.83000000000197</v>
      </c>
      <c r="Y31" s="2"/>
      <c r="Z31" s="7">
        <f t="shared" si="19"/>
        <v>-0.25027628905182409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173.88</v>
      </c>
      <c r="E33" s="2"/>
      <c r="F33" s="7">
        <f t="shared" si="12"/>
        <v>1.2239459233830123E-2</v>
      </c>
      <c r="G33" s="2"/>
      <c r="H33" s="6">
        <v>225.80769230769201</v>
      </c>
      <c r="I33" s="2"/>
      <c r="J33" s="7">
        <f t="shared" si="13"/>
        <v>9.8177257525083484E-3</v>
      </c>
      <c r="K33" s="2"/>
      <c r="L33" s="6">
        <f t="shared" si="14"/>
        <v>-51.927692307692013</v>
      </c>
      <c r="M33" s="2"/>
      <c r="N33" s="7">
        <f t="shared" si="15"/>
        <v>-0.22996423096576293</v>
      </c>
      <c r="O33" s="11"/>
      <c r="P33" s="6">
        <v>1200.17</v>
      </c>
      <c r="Q33" s="2"/>
      <c r="R33" s="7">
        <f t="shared" si="16"/>
        <v>8.7046059265037876E-3</v>
      </c>
      <c r="S33" s="2"/>
      <c r="T33" s="6">
        <v>1467.749999999998</v>
      </c>
      <c r="U33" s="2"/>
      <c r="V33" s="7">
        <f t="shared" si="17"/>
        <v>7.0905797101449173E-3</v>
      </c>
      <c r="W33" s="2"/>
      <c r="X33" s="6">
        <f t="shared" si="18"/>
        <v>-267.57999999999788</v>
      </c>
      <c r="Y33" s="2"/>
      <c r="Z33" s="7">
        <f t="shared" si="19"/>
        <v>-0.18230625106455339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208.3</v>
      </c>
      <c r="E34" s="2"/>
      <c r="F34" s="7">
        <f t="shared" si="12"/>
        <v>1.4662292146346992E-2</v>
      </c>
      <c r="G34" s="2"/>
      <c r="H34" s="6">
        <v>377.967692307692</v>
      </c>
      <c r="I34" s="2"/>
      <c r="J34" s="7">
        <f t="shared" si="13"/>
        <v>1.643337792642139E-2</v>
      </c>
      <c r="K34" s="2"/>
      <c r="L34" s="6">
        <f t="shared" si="14"/>
        <v>-169.66769230769199</v>
      </c>
      <c r="M34" s="2"/>
      <c r="N34" s="7">
        <f t="shared" si="15"/>
        <v>-0.4488946959243561</v>
      </c>
      <c r="O34" s="11"/>
      <c r="P34" s="6">
        <v>1475.78</v>
      </c>
      <c r="Q34" s="2"/>
      <c r="R34" s="7">
        <f t="shared" si="16"/>
        <v>1.070355310848943E-2</v>
      </c>
      <c r="S34" s="2"/>
      <c r="T34" s="6">
        <v>2430.2699999999982</v>
      </c>
      <c r="U34" s="2"/>
      <c r="V34" s="7">
        <f t="shared" si="17"/>
        <v>1.1740434782608687E-2</v>
      </c>
      <c r="W34" s="2"/>
      <c r="X34" s="6">
        <f t="shared" si="18"/>
        <v>-954.48999999999819</v>
      </c>
      <c r="Y34" s="2"/>
      <c r="Z34" s="7">
        <f t="shared" si="19"/>
        <v>-0.39275059972760185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172.39</v>
      </c>
      <c r="E35" s="2"/>
      <c r="F35" s="7">
        <f t="shared" si="12"/>
        <v>1.2134577739360334E-2</v>
      </c>
      <c r="G35" s="2"/>
      <c r="H35" s="6">
        <v>150</v>
      </c>
      <c r="I35" s="2"/>
      <c r="J35" s="7">
        <f t="shared" si="13"/>
        <v>6.5217391304347823E-3</v>
      </c>
      <c r="K35" s="2"/>
      <c r="L35" s="6">
        <f t="shared" si="14"/>
        <v>22.389999999999986</v>
      </c>
      <c r="M35" s="2"/>
      <c r="N35" s="7">
        <f t="shared" si="15"/>
        <v>0.14926666666666658</v>
      </c>
      <c r="O35" s="11"/>
      <c r="P35" s="6">
        <v>1083.81</v>
      </c>
      <c r="Q35" s="2"/>
      <c r="R35" s="7">
        <f t="shared" si="16"/>
        <v>7.8606688629144789E-3</v>
      </c>
      <c r="S35" s="2"/>
      <c r="T35" s="6">
        <v>900</v>
      </c>
      <c r="U35" s="2"/>
      <c r="V35" s="7">
        <f t="shared" si="17"/>
        <v>4.3478260869565218E-3</v>
      </c>
      <c r="W35" s="2"/>
      <c r="X35" s="6">
        <f t="shared" si="18"/>
        <v>183.80999999999995</v>
      </c>
      <c r="Y35" s="2"/>
      <c r="Z35" s="7">
        <f t="shared" si="19"/>
        <v>0.20423333333333327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10216.66</v>
      </c>
      <c r="E36" s="1"/>
      <c r="F36" s="5">
        <f t="shared" ref="F36:F46" si="20">IF(D$12=0,0,D36/D$12)</f>
        <v>0.71915340220786106</v>
      </c>
      <c r="G36" s="1"/>
      <c r="H36" s="1">
        <f>SUM(OSRRefH22_1x_0)</f>
        <v>9136.5384615384592</v>
      </c>
      <c r="I36" s="1"/>
      <c r="J36" s="5">
        <f t="shared" ref="J36:J46" si="21">IF(H$12=0,0,H36/H$12)</f>
        <v>0.3972408026755852</v>
      </c>
      <c r="K36" s="1"/>
      <c r="L36" s="1">
        <f t="shared" ref="L36:L46" si="22">+D36-H36</f>
        <v>1080.1215384615407</v>
      </c>
      <c r="M36" s="1"/>
      <c r="N36" s="5">
        <f t="shared" ref="N36:N46" si="23">IF(H36=0,0,L36/H36)</f>
        <v>0.1182199957903602</v>
      </c>
      <c r="O36" s="13"/>
      <c r="P36" s="1">
        <f>SUM(OSRRefP22_1x_0)</f>
        <v>76252.760000000009</v>
      </c>
      <c r="Q36" s="1"/>
      <c r="R36" s="5">
        <f t="shared" ref="R36:R46" si="24">IF(P$12=0,0,P36/P$12)</f>
        <v>0.55304684053781639</v>
      </c>
      <c r="S36" s="1"/>
      <c r="T36" s="1">
        <f>SUM(OSRRefT22_1x_0)</f>
        <v>58503.5</v>
      </c>
      <c r="U36" s="1"/>
      <c r="V36" s="5">
        <f t="shared" ref="V36:V46" si="25">IF(T$12=0,0,T36/T$12)</f>
        <v>0.28262560386473429</v>
      </c>
      <c r="W36" s="1"/>
      <c r="X36" s="1">
        <f t="shared" ref="X36:X46" si="26">+P36-T36</f>
        <v>17749.260000000009</v>
      </c>
      <c r="Y36" s="1"/>
      <c r="Z36" s="5">
        <f t="shared" ref="Z36:Z46" si="27">IF(T36=0,0,X36/T36)</f>
        <v>0.30338800242720537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4064.5384615384596</v>
      </c>
      <c r="I37" s="2"/>
      <c r="J37" s="7">
        <f t="shared" si="21"/>
        <v>0.17671906354515041</v>
      </c>
      <c r="K37" s="2"/>
      <c r="L37" s="6">
        <f t="shared" si="22"/>
        <v>-4064.5384615384596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26419.5</v>
      </c>
      <c r="U37" s="2"/>
      <c r="V37" s="7">
        <f t="shared" si="25"/>
        <v>0.12763043478260869</v>
      </c>
      <c r="W37" s="2"/>
      <c r="X37" s="6">
        <f t="shared" si="26"/>
        <v>-26419.5</v>
      </c>
      <c r="Y37" s="2"/>
      <c r="Z37" s="7">
        <f t="shared" si="27"/>
        <v>-1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4193.78</v>
      </c>
      <c r="E38" s="2"/>
      <c r="F38" s="7">
        <f t="shared" si="20"/>
        <v>0.29520128448155103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4193.78</v>
      </c>
      <c r="M38" s="2"/>
      <c r="N38" s="7">
        <f t="shared" si="23"/>
        <v>0</v>
      </c>
      <c r="O38" s="11"/>
      <c r="P38" s="6">
        <v>26977.31</v>
      </c>
      <c r="Q38" s="2"/>
      <c r="R38" s="7">
        <f t="shared" si="24"/>
        <v>0.19566132506822359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26977.31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2072</v>
      </c>
      <c r="I40" s="2"/>
      <c r="J40" s="7">
        <f t="shared" si="21"/>
        <v>9.0086956521739134E-2</v>
      </c>
      <c r="K40" s="2"/>
      <c r="L40" s="6">
        <f t="shared" si="22"/>
        <v>-2072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13724</v>
      </c>
      <c r="U40" s="2"/>
      <c r="V40" s="7">
        <f t="shared" si="25"/>
        <v>6.6299516908212563E-2</v>
      </c>
      <c r="W40" s="2"/>
      <c r="X40" s="6">
        <f t="shared" si="26"/>
        <v>-13724</v>
      </c>
      <c r="Y40" s="2"/>
      <c r="Z40" s="7">
        <f t="shared" si="27"/>
        <v>-1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3616.88</v>
      </c>
      <c r="E41" s="2"/>
      <c r="F41" s="7">
        <f t="shared" si="20"/>
        <v>0.25459314075026168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3616.88</v>
      </c>
      <c r="M41" s="2"/>
      <c r="N41" s="7">
        <f t="shared" si="23"/>
        <v>0</v>
      </c>
      <c r="O41" s="11"/>
      <c r="P41" s="6">
        <v>25509.95</v>
      </c>
      <c r="Q41" s="2"/>
      <c r="R41" s="7">
        <f t="shared" si="24"/>
        <v>0.18501884062659066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25509.95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110.5</v>
      </c>
      <c r="Q42" s="2"/>
      <c r="R42" s="7">
        <f t="shared" si="24"/>
        <v>8.0143559235663995E-4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110.5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2304</v>
      </c>
      <c r="E43" s="2"/>
      <c r="F43" s="7">
        <f t="shared" si="20"/>
        <v>0.16217916997207618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2304</v>
      </c>
      <c r="M43" s="2"/>
      <c r="N43" s="7">
        <f t="shared" si="23"/>
        <v>0</v>
      </c>
      <c r="O43" s="11"/>
      <c r="P43" s="6">
        <v>22023</v>
      </c>
      <c r="Q43" s="2"/>
      <c r="R43" s="7">
        <f t="shared" si="24"/>
        <v>0.15972865204045503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22023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102</v>
      </c>
      <c r="E44" s="2"/>
      <c r="F44" s="7">
        <f t="shared" si="20"/>
        <v>7.1798070039721228E-3</v>
      </c>
      <c r="G44" s="2"/>
      <c r="H44" s="6">
        <v>3000</v>
      </c>
      <c r="I44" s="2"/>
      <c r="J44" s="7">
        <f t="shared" si="21"/>
        <v>0.13043478260869565</v>
      </c>
      <c r="K44" s="2"/>
      <c r="L44" s="6">
        <f t="shared" si="22"/>
        <v>-2898</v>
      </c>
      <c r="M44" s="2"/>
      <c r="N44" s="7">
        <f t="shared" si="23"/>
        <v>-0.96599999999999997</v>
      </c>
      <c r="O44" s="11"/>
      <c r="P44" s="6">
        <v>1632</v>
      </c>
      <c r="Q44" s="2"/>
      <c r="R44" s="7">
        <f t="shared" si="24"/>
        <v>1.1836587210190375E-2</v>
      </c>
      <c r="S44" s="2"/>
      <c r="T44" s="6">
        <v>18360</v>
      </c>
      <c r="U44" s="2"/>
      <c r="V44" s="7">
        <f t="shared" si="25"/>
        <v>8.8695652173913037E-2</v>
      </c>
      <c r="W44" s="2"/>
      <c r="X44" s="6">
        <f t="shared" si="26"/>
        <v>-16728</v>
      </c>
      <c r="Y44" s="2"/>
      <c r="Z44" s="7">
        <f t="shared" si="27"/>
        <v>-0.91111111111111109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200</v>
      </c>
      <c r="I47" s="1"/>
      <c r="J47" s="5">
        <f t="shared" ref="J47:J55" si="29">IF(H$12=0,0,H47/H$12)</f>
        <v>8.6956521739130436E-3</v>
      </c>
      <c r="K47" s="1"/>
      <c r="L47" s="1">
        <f t="shared" ref="L47:L55" si="30">+D47-H47</f>
        <v>-200</v>
      </c>
      <c r="M47" s="1"/>
      <c r="N47" s="5">
        <f t="shared" ref="N47:N55" si="31">IF(H47=0,0,L47/H47)</f>
        <v>-1</v>
      </c>
      <c r="O47" s="13"/>
      <c r="P47" s="1">
        <f>SUM(OSRRefP22_2x_0)</f>
        <v>2424.71</v>
      </c>
      <c r="Q47" s="1"/>
      <c r="R47" s="5">
        <f t="shared" ref="R47:R55" si="32">IF(P$12=0,0,P47/P$12)</f>
        <v>1.7585962851973471E-2</v>
      </c>
      <c r="S47" s="1"/>
      <c r="T47" s="1">
        <f>SUM(OSRRefT22_2x_0)</f>
        <v>1000</v>
      </c>
      <c r="U47" s="1"/>
      <c r="V47" s="5">
        <f t="shared" ref="V47:V55" si="33">IF(T$12=0,0,T47/T$12)</f>
        <v>4.830917874396135E-3</v>
      </c>
      <c r="W47" s="1"/>
      <c r="X47" s="1">
        <f t="shared" ref="X47:X55" si="34">+P47-T47</f>
        <v>1424.71</v>
      </c>
      <c r="Y47" s="1"/>
      <c r="Z47" s="5">
        <f t="shared" ref="Z47:Z55" si="35">IF(T47=0,0,X47/T47)</f>
        <v>1.4247100000000001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200</v>
      </c>
      <c r="I48" s="2"/>
      <c r="J48" s="7">
        <f t="shared" si="29"/>
        <v>8.6956521739130436E-3</v>
      </c>
      <c r="K48" s="2"/>
      <c r="L48" s="6">
        <f t="shared" si="30"/>
        <v>-200</v>
      </c>
      <c r="M48" s="2"/>
      <c r="N48" s="7">
        <f t="shared" si="31"/>
        <v>-1</v>
      </c>
      <c r="O48" s="11"/>
      <c r="P48" s="6">
        <v>2424.71</v>
      </c>
      <c r="Q48" s="2"/>
      <c r="R48" s="7">
        <f t="shared" si="32"/>
        <v>1.7585962851973471E-2</v>
      </c>
      <c r="S48" s="2"/>
      <c r="T48" s="6">
        <v>1000</v>
      </c>
      <c r="U48" s="2"/>
      <c r="V48" s="7">
        <f t="shared" si="33"/>
        <v>4.830917874396135E-3</v>
      </c>
      <c r="W48" s="2"/>
      <c r="X48" s="6">
        <f t="shared" si="34"/>
        <v>1424.71</v>
      </c>
      <c r="Y48" s="2"/>
      <c r="Z48" s="7">
        <f t="shared" si="35"/>
        <v>1.4247100000000001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-0.71</v>
      </c>
      <c r="E49" s="1"/>
      <c r="F49" s="5">
        <f t="shared" si="28"/>
        <v>-4.9977087968825556E-5</v>
      </c>
      <c r="G49" s="1"/>
      <c r="H49" s="1">
        <f>SUM(OSRRefH22_3x_0)</f>
        <v>25</v>
      </c>
      <c r="I49" s="1"/>
      <c r="J49" s="5">
        <f t="shared" si="29"/>
        <v>1.0869565217391304E-3</v>
      </c>
      <c r="K49" s="1"/>
      <c r="L49" s="1">
        <f t="shared" si="30"/>
        <v>-25.71</v>
      </c>
      <c r="M49" s="1"/>
      <c r="N49" s="5">
        <f t="shared" si="31"/>
        <v>-1.0284</v>
      </c>
      <c r="O49" s="13"/>
      <c r="P49" s="1">
        <f>SUM(OSRRefP22_3x_0)</f>
        <v>-9.43</v>
      </c>
      <c r="Q49" s="1"/>
      <c r="R49" s="5">
        <f t="shared" si="32"/>
        <v>-6.8394005754960306E-5</v>
      </c>
      <c r="S49" s="1"/>
      <c r="T49" s="1">
        <f>SUM(OSRRefT22_3x_0)</f>
        <v>125</v>
      </c>
      <c r="U49" s="1"/>
      <c r="V49" s="5">
        <f t="shared" si="33"/>
        <v>6.0386473429951688E-4</v>
      </c>
      <c r="W49" s="1"/>
      <c r="X49" s="1">
        <f t="shared" si="34"/>
        <v>-134.43</v>
      </c>
      <c r="Y49" s="1"/>
      <c r="Z49" s="5">
        <f t="shared" si="35"/>
        <v>-1.07544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-0.71</v>
      </c>
      <c r="E50" s="2"/>
      <c r="F50" s="7">
        <f t="shared" si="28"/>
        <v>-4.9977087968825556E-5</v>
      </c>
      <c r="G50" s="2"/>
      <c r="H50" s="6">
        <v>25</v>
      </c>
      <c r="I50" s="2"/>
      <c r="J50" s="7">
        <f t="shared" si="29"/>
        <v>1.0869565217391304E-3</v>
      </c>
      <c r="K50" s="2"/>
      <c r="L50" s="6">
        <f t="shared" si="30"/>
        <v>-25.71</v>
      </c>
      <c r="M50" s="2"/>
      <c r="N50" s="7">
        <f t="shared" si="31"/>
        <v>-1.0284</v>
      </c>
      <c r="O50" s="11"/>
      <c r="P50" s="6">
        <v>-9.43</v>
      </c>
      <c r="Q50" s="2"/>
      <c r="R50" s="7">
        <f t="shared" si="32"/>
        <v>-6.8394005754960306E-5</v>
      </c>
      <c r="S50" s="2"/>
      <c r="T50" s="6">
        <v>125</v>
      </c>
      <c r="U50" s="2"/>
      <c r="V50" s="7">
        <f t="shared" si="33"/>
        <v>6.0386473429951688E-4</v>
      </c>
      <c r="W50" s="2"/>
      <c r="X50" s="6">
        <f t="shared" si="34"/>
        <v>-134.43</v>
      </c>
      <c r="Y50" s="2"/>
      <c r="Z50" s="7">
        <f t="shared" si="35"/>
        <v>-1.07544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943.36</v>
      </c>
      <c r="E51" s="1"/>
      <c r="F51" s="5">
        <f t="shared" si="28"/>
        <v>6.6403360149677862E-2</v>
      </c>
      <c r="G51" s="1"/>
      <c r="H51" s="1">
        <f>SUM(OSRRefH22_4x_0)</f>
        <v>390</v>
      </c>
      <c r="I51" s="1"/>
      <c r="J51" s="5">
        <f t="shared" si="29"/>
        <v>1.6956521739130436E-2</v>
      </c>
      <c r="K51" s="1"/>
      <c r="L51" s="1">
        <f t="shared" si="30"/>
        <v>553.36</v>
      </c>
      <c r="M51" s="1"/>
      <c r="N51" s="5">
        <f t="shared" si="31"/>
        <v>1.4188717948717948</v>
      </c>
      <c r="O51" s="13"/>
      <c r="P51" s="1">
        <f>SUM(OSRRefP22_4x_0)</f>
        <v>5322.62</v>
      </c>
      <c r="Q51" s="1"/>
      <c r="R51" s="5">
        <f t="shared" si="32"/>
        <v>3.8603955770038903E-2</v>
      </c>
      <c r="S51" s="1"/>
      <c r="T51" s="1">
        <f>SUM(OSRRefT22_4x_0)</f>
        <v>4742</v>
      </c>
      <c r="U51" s="1"/>
      <c r="V51" s="5">
        <f t="shared" si="33"/>
        <v>2.2908212560386474E-2</v>
      </c>
      <c r="W51" s="1"/>
      <c r="X51" s="1">
        <f t="shared" si="34"/>
        <v>580.61999999999989</v>
      </c>
      <c r="Y51" s="1"/>
      <c r="Z51" s="5">
        <f t="shared" si="35"/>
        <v>0.12244200759173342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943.36</v>
      </c>
      <c r="E52" s="2"/>
      <c r="F52" s="7">
        <f t="shared" si="28"/>
        <v>6.6403360149677862E-2</v>
      </c>
      <c r="G52" s="2"/>
      <c r="H52" s="6">
        <v>390</v>
      </c>
      <c r="I52" s="2"/>
      <c r="J52" s="7">
        <f t="shared" si="29"/>
        <v>1.6956521739130436E-2</v>
      </c>
      <c r="K52" s="2"/>
      <c r="L52" s="6">
        <f t="shared" si="30"/>
        <v>553.36</v>
      </c>
      <c r="M52" s="2"/>
      <c r="N52" s="7">
        <f t="shared" si="31"/>
        <v>1.4188717948717948</v>
      </c>
      <c r="O52" s="11"/>
      <c r="P52" s="6">
        <v>5322.62</v>
      </c>
      <c r="Q52" s="2"/>
      <c r="R52" s="7">
        <f t="shared" si="32"/>
        <v>3.8603955770038903E-2</v>
      </c>
      <c r="S52" s="2"/>
      <c r="T52" s="6">
        <v>4742</v>
      </c>
      <c r="U52" s="2"/>
      <c r="V52" s="7">
        <f t="shared" si="33"/>
        <v>2.2908212560386474E-2</v>
      </c>
      <c r="W52" s="2"/>
      <c r="X52" s="6">
        <f t="shared" si="34"/>
        <v>580.61999999999989</v>
      </c>
      <c r="Y52" s="2"/>
      <c r="Z52" s="7">
        <f t="shared" si="35"/>
        <v>0.12244200759173342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0.19535550955160699</v>
      </c>
      <c r="G53" s="1"/>
      <c r="H53" s="1">
        <f>SUM(OSRRefH22_5x_0)</f>
        <v>2906</v>
      </c>
      <c r="I53" s="1"/>
      <c r="J53" s="5">
        <f t="shared" si="29"/>
        <v>0.12634782608695652</v>
      </c>
      <c r="K53" s="1"/>
      <c r="L53" s="1">
        <f t="shared" si="30"/>
        <v>-130.67999999999984</v>
      </c>
      <c r="M53" s="1"/>
      <c r="N53" s="5">
        <f t="shared" si="31"/>
        <v>-4.4969029593943506E-2</v>
      </c>
      <c r="O53" s="13"/>
      <c r="P53" s="1">
        <f>SUM(OSRRefP22_5x_0)</f>
        <v>16651.919999999998</v>
      </c>
      <c r="Q53" s="1"/>
      <c r="R53" s="5">
        <f t="shared" si="32"/>
        <v>0.12077322505950569</v>
      </c>
      <c r="S53" s="1"/>
      <c r="T53" s="1">
        <f>SUM(OSRRefT22_5x_0)</f>
        <v>16686</v>
      </c>
      <c r="U53" s="1"/>
      <c r="V53" s="5">
        <f t="shared" si="33"/>
        <v>8.0608695652173906E-2</v>
      </c>
      <c r="W53" s="1"/>
      <c r="X53" s="1">
        <f t="shared" si="34"/>
        <v>-34.080000000001746</v>
      </c>
      <c r="Y53" s="1"/>
      <c r="Z53" s="5">
        <f t="shared" si="35"/>
        <v>-2.0424307802949628E-3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2775.32</v>
      </c>
      <c r="E54" s="2"/>
      <c r="F54" s="7">
        <f t="shared" si="28"/>
        <v>0.19535550955160699</v>
      </c>
      <c r="G54" s="2"/>
      <c r="H54" s="6">
        <v>2656</v>
      </c>
      <c r="I54" s="2"/>
      <c r="J54" s="7">
        <f t="shared" si="29"/>
        <v>0.11547826086956521</v>
      </c>
      <c r="K54" s="2"/>
      <c r="L54" s="6">
        <f t="shared" si="30"/>
        <v>119.32000000000016</v>
      </c>
      <c r="M54" s="2"/>
      <c r="N54" s="7">
        <f t="shared" si="31"/>
        <v>4.4924698795180781E-2</v>
      </c>
      <c r="O54" s="11"/>
      <c r="P54" s="6">
        <v>16651.919999999998</v>
      </c>
      <c r="Q54" s="2"/>
      <c r="R54" s="7">
        <f t="shared" si="32"/>
        <v>0.12077322505950569</v>
      </c>
      <c r="S54" s="2"/>
      <c r="T54" s="6">
        <v>15936</v>
      </c>
      <c r="U54" s="2"/>
      <c r="V54" s="7">
        <f t="shared" si="33"/>
        <v>7.6985507246376816E-2</v>
      </c>
      <c r="W54" s="2"/>
      <c r="X54" s="6">
        <f t="shared" si="34"/>
        <v>715.91999999999825</v>
      </c>
      <c r="Y54" s="2"/>
      <c r="Z54" s="7">
        <f t="shared" si="35"/>
        <v>4.4924698795180615E-2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250</v>
      </c>
      <c r="I55" s="2"/>
      <c r="J55" s="7">
        <f t="shared" si="29"/>
        <v>1.0869565217391304E-2</v>
      </c>
      <c r="K55" s="2"/>
      <c r="L55" s="6">
        <f t="shared" si="30"/>
        <v>-250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750</v>
      </c>
      <c r="U55" s="2"/>
      <c r="V55" s="7">
        <f t="shared" si="33"/>
        <v>3.6231884057971015E-3</v>
      </c>
      <c r="W55" s="2"/>
      <c r="X55" s="6">
        <f t="shared" si="34"/>
        <v>-750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107.51</v>
      </c>
      <c r="E56" s="1"/>
      <c r="F56" s="5">
        <f t="shared" ref="F56:F65" si="36">IF(D$12=0,0,D56/D$12)</f>
        <v>7.5676573627161074E-3</v>
      </c>
      <c r="G56" s="1"/>
      <c r="H56" s="1">
        <f>SUM(OSRRefH22_6x_0)</f>
        <v>300</v>
      </c>
      <c r="I56" s="1"/>
      <c r="J56" s="5">
        <f t="shared" ref="J56:J65" si="37">IF(H$12=0,0,H56/H$12)</f>
        <v>1.3043478260869565E-2</v>
      </c>
      <c r="K56" s="1"/>
      <c r="L56" s="1">
        <f t="shared" ref="L56:L65" si="38">+D56-H56</f>
        <v>-192.49</v>
      </c>
      <c r="M56" s="1"/>
      <c r="N56" s="5">
        <f t="shared" ref="N56:N65" si="39">IF(H56=0,0,L56/H56)</f>
        <v>-0.64163333333333339</v>
      </c>
      <c r="O56" s="13"/>
      <c r="P56" s="1">
        <f>SUM(OSRRefP22_6x_0)</f>
        <v>107.51</v>
      </c>
      <c r="Q56" s="1"/>
      <c r="R56" s="5">
        <f t="shared" ref="R56:R65" si="40">IF(P$12=0,0,P56/P$12)</f>
        <v>7.7974968809287211E-4</v>
      </c>
      <c r="S56" s="1"/>
      <c r="T56" s="1">
        <f>SUM(OSRRefT22_6x_0)</f>
        <v>300</v>
      </c>
      <c r="U56" s="1"/>
      <c r="V56" s="5">
        <f t="shared" ref="V56:V65" si="41">IF(T$12=0,0,T56/T$12)</f>
        <v>1.4492753623188406E-3</v>
      </c>
      <c r="W56" s="1"/>
      <c r="X56" s="1">
        <f t="shared" ref="X56:X65" si="42">+P56-T56</f>
        <v>-192.49</v>
      </c>
      <c r="Y56" s="1"/>
      <c r="Z56" s="5">
        <f t="shared" ref="Z56:Z65" si="43">IF(T56=0,0,X56/T56)</f>
        <v>-0.64163333333333339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107.51</v>
      </c>
      <c r="E57" s="2"/>
      <c r="F57" s="7">
        <f t="shared" si="36"/>
        <v>7.5676573627161074E-3</v>
      </c>
      <c r="G57" s="2"/>
      <c r="H57" s="6">
        <v>300</v>
      </c>
      <c r="I57" s="2"/>
      <c r="J57" s="7">
        <f t="shared" si="37"/>
        <v>1.3043478260869565E-2</v>
      </c>
      <c r="K57" s="2"/>
      <c r="L57" s="6">
        <f t="shared" si="38"/>
        <v>-192.49</v>
      </c>
      <c r="M57" s="2"/>
      <c r="N57" s="7">
        <f t="shared" si="39"/>
        <v>-0.64163333333333339</v>
      </c>
      <c r="O57" s="11"/>
      <c r="P57" s="6">
        <v>107.51</v>
      </c>
      <c r="Q57" s="2"/>
      <c r="R57" s="7">
        <f t="shared" si="40"/>
        <v>7.7974968809287211E-4</v>
      </c>
      <c r="S57" s="2"/>
      <c r="T57" s="6">
        <v>300</v>
      </c>
      <c r="U57" s="2"/>
      <c r="V57" s="7">
        <f t="shared" si="41"/>
        <v>1.4492753623188406E-3</v>
      </c>
      <c r="W57" s="2"/>
      <c r="X57" s="6">
        <f t="shared" si="42"/>
        <v>-192.49</v>
      </c>
      <c r="Y57" s="2"/>
      <c r="Z57" s="7">
        <f t="shared" si="43"/>
        <v>-0.64163333333333339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188.13</v>
      </c>
      <c r="E58" s="1"/>
      <c r="F58" s="5">
        <f t="shared" si="36"/>
        <v>1.3242520506443877E-2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188.13</v>
      </c>
      <c r="M58" s="1"/>
      <c r="N58" s="5">
        <f t="shared" si="39"/>
        <v>0</v>
      </c>
      <c r="O58" s="13"/>
      <c r="P58" s="1">
        <f>SUM(OSRRefP22_7x_0)</f>
        <v>710.89</v>
      </c>
      <c r="Q58" s="1"/>
      <c r="R58" s="5">
        <f t="shared" si="40"/>
        <v>5.1559506628996539E-3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710.89</v>
      </c>
      <c r="Y58" s="1"/>
      <c r="Z58" s="5">
        <f t="shared" si="43"/>
        <v>0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188.13</v>
      </c>
      <c r="E59" s="2"/>
      <c r="F59" s="7">
        <f t="shared" si="36"/>
        <v>1.3242520506443877E-2</v>
      </c>
      <c r="G59" s="2"/>
      <c r="H59" s="6"/>
      <c r="I59" s="2"/>
      <c r="J59" s="7">
        <f t="shared" si="37"/>
        <v>0</v>
      </c>
      <c r="K59" s="2"/>
      <c r="L59" s="6">
        <f t="shared" si="38"/>
        <v>188.13</v>
      </c>
      <c r="M59" s="2"/>
      <c r="N59" s="7">
        <f t="shared" si="39"/>
        <v>0</v>
      </c>
      <c r="O59" s="11"/>
      <c r="P59" s="6">
        <v>710.89</v>
      </c>
      <c r="Q59" s="2"/>
      <c r="R59" s="7">
        <f t="shared" si="40"/>
        <v>5.1559506628996539E-3</v>
      </c>
      <c r="S59" s="2"/>
      <c r="T59" s="6"/>
      <c r="U59" s="2"/>
      <c r="V59" s="7">
        <f t="shared" si="41"/>
        <v>0</v>
      </c>
      <c r="W59" s="2"/>
      <c r="X59" s="6">
        <f t="shared" si="42"/>
        <v>710.89</v>
      </c>
      <c r="Y59" s="2"/>
      <c r="Z59" s="7">
        <f t="shared" si="43"/>
        <v>0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749.55</v>
      </c>
      <c r="Q60" s="1"/>
      <c r="R60" s="5">
        <f t="shared" si="40"/>
        <v>5.4363443280626188E-3</v>
      </c>
      <c r="S60" s="1"/>
      <c r="T60" s="1">
        <f>SUM(OSRRefT22_8x_0)</f>
        <v>0</v>
      </c>
      <c r="U60" s="1"/>
      <c r="V60" s="5">
        <f t="shared" si="41"/>
        <v>0</v>
      </c>
      <c r="W60" s="1"/>
      <c r="X60" s="1">
        <f t="shared" si="42"/>
        <v>749.55</v>
      </c>
      <c r="Y60" s="1"/>
      <c r="Z60" s="5">
        <f t="shared" si="43"/>
        <v>0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749.55</v>
      </c>
      <c r="Q61" s="2"/>
      <c r="R61" s="7">
        <f t="shared" si="40"/>
        <v>5.4363443280626188E-3</v>
      </c>
      <c r="S61" s="2"/>
      <c r="T61" s="6"/>
      <c r="U61" s="2"/>
      <c r="V61" s="7">
        <f t="shared" si="41"/>
        <v>0</v>
      </c>
      <c r="W61" s="2"/>
      <c r="X61" s="6">
        <f t="shared" si="42"/>
        <v>749.55</v>
      </c>
      <c r="Y61" s="2"/>
      <c r="Z61" s="7">
        <f t="shared" si="43"/>
        <v>0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793.54</v>
      </c>
      <c r="E62" s="1"/>
      <c r="F62" s="5">
        <f t="shared" si="36"/>
        <v>5.5857490685608212E-2</v>
      </c>
      <c r="G62" s="1"/>
      <c r="H62" s="1">
        <f>SUM(OSRRefH22_9x_0)</f>
        <v>450</v>
      </c>
      <c r="I62" s="1"/>
      <c r="J62" s="5">
        <f t="shared" si="37"/>
        <v>1.9565217391304349E-2</v>
      </c>
      <c r="K62" s="1"/>
      <c r="L62" s="1">
        <f t="shared" si="38"/>
        <v>343.53999999999996</v>
      </c>
      <c r="M62" s="1"/>
      <c r="N62" s="5">
        <f t="shared" si="39"/>
        <v>0.76342222222222211</v>
      </c>
      <c r="O62" s="13"/>
      <c r="P62" s="1">
        <f>SUM(OSRRefP22_9x_0)</f>
        <v>5425.2999999999993</v>
      </c>
      <c r="Q62" s="1"/>
      <c r="R62" s="5">
        <f t="shared" si="40"/>
        <v>3.9348674382013372E-2</v>
      </c>
      <c r="S62" s="1"/>
      <c r="T62" s="1">
        <f>SUM(OSRRefT22_9x_0)</f>
        <v>1100</v>
      </c>
      <c r="U62" s="1"/>
      <c r="V62" s="5">
        <f t="shared" si="41"/>
        <v>5.3140096618357491E-3</v>
      </c>
      <c r="W62" s="1"/>
      <c r="X62" s="1">
        <f t="shared" si="42"/>
        <v>4325.2999999999993</v>
      </c>
      <c r="Y62" s="1"/>
      <c r="Z62" s="5">
        <f t="shared" si="43"/>
        <v>3.9320909090909084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>
        <v>50</v>
      </c>
      <c r="I63" s="2"/>
      <c r="J63" s="7">
        <f t="shared" si="37"/>
        <v>2.1739130434782609E-3</v>
      </c>
      <c r="K63" s="2"/>
      <c r="L63" s="6">
        <f t="shared" si="38"/>
        <v>-50</v>
      </c>
      <c r="M63" s="2"/>
      <c r="N63" s="7">
        <f t="shared" si="39"/>
        <v>-1</v>
      </c>
      <c r="O63" s="11"/>
      <c r="P63" s="6">
        <v>2186.54</v>
      </c>
      <c r="Q63" s="2"/>
      <c r="R63" s="7">
        <f t="shared" si="40"/>
        <v>1.5858560905986311E-2</v>
      </c>
      <c r="S63" s="2"/>
      <c r="T63" s="6">
        <v>300</v>
      </c>
      <c r="U63" s="2"/>
      <c r="V63" s="7">
        <f t="shared" si="41"/>
        <v>1.4492753623188406E-3</v>
      </c>
      <c r="W63" s="2"/>
      <c r="X63" s="6">
        <f t="shared" si="42"/>
        <v>1886.54</v>
      </c>
      <c r="Y63" s="2"/>
      <c r="Z63" s="7">
        <f t="shared" si="43"/>
        <v>6.2884666666666664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6">
        <v>774.29</v>
      </c>
      <c r="E64" s="2"/>
      <c r="F64" s="7">
        <f t="shared" si="36"/>
        <v>5.4502478089270341E-2</v>
      </c>
      <c r="G64" s="2"/>
      <c r="H64" s="6"/>
      <c r="I64" s="2"/>
      <c r="J64" s="7">
        <f t="shared" si="37"/>
        <v>0</v>
      </c>
      <c r="K64" s="2"/>
      <c r="L64" s="6">
        <f t="shared" si="38"/>
        <v>774.29</v>
      </c>
      <c r="M64" s="2"/>
      <c r="N64" s="7">
        <f t="shared" si="39"/>
        <v>0</v>
      </c>
      <c r="O64" s="11"/>
      <c r="P64" s="6">
        <v>840.28</v>
      </c>
      <c r="Q64" s="2"/>
      <c r="R64" s="7">
        <f t="shared" si="40"/>
        <v>6.0943918510899314E-3</v>
      </c>
      <c r="S64" s="2"/>
      <c r="T64" s="6"/>
      <c r="U64" s="2"/>
      <c r="V64" s="7">
        <f t="shared" si="41"/>
        <v>0</v>
      </c>
      <c r="W64" s="2"/>
      <c r="X64" s="6">
        <f t="shared" si="42"/>
        <v>840.28</v>
      </c>
      <c r="Y64" s="2"/>
      <c r="Z64" s="7">
        <f t="shared" si="43"/>
        <v>0</v>
      </c>
    </row>
    <row r="65" spans="1:26" s="24" customFormat="1" hidden="1" outlineLevel="2" x14ac:dyDescent="0.25">
      <c r="A65" s="26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19.25</v>
      </c>
      <c r="E65" s="2"/>
      <c r="F65" s="7">
        <f t="shared" si="36"/>
        <v>1.3550125963378761E-3</v>
      </c>
      <c r="G65" s="2"/>
      <c r="H65" s="6">
        <v>400</v>
      </c>
      <c r="I65" s="2"/>
      <c r="J65" s="7">
        <f t="shared" si="37"/>
        <v>1.7391304347826087E-2</v>
      </c>
      <c r="K65" s="2"/>
      <c r="L65" s="6">
        <f t="shared" si="38"/>
        <v>-380.75</v>
      </c>
      <c r="M65" s="2"/>
      <c r="N65" s="7">
        <f t="shared" si="39"/>
        <v>-0.95187500000000003</v>
      </c>
      <c r="O65" s="11"/>
      <c r="P65" s="6">
        <v>2398.48</v>
      </c>
      <c r="Q65" s="2"/>
      <c r="R65" s="7">
        <f t="shared" si="40"/>
        <v>1.739572162493714E-2</v>
      </c>
      <c r="S65" s="2"/>
      <c r="T65" s="6">
        <v>800</v>
      </c>
      <c r="U65" s="2"/>
      <c r="V65" s="7">
        <f t="shared" si="41"/>
        <v>3.8647342995169081E-3</v>
      </c>
      <c r="W65" s="2"/>
      <c r="X65" s="6">
        <f t="shared" si="42"/>
        <v>1598.48</v>
      </c>
      <c r="Y65" s="2"/>
      <c r="Z65" s="7">
        <f t="shared" si="43"/>
        <v>1.9981</v>
      </c>
    </row>
    <row r="66" spans="1:26" s="25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49.2</v>
      </c>
      <c r="E66" s="1"/>
      <c r="F66" s="5">
        <f t="shared" ref="F66:F69" si="44">IF(D$12=0,0,D66/D$12)</f>
        <v>3.4632010254453771E-3</v>
      </c>
      <c r="G66" s="1"/>
      <c r="H66" s="1">
        <f>SUM(OSRRefH22_10x_0)</f>
        <v>546</v>
      </c>
      <c r="I66" s="1"/>
      <c r="J66" s="5">
        <f t="shared" ref="J66:J69" si="45">IF(H$12=0,0,H66/H$12)</f>
        <v>2.373913043478261E-2</v>
      </c>
      <c r="K66" s="1"/>
      <c r="L66" s="1">
        <f t="shared" ref="L66:L69" si="46">+D66-H66</f>
        <v>-496.8</v>
      </c>
      <c r="M66" s="1"/>
      <c r="N66" s="5">
        <f t="shared" ref="N66:N69" si="47">IF(H66=0,0,L66/H66)</f>
        <v>-0.90989010989010988</v>
      </c>
      <c r="O66" s="13"/>
      <c r="P66" s="1">
        <f>SUM(OSRRefP22_10x_0)</f>
        <v>286.92</v>
      </c>
      <c r="Q66" s="1"/>
      <c r="R66" s="5">
        <f t="shared" ref="R66:R69" si="48">IF(P$12=0,0,P66/P$12)</f>
        <v>2.0809764720268521E-3</v>
      </c>
      <c r="S66" s="1"/>
      <c r="T66" s="1">
        <f>SUM(OSRRefT22_10x_0)</f>
        <v>3276</v>
      </c>
      <c r="U66" s="1"/>
      <c r="V66" s="5">
        <f t="shared" ref="V66:V69" si="49">IF(T$12=0,0,T66/T$12)</f>
        <v>1.582608695652174E-2</v>
      </c>
      <c r="W66" s="1"/>
      <c r="X66" s="1">
        <f t="shared" ref="X66:X69" si="50">+P66-T66</f>
        <v>-2989.08</v>
      </c>
      <c r="Y66" s="1"/>
      <c r="Z66" s="5">
        <f t="shared" ref="Z66:Z69" si="51">IF(T66=0,0,X66/T66)</f>
        <v>-0.91241758241758242</v>
      </c>
    </row>
    <row r="67" spans="1:26" s="24" customFormat="1" hidden="1" outlineLevel="2" x14ac:dyDescent="0.25">
      <c r="A67" s="26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4"/>
        <v>0</v>
      </c>
      <c r="G67" s="2"/>
      <c r="H67" s="6">
        <v>50</v>
      </c>
      <c r="I67" s="2"/>
      <c r="J67" s="7">
        <f t="shared" si="45"/>
        <v>2.1739130434782609E-3</v>
      </c>
      <c r="K67" s="2"/>
      <c r="L67" s="6">
        <f t="shared" si="46"/>
        <v>-50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300</v>
      </c>
      <c r="U67" s="2"/>
      <c r="V67" s="7">
        <f t="shared" si="49"/>
        <v>1.4492753623188406E-3</v>
      </c>
      <c r="W67" s="2"/>
      <c r="X67" s="6">
        <f t="shared" si="50"/>
        <v>-300</v>
      </c>
      <c r="Y67" s="2"/>
      <c r="Z67" s="7">
        <f t="shared" si="51"/>
        <v>-1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>
        <v>396</v>
      </c>
      <c r="I68" s="2"/>
      <c r="J68" s="7">
        <f t="shared" si="45"/>
        <v>1.7217391304347827E-2</v>
      </c>
      <c r="K68" s="2"/>
      <c r="L68" s="6">
        <f t="shared" si="46"/>
        <v>-396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2376</v>
      </c>
      <c r="U68" s="2"/>
      <c r="V68" s="7">
        <f t="shared" si="49"/>
        <v>1.1478260869565217E-2</v>
      </c>
      <c r="W68" s="2"/>
      <c r="X68" s="6">
        <f t="shared" si="50"/>
        <v>-2376</v>
      </c>
      <c r="Y68" s="2"/>
      <c r="Z68" s="7">
        <f t="shared" si="51"/>
        <v>-1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6">
        <v>49.2</v>
      </c>
      <c r="E69" s="2"/>
      <c r="F69" s="7">
        <f t="shared" si="44"/>
        <v>3.4632010254453771E-3</v>
      </c>
      <c r="G69" s="2"/>
      <c r="H69" s="6">
        <v>100</v>
      </c>
      <c r="I69" s="2"/>
      <c r="J69" s="7">
        <f t="shared" si="45"/>
        <v>4.3478260869565218E-3</v>
      </c>
      <c r="K69" s="2"/>
      <c r="L69" s="6">
        <f t="shared" si="46"/>
        <v>-50.8</v>
      </c>
      <c r="M69" s="2"/>
      <c r="N69" s="7">
        <f t="shared" si="47"/>
        <v>-0.50800000000000001</v>
      </c>
      <c r="O69" s="11"/>
      <c r="P69" s="6">
        <v>286.92</v>
      </c>
      <c r="Q69" s="2"/>
      <c r="R69" s="7">
        <f t="shared" si="48"/>
        <v>2.0809764720268521E-3</v>
      </c>
      <c r="S69" s="2"/>
      <c r="T69" s="6">
        <v>600</v>
      </c>
      <c r="U69" s="2"/>
      <c r="V69" s="7">
        <f t="shared" si="49"/>
        <v>2.8985507246376812E-3</v>
      </c>
      <c r="W69" s="2"/>
      <c r="X69" s="6">
        <f t="shared" si="50"/>
        <v>-313.08</v>
      </c>
      <c r="Y69" s="2"/>
      <c r="Z69" s="7">
        <f t="shared" si="51"/>
        <v>-0.52179999999999993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SUM(OSRRefD22_11x_0)</f>
        <v>363.08</v>
      </c>
      <c r="E70" s="1"/>
      <c r="F70" s="5">
        <f t="shared" ref="F70:F76" si="52">IF(D$12=0,0,D70/D$12)</f>
        <v>2.5557297323550963E-2</v>
      </c>
      <c r="G70" s="1"/>
      <c r="H70" s="1">
        <f>SUM(OSRRefH22_11x_0)</f>
        <v>311</v>
      </c>
      <c r="I70" s="1"/>
      <c r="J70" s="5">
        <f t="shared" ref="J70:J76" si="53">IF(H$12=0,0,H70/H$12)</f>
        <v>1.3521739130434782E-2</v>
      </c>
      <c r="K70" s="1"/>
      <c r="L70" s="1">
        <f t="shared" ref="L70:L76" si="54">+D70-H70</f>
        <v>52.079999999999984</v>
      </c>
      <c r="M70" s="1"/>
      <c r="N70" s="5">
        <f t="shared" ref="N70:N76" si="55">IF(H70=0,0,L70/H70)</f>
        <v>0.16745980707395494</v>
      </c>
      <c r="O70" s="13"/>
      <c r="P70" s="1">
        <f>SUM(OSRRefP22_11x_0)</f>
        <v>5463.75</v>
      </c>
      <c r="Q70" s="1"/>
      <c r="R70" s="5">
        <f t="shared" ref="R70:R76" si="56">IF(P$12=0,0,P70/P$12)</f>
        <v>3.9627544956910329E-2</v>
      </c>
      <c r="S70" s="1"/>
      <c r="T70" s="1">
        <f>SUM(OSRRefT22_11x_0)</f>
        <v>2966</v>
      </c>
      <c r="U70" s="1"/>
      <c r="V70" s="5">
        <f t="shared" ref="V70:V76" si="57">IF(T$12=0,0,T70/T$12)</f>
        <v>1.4328502415458938E-2</v>
      </c>
      <c r="W70" s="1"/>
      <c r="X70" s="1">
        <f t="shared" ref="X70:X76" si="58">+P70-T70</f>
        <v>2497.75</v>
      </c>
      <c r="Y70" s="1"/>
      <c r="Z70" s="5">
        <f t="shared" ref="Z70:Z76" si="59">IF(T70=0,0,X70/T70)</f>
        <v>0.84212744436952125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2"/>
        <v>0</v>
      </c>
      <c r="G71" s="2"/>
      <c r="H71" s="6">
        <v>11</v>
      </c>
      <c r="I71" s="2"/>
      <c r="J71" s="7">
        <f t="shared" si="53"/>
        <v>4.782608695652174E-4</v>
      </c>
      <c r="K71" s="2"/>
      <c r="L71" s="6">
        <f t="shared" si="54"/>
        <v>-11</v>
      </c>
      <c r="M71" s="2"/>
      <c r="N71" s="7">
        <f t="shared" si="55"/>
        <v>-1</v>
      </c>
      <c r="O71" s="11"/>
      <c r="P71" s="6"/>
      <c r="Q71" s="2"/>
      <c r="R71" s="7">
        <f t="shared" si="56"/>
        <v>0</v>
      </c>
      <c r="S71" s="2"/>
      <c r="T71" s="6">
        <v>66</v>
      </c>
      <c r="U71" s="2"/>
      <c r="V71" s="7">
        <f t="shared" si="57"/>
        <v>3.1884057971014494E-4</v>
      </c>
      <c r="W71" s="2"/>
      <c r="X71" s="6">
        <f t="shared" si="58"/>
        <v>-66</v>
      </c>
      <c r="Y71" s="2"/>
      <c r="Z71" s="7">
        <f t="shared" si="59"/>
        <v>-1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6">
        <v>226.01</v>
      </c>
      <c r="E72" s="2"/>
      <c r="F72" s="7">
        <f t="shared" si="52"/>
        <v>1.5908903734977838E-2</v>
      </c>
      <c r="G72" s="2"/>
      <c r="H72" s="6"/>
      <c r="I72" s="2"/>
      <c r="J72" s="7">
        <f t="shared" si="53"/>
        <v>0</v>
      </c>
      <c r="K72" s="2"/>
      <c r="L72" s="6">
        <f t="shared" si="54"/>
        <v>226.01</v>
      </c>
      <c r="M72" s="2"/>
      <c r="N72" s="7">
        <f t="shared" si="55"/>
        <v>0</v>
      </c>
      <c r="O72" s="11"/>
      <c r="P72" s="6">
        <v>2898.22</v>
      </c>
      <c r="Q72" s="2"/>
      <c r="R72" s="7">
        <f t="shared" si="56"/>
        <v>2.1020241289410505E-2</v>
      </c>
      <c r="S72" s="2"/>
      <c r="T72" s="6">
        <v>300</v>
      </c>
      <c r="U72" s="2"/>
      <c r="V72" s="7">
        <f t="shared" si="57"/>
        <v>1.4492753623188406E-3</v>
      </c>
      <c r="W72" s="2"/>
      <c r="X72" s="6">
        <f t="shared" si="58"/>
        <v>2598.2199999999998</v>
      </c>
      <c r="Y72" s="2"/>
      <c r="Z72" s="7">
        <f t="shared" si="59"/>
        <v>8.660733333333333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6">
        <v>100.55</v>
      </c>
      <c r="E73" s="2"/>
      <c r="F73" s="7">
        <f t="shared" si="52"/>
        <v>7.0777411200921266E-3</v>
      </c>
      <c r="G73" s="2"/>
      <c r="H73" s="6"/>
      <c r="I73" s="2"/>
      <c r="J73" s="7">
        <f t="shared" si="53"/>
        <v>0</v>
      </c>
      <c r="K73" s="2"/>
      <c r="L73" s="6">
        <f t="shared" si="54"/>
        <v>100.55</v>
      </c>
      <c r="M73" s="2"/>
      <c r="N73" s="7">
        <f t="shared" si="55"/>
        <v>0</v>
      </c>
      <c r="O73" s="11"/>
      <c r="P73" s="6">
        <v>649.99</v>
      </c>
      <c r="Q73" s="2"/>
      <c r="R73" s="7">
        <f t="shared" si="56"/>
        <v>4.7142544857546823E-3</v>
      </c>
      <c r="S73" s="2"/>
      <c r="T73" s="6"/>
      <c r="U73" s="2"/>
      <c r="V73" s="7">
        <f t="shared" si="57"/>
        <v>0</v>
      </c>
      <c r="W73" s="2"/>
      <c r="X73" s="6">
        <f t="shared" si="58"/>
        <v>649.99</v>
      </c>
      <c r="Y73" s="2"/>
      <c r="Z73" s="7">
        <f t="shared" si="59"/>
        <v>0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6">
        <v>36.520000000000003</v>
      </c>
      <c r="E74" s="2"/>
      <c r="F74" s="7">
        <f t="shared" si="52"/>
        <v>2.5706524684809993E-3</v>
      </c>
      <c r="G74" s="2"/>
      <c r="H74" s="6">
        <v>300</v>
      </c>
      <c r="I74" s="2"/>
      <c r="J74" s="7">
        <f t="shared" si="53"/>
        <v>1.3043478260869565E-2</v>
      </c>
      <c r="K74" s="2"/>
      <c r="L74" s="6">
        <f t="shared" si="54"/>
        <v>-263.48</v>
      </c>
      <c r="M74" s="2"/>
      <c r="N74" s="7">
        <f t="shared" si="55"/>
        <v>-0.87826666666666675</v>
      </c>
      <c r="O74" s="11"/>
      <c r="P74" s="6">
        <v>1175.8699999999999</v>
      </c>
      <c r="Q74" s="2"/>
      <c r="R74" s="7">
        <f t="shared" si="56"/>
        <v>8.5283626242932311E-3</v>
      </c>
      <c r="S74" s="2"/>
      <c r="T74" s="6">
        <v>2000</v>
      </c>
      <c r="U74" s="2"/>
      <c r="V74" s="7">
        <f t="shared" si="57"/>
        <v>9.6618357487922701E-3</v>
      </c>
      <c r="W74" s="2"/>
      <c r="X74" s="6">
        <f t="shared" si="58"/>
        <v>-824.13000000000011</v>
      </c>
      <c r="Y74" s="2"/>
      <c r="Z74" s="7">
        <f t="shared" si="59"/>
        <v>-0.41206500000000007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102.64</v>
      </c>
      <c r="Q75" s="2"/>
      <c r="R75" s="7">
        <f t="shared" si="56"/>
        <v>7.4442849954285543E-4</v>
      </c>
      <c r="S75" s="2"/>
      <c r="T75" s="6"/>
      <c r="U75" s="2"/>
      <c r="V75" s="7">
        <f t="shared" si="57"/>
        <v>0</v>
      </c>
      <c r="W75" s="2"/>
      <c r="X75" s="6">
        <f t="shared" si="58"/>
        <v>102.64</v>
      </c>
      <c r="Y75" s="2"/>
      <c r="Z75" s="7">
        <f t="shared" si="59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637.03</v>
      </c>
      <c r="Q76" s="2"/>
      <c r="R76" s="7">
        <f t="shared" si="56"/>
        <v>4.6202580579090529E-3</v>
      </c>
      <c r="S76" s="2"/>
      <c r="T76" s="6">
        <v>600</v>
      </c>
      <c r="U76" s="2"/>
      <c r="V76" s="7">
        <f t="shared" si="57"/>
        <v>2.8985507246376812E-3</v>
      </c>
      <c r="W76" s="2"/>
      <c r="X76" s="6">
        <f t="shared" si="58"/>
        <v>37.029999999999973</v>
      </c>
      <c r="Y76" s="2"/>
      <c r="Z76" s="7">
        <f t="shared" si="59"/>
        <v>6.1716666666666621E-2</v>
      </c>
    </row>
    <row r="77" spans="1:26" s="25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86.5</v>
      </c>
      <c r="E77" s="1"/>
      <c r="F77" s="5">
        <f t="shared" ref="F77:F79" si="60">IF(D$12=0,0,D77/D$12)</f>
        <v>6.0887579004273388E-3</v>
      </c>
      <c r="G77" s="1"/>
      <c r="H77" s="1">
        <f>SUM(OSRRefH22_12x_0)</f>
        <v>95</v>
      </c>
      <c r="I77" s="1"/>
      <c r="J77" s="5">
        <f t="shared" ref="J77:J79" si="61">IF(H$12=0,0,H77/H$12)</f>
        <v>4.1304347826086954E-3</v>
      </c>
      <c r="K77" s="1"/>
      <c r="L77" s="1">
        <f t="shared" ref="L77:L79" si="62">+D77-H77</f>
        <v>-8.5</v>
      </c>
      <c r="M77" s="1"/>
      <c r="N77" s="5">
        <f t="shared" ref="N77:N79" si="63">IF(H77=0,0,L77/H77)</f>
        <v>-8.9473684210526316E-2</v>
      </c>
      <c r="O77" s="13"/>
      <c r="P77" s="1">
        <f>SUM(OSRRefP22_12x_0)</f>
        <v>521.5</v>
      </c>
      <c r="Q77" s="1"/>
      <c r="R77" s="5">
        <f t="shared" ref="R77:R79" si="64">IF(P$12=0,0,P77/P$12)</f>
        <v>3.782340827275907E-3</v>
      </c>
      <c r="S77" s="1"/>
      <c r="T77" s="1">
        <f>SUM(OSRRefT22_12x_0)</f>
        <v>570</v>
      </c>
      <c r="U77" s="1"/>
      <c r="V77" s="5">
        <f t="shared" ref="V77:V79" si="65">IF(T$12=0,0,T77/T$12)</f>
        <v>2.7536231884057972E-3</v>
      </c>
      <c r="W77" s="1"/>
      <c r="X77" s="1">
        <f t="shared" ref="X77:X79" si="66">+P77-T77</f>
        <v>-48.5</v>
      </c>
      <c r="Y77" s="1"/>
      <c r="Z77" s="5">
        <f t="shared" ref="Z77:Z79" si="67">IF(T77=0,0,X77/T77)</f>
        <v>-8.5087719298245615E-2</v>
      </c>
    </row>
    <row r="78" spans="1:26" s="24" customFormat="1" hidden="1" outlineLevel="2" x14ac:dyDescent="0.25">
      <c r="A78" s="26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60"/>
        <v>0</v>
      </c>
      <c r="G78" s="2"/>
      <c r="H78" s="6">
        <v>50</v>
      </c>
      <c r="I78" s="2"/>
      <c r="J78" s="7">
        <f t="shared" si="61"/>
        <v>2.1739130434782609E-3</v>
      </c>
      <c r="K78" s="2"/>
      <c r="L78" s="6">
        <f t="shared" si="62"/>
        <v>-50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300</v>
      </c>
      <c r="U78" s="2"/>
      <c r="V78" s="7">
        <f t="shared" si="65"/>
        <v>1.4492753623188406E-3</v>
      </c>
      <c r="W78" s="2"/>
      <c r="X78" s="6">
        <f t="shared" si="66"/>
        <v>-300</v>
      </c>
      <c r="Y78" s="2"/>
      <c r="Z78" s="7">
        <f t="shared" si="67"/>
        <v>-1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86.5</v>
      </c>
      <c r="E79" s="2"/>
      <c r="F79" s="7">
        <f t="shared" si="60"/>
        <v>6.0887579004273388E-3</v>
      </c>
      <c r="G79" s="2"/>
      <c r="H79" s="6">
        <v>45</v>
      </c>
      <c r="I79" s="2"/>
      <c r="J79" s="7">
        <f t="shared" si="61"/>
        <v>1.9565217391304349E-3</v>
      </c>
      <c r="K79" s="2"/>
      <c r="L79" s="6">
        <f t="shared" si="62"/>
        <v>41.5</v>
      </c>
      <c r="M79" s="2"/>
      <c r="N79" s="7">
        <f t="shared" si="63"/>
        <v>0.92222222222222228</v>
      </c>
      <c r="O79" s="11"/>
      <c r="P79" s="6">
        <v>521.5</v>
      </c>
      <c r="Q79" s="2"/>
      <c r="R79" s="7">
        <f t="shared" si="64"/>
        <v>3.782340827275907E-3</v>
      </c>
      <c r="S79" s="2"/>
      <c r="T79" s="6">
        <v>270</v>
      </c>
      <c r="U79" s="2"/>
      <c r="V79" s="7">
        <f t="shared" si="65"/>
        <v>1.3043478260869566E-3</v>
      </c>
      <c r="W79" s="2"/>
      <c r="X79" s="6">
        <f t="shared" si="66"/>
        <v>251.5</v>
      </c>
      <c r="Y79" s="2"/>
      <c r="Z79" s="7">
        <f t="shared" si="67"/>
        <v>0.93148148148148147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3" si="68">IF(D$12=0,0,D80/D$12)</f>
        <v>0</v>
      </c>
      <c r="G80" s="1"/>
      <c r="H80" s="1">
        <f>SUM(OSRRefH22_13x_0)</f>
        <v>0</v>
      </c>
      <c r="I80" s="1"/>
      <c r="J80" s="5">
        <f t="shared" ref="J80:J83" si="69">IF(H$12=0,0,H80/H$12)</f>
        <v>0</v>
      </c>
      <c r="K80" s="1"/>
      <c r="L80" s="1">
        <f t="shared" ref="L80:L83" si="70">+D80-H80</f>
        <v>0</v>
      </c>
      <c r="M80" s="1"/>
      <c r="N80" s="5">
        <f t="shared" ref="N80:N83" si="71">IF(H80=0,0,L80/H80)</f>
        <v>0</v>
      </c>
      <c r="O80" s="13"/>
      <c r="P80" s="1">
        <f>SUM(OSRRefP22_13x_0)</f>
        <v>152.94999999999999</v>
      </c>
      <c r="Q80" s="1"/>
      <c r="R80" s="5">
        <f t="shared" ref="R80:R83" si="72">IF(P$12=0,0,P80/P$12)</f>
        <v>1.1093174104158197E-3</v>
      </c>
      <c r="S80" s="1"/>
      <c r="T80" s="1">
        <f>SUM(OSRRefT22_13x_0)</f>
        <v>2000</v>
      </c>
      <c r="U80" s="1"/>
      <c r="V80" s="5">
        <f t="shared" ref="V80:V83" si="73">IF(T$12=0,0,T80/T$12)</f>
        <v>9.6618357487922701E-3</v>
      </c>
      <c r="W80" s="1"/>
      <c r="X80" s="1">
        <f t="shared" ref="X80:X83" si="74">+P80-T80</f>
        <v>-1847.05</v>
      </c>
      <c r="Y80" s="1"/>
      <c r="Z80" s="5">
        <f t="shared" ref="Z80:Z83" si="75">IF(T80=0,0,X80/T80)</f>
        <v>-0.92352499999999993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8"/>
        <v>0</v>
      </c>
      <c r="G81" s="2"/>
      <c r="H81" s="6"/>
      <c r="I81" s="2"/>
      <c r="J81" s="7">
        <f t="shared" si="69"/>
        <v>0</v>
      </c>
      <c r="K81" s="2"/>
      <c r="L81" s="6">
        <f t="shared" si="70"/>
        <v>0</v>
      </c>
      <c r="M81" s="2"/>
      <c r="N81" s="7">
        <f t="shared" si="71"/>
        <v>0</v>
      </c>
      <c r="O81" s="11"/>
      <c r="P81" s="6">
        <v>152.94999999999999</v>
      </c>
      <c r="Q81" s="2"/>
      <c r="R81" s="7">
        <f t="shared" si="72"/>
        <v>1.1093174104158197E-3</v>
      </c>
      <c r="S81" s="2"/>
      <c r="T81" s="6">
        <v>2000</v>
      </c>
      <c r="U81" s="2"/>
      <c r="V81" s="7">
        <f t="shared" si="73"/>
        <v>9.6618357487922701E-3</v>
      </c>
      <c r="W81" s="2"/>
      <c r="X81" s="6">
        <f t="shared" si="74"/>
        <v>-1847.05</v>
      </c>
      <c r="Y81" s="2"/>
      <c r="Z81" s="7">
        <f t="shared" si="75"/>
        <v>-0.92352499999999993</v>
      </c>
    </row>
    <row r="82" spans="1:26" s="25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SUM(OSRRefD22_14x_0)</f>
        <v>0</v>
      </c>
      <c r="E82" s="1"/>
      <c r="F82" s="5">
        <f t="shared" si="68"/>
        <v>0</v>
      </c>
      <c r="G82" s="1"/>
      <c r="H82" s="1">
        <f>SUM(OSRRefH22_14x_0)</f>
        <v>0</v>
      </c>
      <c r="I82" s="1"/>
      <c r="J82" s="5">
        <f t="shared" si="69"/>
        <v>0</v>
      </c>
      <c r="K82" s="1"/>
      <c r="L82" s="1">
        <f t="shared" si="70"/>
        <v>0</v>
      </c>
      <c r="M82" s="1"/>
      <c r="N82" s="5">
        <f t="shared" si="71"/>
        <v>0</v>
      </c>
      <c r="O82" s="13"/>
      <c r="P82" s="1">
        <f>SUM(OSRRefP22_14x_0)</f>
        <v>0</v>
      </c>
      <c r="Q82" s="1"/>
      <c r="R82" s="5">
        <f t="shared" si="72"/>
        <v>0</v>
      </c>
      <c r="S82" s="1"/>
      <c r="T82" s="1">
        <f>SUM(OSRRefT22_14x_0)</f>
        <v>2000</v>
      </c>
      <c r="U82" s="1"/>
      <c r="V82" s="5">
        <f t="shared" si="73"/>
        <v>9.6618357487922701E-3</v>
      </c>
      <c r="W82" s="1"/>
      <c r="X82" s="1">
        <f t="shared" si="74"/>
        <v>-2000</v>
      </c>
      <c r="Y82" s="1"/>
      <c r="Z82" s="5">
        <f t="shared" si="75"/>
        <v>-1</v>
      </c>
    </row>
    <row r="83" spans="1:26" s="24" customFormat="1" hidden="1" outlineLevel="2" x14ac:dyDescent="0.25">
      <c r="A83" s="26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/>
      <c r="Q83" s="2"/>
      <c r="R83" s="7">
        <f t="shared" si="72"/>
        <v>0</v>
      </c>
      <c r="S83" s="2"/>
      <c r="T83" s="6">
        <v>2000</v>
      </c>
      <c r="U83" s="2"/>
      <c r="V83" s="7">
        <f t="shared" si="73"/>
        <v>9.6618357487922701E-3</v>
      </c>
      <c r="W83" s="2"/>
      <c r="X83" s="6">
        <f t="shared" si="74"/>
        <v>-2000</v>
      </c>
      <c r="Y83" s="2"/>
      <c r="Z83" s="7">
        <f t="shared" si="75"/>
        <v>-1</v>
      </c>
    </row>
    <row r="84" spans="1:26" s="5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2">
        <f>+D23-D25+D85</f>
        <v>-8924</v>
      </c>
      <c r="E87" s="14"/>
      <c r="F87" s="20">
        <f>IF(D$12=0,0,D87/D$12)</f>
        <v>-0.62816272258281591</v>
      </c>
      <c r="G87" s="14"/>
      <c r="H87" s="22">
        <f>+H23-H25+H85</f>
        <v>-762.84405999999581</v>
      </c>
      <c r="I87" s="14"/>
      <c r="J87" s="20">
        <f>IF(H$12=0,0,H87/H$12)</f>
        <v>-3.3167133043478077E-2</v>
      </c>
      <c r="K87" s="16"/>
      <c r="L87" s="22">
        <f>+D87-H87</f>
        <v>-8161.1559400000042</v>
      </c>
      <c r="M87" s="16"/>
      <c r="N87" s="20">
        <f>IF(H87=0,0,L87/H87)</f>
        <v>10.698327964957935</v>
      </c>
      <c r="O87" s="28"/>
      <c r="P87" s="22">
        <f>+P23-P25+P85</f>
        <v>-37771.340000000011</v>
      </c>
      <c r="Q87" s="14"/>
      <c r="R87" s="20">
        <f>IF(P$12=0,0,P87/P$12)</f>
        <v>-0.27394838232582858</v>
      </c>
      <c r="S87" s="14"/>
      <c r="T87" s="22">
        <f>+T23-T25+T85</f>
        <v>34328.539530000009</v>
      </c>
      <c r="U87" s="14"/>
      <c r="V87" s="20">
        <f>IF(T$12=0,0,T87/T$12)</f>
        <v>0.16583835521739135</v>
      </c>
      <c r="W87" s="16"/>
      <c r="X87" s="22">
        <f>+P87-T87</f>
        <v>-72099.87953000002</v>
      </c>
      <c r="Y87" s="16"/>
      <c r="Z87" s="20">
        <f>IF(T87=0,0,X87/T87)</f>
        <v>-2.1002897448343618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1795.91</v>
      </c>
      <c r="E89" s="4"/>
      <c r="F89" s="12">
        <f>IF(D$12=0,0,D89/D$12)</f>
        <v>0.1264145803578782</v>
      </c>
      <c r="G89" s="4"/>
      <c r="H89" s="4">
        <v>3346</v>
      </c>
      <c r="I89" s="4"/>
      <c r="J89" s="12">
        <f>IF(H$12=0,0,H89/H$12)</f>
        <v>0.14547826086956522</v>
      </c>
      <c r="K89" s="4"/>
      <c r="L89" s="4">
        <f>+D89-H89</f>
        <v>-1550.09</v>
      </c>
      <c r="M89" s="4"/>
      <c r="N89" s="12">
        <f>IF(H89=0,0,L89/H89)</f>
        <v>-0.46326658696951584</v>
      </c>
      <c r="O89" s="10"/>
      <c r="P89" s="4">
        <v>14891.84</v>
      </c>
      <c r="Q89" s="4"/>
      <c r="R89" s="12">
        <f>IF(P$12=0,0,P89/P$12)</f>
        <v>0.10800769784326068</v>
      </c>
      <c r="S89" s="4"/>
      <c r="T89" s="4">
        <v>26665</v>
      </c>
      <c r="U89" s="4"/>
      <c r="V89" s="12">
        <f>IF(T$12=0,0,T89/T$12)</f>
        <v>0.12881642512077296</v>
      </c>
      <c r="W89" s="4"/>
      <c r="X89" s="4">
        <f>+P89-T89</f>
        <v>-11773.16</v>
      </c>
      <c r="Y89" s="4"/>
      <c r="Z89" s="12">
        <f>IF(T89=0,0,X89/T89)</f>
        <v>-0.44152109506844178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1">
        <f>+D87-D89</f>
        <v>-10719.91</v>
      </c>
      <c r="E91" s="14"/>
      <c r="F91" s="32">
        <f>IF(D$12=0,0,D91/D$12)</f>
        <v>-0.75457730294069403</v>
      </c>
      <c r="G91" s="14"/>
      <c r="H91" s="31">
        <f>+H87-H89</f>
        <v>-4108.8440599999958</v>
      </c>
      <c r="I91" s="14"/>
      <c r="J91" s="32">
        <f>IF(H$12=0,0,H91/H$12)</f>
        <v>-0.17864539391304329</v>
      </c>
      <c r="K91" s="16"/>
      <c r="L91" s="31">
        <f>D91-H91</f>
        <v>-6611.065940000004</v>
      </c>
      <c r="M91" s="16"/>
      <c r="N91" s="32">
        <f>IF(H91=0,0,L91/H91)</f>
        <v>1.6089843867182467</v>
      </c>
      <c r="O91" s="28"/>
      <c r="P91" s="31">
        <f>+P87-P89</f>
        <v>-52663.180000000008</v>
      </c>
      <c r="Q91" s="14"/>
      <c r="R91" s="32">
        <f>IF(P$12=0,0,P91/P$12)</f>
        <v>-0.38195608016908922</v>
      </c>
      <c r="S91" s="14"/>
      <c r="T91" s="31">
        <f>+T87-T89</f>
        <v>7663.5395300000091</v>
      </c>
      <c r="U91" s="14"/>
      <c r="V91" s="32">
        <f>IF(T$12=0,0,T91/T$12)</f>
        <v>3.7021930096618402E-2</v>
      </c>
      <c r="W91" s="16"/>
      <c r="X91" s="31">
        <f>P91-T91</f>
        <v>-60326.719530000017</v>
      </c>
      <c r="Y91" s="16"/>
      <c r="Z91" s="32">
        <f>IF(T91=0,0,X91/T91)</f>
        <v>-7.8719134016132548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5">
        <f>SUM(D91:D93)</f>
        <v>-10719.91</v>
      </c>
      <c r="E94" s="14"/>
      <c r="F94" s="34">
        <f>IF(D$12=0,0,D94/D$12)</f>
        <v>-0.75457730294069403</v>
      </c>
      <c r="G94" s="14"/>
      <c r="H94" s="35">
        <f>SUM(H91:H93)</f>
        <v>-4108.8440599999958</v>
      </c>
      <c r="I94" s="14"/>
      <c r="J94" s="34">
        <f>IF(H$12=0,0,H94/H$12)</f>
        <v>-0.17864539391304329</v>
      </c>
      <c r="K94" s="16"/>
      <c r="L94" s="35">
        <f>+D94-H94</f>
        <v>-6611.065940000004</v>
      </c>
      <c r="M94" s="16"/>
      <c r="N94" s="34">
        <f>IF(H94=0,0,L94/H94)</f>
        <v>1.6089843867182467</v>
      </c>
      <c r="O94" s="28"/>
      <c r="P94" s="35">
        <f>SUM(P91:P93)</f>
        <v>-52663.180000000008</v>
      </c>
      <c r="Q94" s="14"/>
      <c r="R94" s="34">
        <f>IF(P$12=0,0,P94/P$12)</f>
        <v>-0.38195608016908922</v>
      </c>
      <c r="S94" s="14"/>
      <c r="T94" s="35">
        <f>SUM(T91:T93)</f>
        <v>7663.5395300000091</v>
      </c>
      <c r="U94" s="14"/>
      <c r="V94" s="34">
        <f>IF(T$12=0,0,T94/T$12)</f>
        <v>3.7021930096618402E-2</v>
      </c>
      <c r="W94" s="16"/>
      <c r="X94" s="35">
        <f>+P94-T94</f>
        <v>-60326.719530000017</v>
      </c>
      <c r="Y94" s="16"/>
      <c r="Z94" s="34">
        <f>IF(T94=0,0,X94/T94)</f>
        <v>-7.8719134016132548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3">
        <v>43847.446166631948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5" t="s">
        <v>314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6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48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121074.75</v>
      </c>
      <c r="E18" s="21"/>
      <c r="F18" s="30">
        <f t="shared" ref="F18:F29" si="0">IF(D$12=0,0,D18/D$12)</f>
        <v>0</v>
      </c>
      <c r="G18" s="21"/>
      <c r="H18" s="21">
        <f>SUM(OSRRefH22x_0)</f>
        <v>103554.42854653523</v>
      </c>
      <c r="I18" s="21"/>
      <c r="J18" s="30">
        <f t="shared" ref="J18:J29" si="1">IF(H$12=0,0,H18/H$12)</f>
        <v>0</v>
      </c>
      <c r="K18" s="4"/>
      <c r="L18" s="21">
        <f t="shared" ref="L18:L29" si="2">+D18-H18</f>
        <v>17520.32145346477</v>
      </c>
      <c r="M18" s="4"/>
      <c r="N18" s="30">
        <f t="shared" ref="N18:N29" si="3">IF(H18=0,0,L18/H18)</f>
        <v>0.16918949483257975</v>
      </c>
      <c r="O18" s="10"/>
      <c r="P18" s="21">
        <f>SUM(OSRRefP22x_0)</f>
        <v>604422.47</v>
      </c>
      <c r="Q18" s="21"/>
      <c r="R18" s="30">
        <f t="shared" ref="R18:R29" si="4">IF(P$12=0,0,P18/P$12)</f>
        <v>0</v>
      </c>
      <c r="S18" s="21"/>
      <c r="T18" s="21">
        <f>SUM(OSRRefT22x_0)</f>
        <v>618690.28120930202</v>
      </c>
      <c r="U18" s="21"/>
      <c r="V18" s="30">
        <f t="shared" ref="V18:V29" si="5">IF(T$12=0,0,T18/T$12)</f>
        <v>0</v>
      </c>
      <c r="W18" s="4"/>
      <c r="X18" s="21">
        <f t="shared" ref="X18:X29" si="6">+P18-T18</f>
        <v>-14267.811209302046</v>
      </c>
      <c r="Y18" s="4"/>
      <c r="Z18" s="30">
        <f t="shared" ref="Z18:Z29" si="7">IF(T18=0,0,X18/T18)</f>
        <v>-2.3061314590903145E-2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10923.550000000001</v>
      </c>
      <c r="E19" s="1"/>
      <c r="F19" s="5">
        <f t="shared" si="0"/>
        <v>0</v>
      </c>
      <c r="G19" s="1"/>
      <c r="H19" s="1">
        <f>SUM(OSRRefH22_0x_0)</f>
        <v>8717.2892696121453</v>
      </c>
      <c r="I19" s="1"/>
      <c r="J19" s="5">
        <f t="shared" si="1"/>
        <v>0</v>
      </c>
      <c r="K19" s="1"/>
      <c r="L19" s="1">
        <f t="shared" si="2"/>
        <v>2206.2607303878558</v>
      </c>
      <c r="M19" s="1"/>
      <c r="N19" s="5">
        <f t="shared" si="3"/>
        <v>0.25309022818351629</v>
      </c>
      <c r="O19" s="13"/>
      <c r="P19" s="1">
        <f>SUM(OSRRefP22_0x_0)</f>
        <v>67420.3</v>
      </c>
      <c r="Q19" s="1"/>
      <c r="R19" s="5">
        <f t="shared" si="4"/>
        <v>0</v>
      </c>
      <c r="S19" s="1"/>
      <c r="T19" s="1">
        <f>SUM(OSRRefT22_0x_0)</f>
        <v>55735.50480930198</v>
      </c>
      <c r="U19" s="1"/>
      <c r="V19" s="5">
        <f t="shared" si="5"/>
        <v>0</v>
      </c>
      <c r="W19" s="1"/>
      <c r="X19" s="1">
        <f t="shared" si="6"/>
        <v>11684.795190698023</v>
      </c>
      <c r="Y19" s="1"/>
      <c r="Z19" s="5">
        <f t="shared" si="7"/>
        <v>0.20964724784815961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2020.58</v>
      </c>
      <c r="E20" s="2"/>
      <c r="F20" s="7">
        <f t="shared" si="0"/>
        <v>0</v>
      </c>
      <c r="G20" s="2"/>
      <c r="H20" s="6">
        <v>1482.82373739369</v>
      </c>
      <c r="I20" s="2"/>
      <c r="J20" s="7">
        <f t="shared" si="1"/>
        <v>0</v>
      </c>
      <c r="K20" s="2"/>
      <c r="L20" s="6">
        <f t="shared" si="2"/>
        <v>537.75626260630997</v>
      </c>
      <c r="M20" s="2"/>
      <c r="N20" s="7">
        <f t="shared" si="3"/>
        <v>0.36265690185908833</v>
      </c>
      <c r="O20" s="11"/>
      <c r="P20" s="6">
        <v>14167.1</v>
      </c>
      <c r="Q20" s="2"/>
      <c r="R20" s="7">
        <f t="shared" si="4"/>
        <v>0</v>
      </c>
      <c r="S20" s="2"/>
      <c r="T20" s="6">
        <v>9474.7615533420012</v>
      </c>
      <c r="U20" s="2"/>
      <c r="V20" s="7">
        <f t="shared" si="5"/>
        <v>0</v>
      </c>
      <c r="W20" s="2"/>
      <c r="X20" s="6">
        <f t="shared" si="6"/>
        <v>4692.3384466579992</v>
      </c>
      <c r="Y20" s="2"/>
      <c r="Z20" s="7">
        <f t="shared" si="7"/>
        <v>0.4952460724463178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1315.63</v>
      </c>
      <c r="E21" s="2"/>
      <c r="F21" s="7">
        <f t="shared" si="0"/>
        <v>0</v>
      </c>
      <c r="G21" s="2"/>
      <c r="H21" s="6">
        <v>1045.1058780984599</v>
      </c>
      <c r="I21" s="2"/>
      <c r="J21" s="7">
        <f t="shared" si="1"/>
        <v>0</v>
      </c>
      <c r="K21" s="2"/>
      <c r="L21" s="6">
        <f t="shared" si="2"/>
        <v>270.52412190154018</v>
      </c>
      <c r="M21" s="2"/>
      <c r="N21" s="7">
        <f t="shared" si="3"/>
        <v>0.25884853158969029</v>
      </c>
      <c r="O21" s="11"/>
      <c r="P21" s="6">
        <v>4795.9799999999996</v>
      </c>
      <c r="Q21" s="2"/>
      <c r="R21" s="7">
        <f t="shared" si="4"/>
        <v>0</v>
      </c>
      <c r="S21" s="2"/>
      <c r="T21" s="6">
        <v>6922.0962063200004</v>
      </c>
      <c r="U21" s="2"/>
      <c r="V21" s="7">
        <f t="shared" si="5"/>
        <v>0</v>
      </c>
      <c r="W21" s="2"/>
      <c r="X21" s="6">
        <f t="shared" si="6"/>
        <v>-2126.1162063200009</v>
      </c>
      <c r="Y21" s="2"/>
      <c r="Z21" s="7">
        <f t="shared" si="7"/>
        <v>-0.30714918471933661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3654.92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1054.15076923077</v>
      </c>
      <c r="M22" s="2"/>
      <c r="N22" s="7">
        <f t="shared" si="3"/>
        <v>0.40532268559597795</v>
      </c>
      <c r="O22" s="11"/>
      <c r="P22" s="6">
        <v>21929.279999999999</v>
      </c>
      <c r="Q22" s="2"/>
      <c r="R22" s="7">
        <f t="shared" si="4"/>
        <v>0</v>
      </c>
      <c r="S22" s="2"/>
      <c r="T22" s="6">
        <v>16242</v>
      </c>
      <c r="U22" s="2"/>
      <c r="V22" s="7">
        <f t="shared" si="5"/>
        <v>0</v>
      </c>
      <c r="W22" s="2"/>
      <c r="X22" s="6">
        <f t="shared" si="6"/>
        <v>5687.2799999999988</v>
      </c>
      <c r="Y22" s="2"/>
      <c r="Z22" s="7">
        <f t="shared" si="7"/>
        <v>0.35015884743258213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103.03</v>
      </c>
      <c r="E23" s="2"/>
      <c r="F23" s="7">
        <f t="shared" si="0"/>
        <v>0</v>
      </c>
      <c r="G23" s="2"/>
      <c r="H23" s="6">
        <v>70.032868120000003</v>
      </c>
      <c r="I23" s="2"/>
      <c r="J23" s="7">
        <f t="shared" si="1"/>
        <v>0</v>
      </c>
      <c r="K23" s="2"/>
      <c r="L23" s="6">
        <f t="shared" si="2"/>
        <v>32.997131879999998</v>
      </c>
      <c r="M23" s="2"/>
      <c r="N23" s="7">
        <f t="shared" si="3"/>
        <v>0.47116636467694045</v>
      </c>
      <c r="O23" s="11"/>
      <c r="P23" s="6">
        <v>484.59</v>
      </c>
      <c r="Q23" s="2"/>
      <c r="R23" s="7">
        <f t="shared" si="4"/>
        <v>0</v>
      </c>
      <c r="S23" s="2"/>
      <c r="T23" s="6">
        <v>463.85180764</v>
      </c>
      <c r="U23" s="2"/>
      <c r="V23" s="7">
        <f t="shared" si="5"/>
        <v>0</v>
      </c>
      <c r="W23" s="2"/>
      <c r="X23" s="6">
        <f t="shared" si="6"/>
        <v>20.738192359999971</v>
      </c>
      <c r="Y23" s="2"/>
      <c r="Z23" s="7">
        <f t="shared" si="7"/>
        <v>4.4708659141617681E-2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1227.27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130.58146153845996</v>
      </c>
      <c r="M24" s="2"/>
      <c r="N24" s="7">
        <f t="shared" si="3"/>
        <v>0.11906886682853698</v>
      </c>
      <c r="O24" s="11"/>
      <c r="P24" s="6">
        <v>8460.36</v>
      </c>
      <c r="Q24" s="2"/>
      <c r="R24" s="7">
        <f t="shared" si="4"/>
        <v>0</v>
      </c>
      <c r="S24" s="2"/>
      <c r="T24" s="6">
        <v>7128.4755000000005</v>
      </c>
      <c r="U24" s="2"/>
      <c r="V24" s="7">
        <f t="shared" si="5"/>
        <v>0</v>
      </c>
      <c r="W24" s="2"/>
      <c r="X24" s="6">
        <f t="shared" si="6"/>
        <v>1331.8845000000001</v>
      </c>
      <c r="Y24" s="2"/>
      <c r="Z24" s="7">
        <f t="shared" si="7"/>
        <v>0.18684001930005933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56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56</v>
      </c>
      <c r="M26" s="2"/>
      <c r="N26" s="7">
        <f t="shared" si="3"/>
        <v>0</v>
      </c>
      <c r="O26" s="11"/>
      <c r="P26" s="6">
        <v>364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364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1401.17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334.85061538462014</v>
      </c>
      <c r="M27" s="2"/>
      <c r="N27" s="7">
        <f t="shared" si="3"/>
        <v>0.3140246911157864</v>
      </c>
      <c r="O27" s="11"/>
      <c r="P27" s="6">
        <v>9116.93</v>
      </c>
      <c r="Q27" s="2"/>
      <c r="R27" s="7">
        <f t="shared" si="4"/>
        <v>0</v>
      </c>
      <c r="S27" s="2"/>
      <c r="T27" s="6">
        <v>6931.07599999998</v>
      </c>
      <c r="U27" s="2"/>
      <c r="V27" s="7">
        <f t="shared" si="5"/>
        <v>0</v>
      </c>
      <c r="W27" s="2"/>
      <c r="X27" s="6">
        <f t="shared" si="6"/>
        <v>2185.8540000000203</v>
      </c>
      <c r="Y27" s="2"/>
      <c r="Z27" s="7">
        <f t="shared" si="7"/>
        <v>0.31537008106678194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716.34</v>
      </c>
      <c r="E28" s="2"/>
      <c r="F28" s="7">
        <f t="shared" si="0"/>
        <v>0</v>
      </c>
      <c r="G28" s="2"/>
      <c r="H28" s="6">
        <v>680.54963215384601</v>
      </c>
      <c r="I28" s="2"/>
      <c r="J28" s="7">
        <f t="shared" si="1"/>
        <v>0</v>
      </c>
      <c r="K28" s="2"/>
      <c r="L28" s="6">
        <f t="shared" si="2"/>
        <v>35.790367846154027</v>
      </c>
      <c r="M28" s="2"/>
      <c r="N28" s="7">
        <f t="shared" si="3"/>
        <v>5.2590385998567704E-2</v>
      </c>
      <c r="O28" s="11"/>
      <c r="P28" s="6">
        <v>5902.4</v>
      </c>
      <c r="Q28" s="2"/>
      <c r="R28" s="7">
        <f t="shared" si="4"/>
        <v>0</v>
      </c>
      <c r="S28" s="2"/>
      <c r="T28" s="6">
        <v>4523.2437420000006</v>
      </c>
      <c r="U28" s="2"/>
      <c r="V28" s="7">
        <f t="shared" si="5"/>
        <v>0</v>
      </c>
      <c r="W28" s="2"/>
      <c r="X28" s="6">
        <f t="shared" si="6"/>
        <v>1379.1562579999991</v>
      </c>
      <c r="Y28" s="2"/>
      <c r="Z28" s="7">
        <f t="shared" si="7"/>
        <v>0.30490425381989039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428.61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-246.39</v>
      </c>
      <c r="M29" s="2"/>
      <c r="N29" s="7">
        <f t="shared" si="3"/>
        <v>-0.36502222222222219</v>
      </c>
      <c r="O29" s="11"/>
      <c r="P29" s="6">
        <v>2199.66</v>
      </c>
      <c r="Q29" s="2"/>
      <c r="R29" s="7">
        <f t="shared" si="4"/>
        <v>0</v>
      </c>
      <c r="S29" s="2"/>
      <c r="T29" s="6">
        <v>4050</v>
      </c>
      <c r="U29" s="2"/>
      <c r="V29" s="7">
        <f t="shared" si="5"/>
        <v>0</v>
      </c>
      <c r="W29" s="2"/>
      <c r="X29" s="6">
        <f t="shared" si="6"/>
        <v>-1850.3400000000001</v>
      </c>
      <c r="Y29" s="2"/>
      <c r="Z29" s="7">
        <f t="shared" si="7"/>
        <v>-0.4568740740740741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24807.550000000003</v>
      </c>
      <c r="E30" s="1"/>
      <c r="F30" s="5">
        <f t="shared" ref="F30:F40" si="8">IF(D$12=0,0,D30/D$12)</f>
        <v>0</v>
      </c>
      <c r="G30" s="1"/>
      <c r="H30" s="1">
        <f>SUM(OSRRefH22_1x_0)</f>
        <v>25545.139276923081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-737.5892769230777</v>
      </c>
      <c r="M30" s="1"/>
      <c r="N30" s="5">
        <f t="shared" ref="N30:N40" si="11">IF(H30=0,0,L30/H30)</f>
        <v>-2.8873957934901523E-2</v>
      </c>
      <c r="O30" s="13"/>
      <c r="P30" s="1">
        <f>SUM(OSRRefP22_1x_0)</f>
        <v>164164.9</v>
      </c>
      <c r="Q30" s="1"/>
      <c r="R30" s="5">
        <f t="shared" ref="R30:R40" si="12">IF(P$12=0,0,P30/P$12)</f>
        <v>0</v>
      </c>
      <c r="S30" s="1"/>
      <c r="T30" s="1">
        <f>SUM(OSRRefT22_1x_0)</f>
        <v>169365.77640000003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-5200.8764000000374</v>
      </c>
      <c r="Y30" s="1"/>
      <c r="Z30" s="5">
        <f t="shared" ref="Z30:Z40" si="15">IF(T30=0,0,X30/T30)</f>
        <v>-3.070795358158342E-2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7932.49</v>
      </c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17.3361538461495</v>
      </c>
      <c r="M31" s="2"/>
      <c r="N31" s="7">
        <f t="shared" si="11"/>
        <v>2.1902485009275626E-3</v>
      </c>
      <c r="O31" s="11"/>
      <c r="P31" s="6">
        <v>48476.34</v>
      </c>
      <c r="Q31" s="2"/>
      <c r="R31" s="7">
        <f t="shared" si="12"/>
        <v>0</v>
      </c>
      <c r="S31" s="2"/>
      <c r="T31" s="6">
        <v>51448.500000000022</v>
      </c>
      <c r="U31" s="2"/>
      <c r="V31" s="7">
        <f t="shared" si="13"/>
        <v>0</v>
      </c>
      <c r="W31" s="2"/>
      <c r="X31" s="6">
        <f t="shared" si="14"/>
        <v>-2972.1600000000253</v>
      </c>
      <c r="Y31" s="2"/>
      <c r="Z31" s="7">
        <f t="shared" si="15"/>
        <v>-5.7769614274469111E-2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3776.3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214.48076923077042</v>
      </c>
      <c r="M32" s="2"/>
      <c r="N32" s="7">
        <f t="shared" si="11"/>
        <v>6.0216635189666821E-2</v>
      </c>
      <c r="O32" s="11"/>
      <c r="P32" s="6">
        <v>26462.649999999998</v>
      </c>
      <c r="Q32" s="2"/>
      <c r="R32" s="7">
        <f t="shared" si="12"/>
        <v>0</v>
      </c>
      <c r="S32" s="2"/>
      <c r="T32" s="6">
        <v>23151.825000000001</v>
      </c>
      <c r="U32" s="2"/>
      <c r="V32" s="7">
        <f t="shared" si="13"/>
        <v>0</v>
      </c>
      <c r="W32" s="2"/>
      <c r="X32" s="6">
        <f t="shared" si="14"/>
        <v>3310.8249999999971</v>
      </c>
      <c r="Y32" s="2"/>
      <c r="Z32" s="7">
        <f t="shared" si="15"/>
        <v>0.14300492509769736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1730.4</v>
      </c>
      <c r="E34" s="2"/>
      <c r="F34" s="7">
        <f t="shared" si="8"/>
        <v>0</v>
      </c>
      <c r="G34" s="2"/>
      <c r="H34" s="6">
        <v>4828.1661999999997</v>
      </c>
      <c r="I34" s="2"/>
      <c r="J34" s="7">
        <f t="shared" si="9"/>
        <v>0</v>
      </c>
      <c r="K34" s="2"/>
      <c r="L34" s="6">
        <f t="shared" si="10"/>
        <v>-3097.7661999999996</v>
      </c>
      <c r="M34" s="2"/>
      <c r="N34" s="7">
        <f t="shared" si="11"/>
        <v>-0.64160305832056896</v>
      </c>
      <c r="O34" s="11"/>
      <c r="P34" s="6">
        <v>13727.84</v>
      </c>
      <c r="Q34" s="2"/>
      <c r="R34" s="7">
        <f t="shared" si="12"/>
        <v>0</v>
      </c>
      <c r="S34" s="2"/>
      <c r="T34" s="6">
        <v>35125.451399999998</v>
      </c>
      <c r="U34" s="2"/>
      <c r="V34" s="7">
        <f t="shared" si="13"/>
        <v>0</v>
      </c>
      <c r="W34" s="2"/>
      <c r="X34" s="6">
        <f t="shared" si="14"/>
        <v>-21397.611399999998</v>
      </c>
      <c r="Y34" s="2"/>
      <c r="Z34" s="7">
        <f t="shared" si="15"/>
        <v>-0.60917683751104756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10087.86</v>
      </c>
      <c r="E35" s="2"/>
      <c r="F35" s="7">
        <f t="shared" si="8"/>
        <v>0</v>
      </c>
      <c r="G35" s="2"/>
      <c r="H35" s="6">
        <v>7560</v>
      </c>
      <c r="I35" s="2"/>
      <c r="J35" s="7">
        <f t="shared" si="9"/>
        <v>0</v>
      </c>
      <c r="K35" s="2"/>
      <c r="L35" s="6">
        <f t="shared" si="10"/>
        <v>2527.8600000000006</v>
      </c>
      <c r="M35" s="2"/>
      <c r="N35" s="7">
        <f t="shared" si="11"/>
        <v>0.33437301587301593</v>
      </c>
      <c r="O35" s="11"/>
      <c r="P35" s="6">
        <v>63646.749999999993</v>
      </c>
      <c r="Q35" s="2"/>
      <c r="R35" s="7">
        <f t="shared" si="12"/>
        <v>0</v>
      </c>
      <c r="S35" s="2"/>
      <c r="T35" s="6">
        <v>49560</v>
      </c>
      <c r="U35" s="2"/>
      <c r="V35" s="7">
        <f t="shared" si="13"/>
        <v>0</v>
      </c>
      <c r="W35" s="2"/>
      <c r="X35" s="6">
        <f t="shared" si="14"/>
        <v>14086.749999999993</v>
      </c>
      <c r="Y35" s="2"/>
      <c r="Z35" s="7">
        <f t="shared" si="15"/>
        <v>0.28423627925746553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1280.5</v>
      </c>
      <c r="E37" s="2"/>
      <c r="F37" s="7">
        <f t="shared" si="8"/>
        <v>0</v>
      </c>
      <c r="G37" s="2"/>
      <c r="H37" s="6">
        <v>1680</v>
      </c>
      <c r="I37" s="2"/>
      <c r="J37" s="7">
        <f t="shared" si="9"/>
        <v>0</v>
      </c>
      <c r="K37" s="2"/>
      <c r="L37" s="6">
        <f t="shared" si="10"/>
        <v>-399.5</v>
      </c>
      <c r="M37" s="2"/>
      <c r="N37" s="7">
        <f t="shared" si="11"/>
        <v>-0.23779761904761904</v>
      </c>
      <c r="O37" s="11"/>
      <c r="P37" s="6">
        <v>10614.44</v>
      </c>
      <c r="Q37" s="2"/>
      <c r="R37" s="7">
        <f t="shared" si="12"/>
        <v>0</v>
      </c>
      <c r="S37" s="2"/>
      <c r="T37" s="6">
        <v>5040</v>
      </c>
      <c r="U37" s="2"/>
      <c r="V37" s="7">
        <f t="shared" si="13"/>
        <v>0</v>
      </c>
      <c r="W37" s="2"/>
      <c r="X37" s="6">
        <f t="shared" si="14"/>
        <v>5574.4400000000005</v>
      </c>
      <c r="Y37" s="2"/>
      <c r="Z37" s="7">
        <f t="shared" si="15"/>
        <v>1.1060396825396825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5040</v>
      </c>
      <c r="U38" s="2"/>
      <c r="V38" s="7">
        <f t="shared" si="13"/>
        <v>0</v>
      </c>
      <c r="W38" s="2"/>
      <c r="X38" s="6">
        <f t="shared" si="14"/>
        <v>-5040</v>
      </c>
      <c r="Y38" s="2"/>
      <c r="Z38" s="7">
        <f t="shared" si="15"/>
        <v>-1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443.49</v>
      </c>
      <c r="E41" s="1"/>
      <c r="F41" s="5">
        <f t="shared" ref="F41:F47" si="16">IF(D$12=0,0,D41/D$12)</f>
        <v>0</v>
      </c>
      <c r="G41" s="1"/>
      <c r="H41" s="1">
        <f>SUM(OSRRefH22_2x_0)</f>
        <v>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443.49</v>
      </c>
      <c r="M41" s="1"/>
      <c r="N41" s="5">
        <f t="shared" ref="N41:N47" si="19">IF(H41=0,0,L41/H41)</f>
        <v>0</v>
      </c>
      <c r="O41" s="13"/>
      <c r="P41" s="1">
        <f>SUM(OSRRefP22_2x_0)</f>
        <v>3117.4</v>
      </c>
      <c r="Q41" s="1"/>
      <c r="R41" s="5">
        <f t="shared" ref="R41:R47" si="20">IF(P$12=0,0,P41/P$12)</f>
        <v>0</v>
      </c>
      <c r="S41" s="1"/>
      <c r="T41" s="1">
        <f>SUM(OSRRefT22_2x_0)</f>
        <v>1400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1717.4</v>
      </c>
      <c r="Y41" s="1"/>
      <c r="Z41" s="5">
        <f t="shared" ref="Z41:Z47" si="23">IF(T41=0,0,X41/T41)</f>
        <v>1.2267142857142859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443.49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443.49</v>
      </c>
      <c r="M42" s="2"/>
      <c r="N42" s="7">
        <f t="shared" si="19"/>
        <v>0</v>
      </c>
      <c r="O42" s="11"/>
      <c r="P42" s="6">
        <v>3117.4</v>
      </c>
      <c r="Q42" s="2"/>
      <c r="R42" s="7">
        <f t="shared" si="20"/>
        <v>0</v>
      </c>
      <c r="S42" s="2"/>
      <c r="T42" s="6">
        <v>1400</v>
      </c>
      <c r="U42" s="2"/>
      <c r="V42" s="7">
        <f t="shared" si="21"/>
        <v>0</v>
      </c>
      <c r="W42" s="2"/>
      <c r="X42" s="6">
        <f t="shared" si="22"/>
        <v>1717.4</v>
      </c>
      <c r="Y42" s="2"/>
      <c r="Z42" s="7">
        <f t="shared" si="23"/>
        <v>1.2267142857142859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7262.6799999999994</v>
      </c>
      <c r="E43" s="1"/>
      <c r="F43" s="5">
        <f t="shared" si="16"/>
        <v>0</v>
      </c>
      <c r="G43" s="1"/>
      <c r="H43" s="1">
        <f>SUM(OSRRefH22_3x_0)</f>
        <v>7307</v>
      </c>
      <c r="I43" s="1"/>
      <c r="J43" s="5">
        <f t="shared" si="17"/>
        <v>0</v>
      </c>
      <c r="K43" s="1"/>
      <c r="L43" s="1">
        <f t="shared" si="18"/>
        <v>-44.320000000000618</v>
      </c>
      <c r="M43" s="1"/>
      <c r="N43" s="5">
        <f t="shared" si="19"/>
        <v>-6.0654167236896973E-3</v>
      </c>
      <c r="O43" s="13"/>
      <c r="P43" s="1">
        <f>SUM(OSRRefP22_3x_0)</f>
        <v>41370.880000000005</v>
      </c>
      <c r="Q43" s="1"/>
      <c r="R43" s="5">
        <f t="shared" si="20"/>
        <v>0</v>
      </c>
      <c r="S43" s="1"/>
      <c r="T43" s="1">
        <f>SUM(OSRRefT22_3x_0)</f>
        <v>40314</v>
      </c>
      <c r="U43" s="1"/>
      <c r="V43" s="5">
        <f t="shared" si="21"/>
        <v>0</v>
      </c>
      <c r="W43" s="1"/>
      <c r="X43" s="1">
        <f t="shared" si="22"/>
        <v>1056.8800000000047</v>
      </c>
      <c r="Y43" s="1"/>
      <c r="Z43" s="5">
        <f t="shared" si="23"/>
        <v>2.621620280795765E-2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723</v>
      </c>
      <c r="I44" s="2"/>
      <c r="J44" s="7">
        <f t="shared" si="17"/>
        <v>0</v>
      </c>
      <c r="K44" s="2"/>
      <c r="L44" s="6">
        <f t="shared" si="18"/>
        <v>1543.9499999999998</v>
      </c>
      <c r="M44" s="2"/>
      <c r="N44" s="7">
        <f t="shared" si="19"/>
        <v>2.1354771784232365</v>
      </c>
      <c r="O44" s="11"/>
      <c r="P44" s="6">
        <v>13601.7</v>
      </c>
      <c r="Q44" s="2"/>
      <c r="R44" s="7">
        <f t="shared" si="20"/>
        <v>0</v>
      </c>
      <c r="S44" s="2"/>
      <c r="T44" s="6">
        <v>4584</v>
      </c>
      <c r="U44" s="2"/>
      <c r="V44" s="7">
        <f t="shared" si="21"/>
        <v>0</v>
      </c>
      <c r="W44" s="2"/>
      <c r="X44" s="6">
        <f t="shared" si="22"/>
        <v>9017.7000000000007</v>
      </c>
      <c r="Y44" s="2"/>
      <c r="Z44" s="7">
        <f t="shared" si="23"/>
        <v>1.9672120418848169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4571.4799999999996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-330.52000000000044</v>
      </c>
      <c r="M45" s="2"/>
      <c r="N45" s="7">
        <f t="shared" si="19"/>
        <v>-6.7425540595675321E-2</v>
      </c>
      <c r="O45" s="11"/>
      <c r="P45" s="6">
        <v>25223.68</v>
      </c>
      <c r="Q45" s="2"/>
      <c r="R45" s="7">
        <f t="shared" si="20"/>
        <v>0</v>
      </c>
      <c r="S45" s="2"/>
      <c r="T45" s="6">
        <v>29412</v>
      </c>
      <c r="U45" s="2"/>
      <c r="V45" s="7">
        <f t="shared" si="21"/>
        <v>0</v>
      </c>
      <c r="W45" s="2"/>
      <c r="X45" s="6">
        <f t="shared" si="22"/>
        <v>-4188.32</v>
      </c>
      <c r="Y45" s="2"/>
      <c r="Z45" s="7">
        <f t="shared" si="23"/>
        <v>-0.14240174078607371</v>
      </c>
    </row>
    <row r="46" spans="1:26" s="24" customFormat="1" hidden="1" outlineLevel="2" x14ac:dyDescent="0.25">
      <c r="A46" s="26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16"/>
        <v>0</v>
      </c>
      <c r="G46" s="2"/>
      <c r="H46" s="6">
        <v>258</v>
      </c>
      <c r="I46" s="2"/>
      <c r="J46" s="7">
        <f t="shared" si="17"/>
        <v>0</v>
      </c>
      <c r="K46" s="2"/>
      <c r="L46" s="6">
        <f t="shared" si="18"/>
        <v>-258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774</v>
      </c>
      <c r="U46" s="2"/>
      <c r="V46" s="7">
        <f t="shared" si="21"/>
        <v>0</v>
      </c>
      <c r="W46" s="2"/>
      <c r="X46" s="6">
        <f t="shared" si="22"/>
        <v>-774</v>
      </c>
      <c r="Y46" s="2"/>
      <c r="Z46" s="7">
        <f t="shared" si="23"/>
        <v>-1</v>
      </c>
    </row>
    <row r="47" spans="1:26" s="24" customFormat="1" hidden="1" outlineLevel="2" x14ac:dyDescent="0.25">
      <c r="A47" s="26"/>
      <c r="B47" s="11" t="str">
        <f>CONCATENATE("          ", "6326", " - ", "VEHICLES DEPRECIATION EXPENSE")</f>
        <v xml:space="preserve">          6326 - VEHICLES DEPRECIATION EXPENSE</v>
      </c>
      <c r="C47" s="11"/>
      <c r="D47" s="6">
        <v>424.25</v>
      </c>
      <c r="E47" s="2"/>
      <c r="F47" s="7">
        <f t="shared" si="16"/>
        <v>0</v>
      </c>
      <c r="G47" s="2"/>
      <c r="H47" s="6">
        <v>1424</v>
      </c>
      <c r="I47" s="2"/>
      <c r="J47" s="7">
        <f t="shared" si="17"/>
        <v>0</v>
      </c>
      <c r="K47" s="2"/>
      <c r="L47" s="6">
        <f t="shared" si="18"/>
        <v>-999.75</v>
      </c>
      <c r="M47" s="2"/>
      <c r="N47" s="7">
        <f t="shared" si="19"/>
        <v>-0.70207162921348309</v>
      </c>
      <c r="O47" s="11"/>
      <c r="P47" s="6">
        <v>2545.5</v>
      </c>
      <c r="Q47" s="2"/>
      <c r="R47" s="7">
        <f t="shared" si="20"/>
        <v>0</v>
      </c>
      <c r="S47" s="2"/>
      <c r="T47" s="6">
        <v>5544</v>
      </c>
      <c r="U47" s="2"/>
      <c r="V47" s="7">
        <f t="shared" si="21"/>
        <v>0</v>
      </c>
      <c r="W47" s="2"/>
      <c r="X47" s="6">
        <f t="shared" si="22"/>
        <v>-2998.5</v>
      </c>
      <c r="Y47" s="2"/>
      <c r="Z47" s="7">
        <f t="shared" si="23"/>
        <v>-0.54085497835497831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0</v>
      </c>
      <c r="E48" s="1"/>
      <c r="F48" s="5">
        <f t="shared" ref="F48:F63" si="24">IF(D$12=0,0,D48/D$12)</f>
        <v>0</v>
      </c>
      <c r="G48" s="1"/>
      <c r="H48" s="1">
        <f>SUM(OSRRefH22_4x_0)</f>
        <v>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0</v>
      </c>
      <c r="M48" s="1"/>
      <c r="N48" s="5">
        <f t="shared" ref="N48:N63" si="27">IF(H48=0,0,L48/H48)</f>
        <v>0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1000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-836.31999999999994</v>
      </c>
      <c r="Y48" s="1"/>
      <c r="Z48" s="5">
        <f t="shared" ref="Z48:Z63" si="31">IF(T48=0,0,X48/T48)</f>
        <v>-0.83631999999999995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>
        <v>163.68</v>
      </c>
      <c r="Q49" s="2"/>
      <c r="R49" s="7">
        <f t="shared" si="28"/>
        <v>0</v>
      </c>
      <c r="S49" s="2"/>
      <c r="T49" s="6">
        <v>1000</v>
      </c>
      <c r="U49" s="2"/>
      <c r="V49" s="7">
        <f t="shared" si="29"/>
        <v>0</v>
      </c>
      <c r="W49" s="2"/>
      <c r="X49" s="6">
        <f t="shared" si="30"/>
        <v>-836.31999999999994</v>
      </c>
      <c r="Y49" s="2"/>
      <c r="Z49" s="7">
        <f t="shared" si="31"/>
        <v>-0.83631999999999995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47.01</v>
      </c>
      <c r="E50" s="1"/>
      <c r="F50" s="5">
        <f t="shared" si="24"/>
        <v>0</v>
      </c>
      <c r="G50" s="1"/>
      <c r="H50" s="1">
        <f>SUM(OSRRefH22_5x_0)</f>
        <v>500</v>
      </c>
      <c r="I50" s="1"/>
      <c r="J50" s="5">
        <f t="shared" si="25"/>
        <v>0</v>
      </c>
      <c r="K50" s="1"/>
      <c r="L50" s="1">
        <f t="shared" si="26"/>
        <v>-452.99</v>
      </c>
      <c r="M50" s="1"/>
      <c r="N50" s="5">
        <f t="shared" si="27"/>
        <v>-0.90598000000000001</v>
      </c>
      <c r="O50" s="13"/>
      <c r="P50" s="1">
        <f>SUM(OSRRefP22_5x_0)</f>
        <v>366.16</v>
      </c>
      <c r="Q50" s="1"/>
      <c r="R50" s="5">
        <f t="shared" si="28"/>
        <v>0</v>
      </c>
      <c r="S50" s="1"/>
      <c r="T50" s="1">
        <f>SUM(OSRRefT22_5x_0)</f>
        <v>900</v>
      </c>
      <c r="U50" s="1"/>
      <c r="V50" s="5">
        <f t="shared" si="29"/>
        <v>0</v>
      </c>
      <c r="W50" s="1"/>
      <c r="X50" s="1">
        <f t="shared" si="30"/>
        <v>-533.83999999999992</v>
      </c>
      <c r="Y50" s="1"/>
      <c r="Z50" s="5">
        <f t="shared" si="31"/>
        <v>-0.59315555555555544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>
        <v>47.01</v>
      </c>
      <c r="E51" s="2"/>
      <c r="F51" s="7">
        <f t="shared" si="24"/>
        <v>0</v>
      </c>
      <c r="G51" s="2"/>
      <c r="H51" s="6">
        <v>500</v>
      </c>
      <c r="I51" s="2"/>
      <c r="J51" s="7">
        <f t="shared" si="25"/>
        <v>0</v>
      </c>
      <c r="K51" s="2"/>
      <c r="L51" s="6">
        <f t="shared" si="26"/>
        <v>-452.99</v>
      </c>
      <c r="M51" s="2"/>
      <c r="N51" s="7">
        <f t="shared" si="27"/>
        <v>-0.90598000000000001</v>
      </c>
      <c r="O51" s="11"/>
      <c r="P51" s="6">
        <v>366.16</v>
      </c>
      <c r="Q51" s="2"/>
      <c r="R51" s="7">
        <f t="shared" si="28"/>
        <v>0</v>
      </c>
      <c r="S51" s="2"/>
      <c r="T51" s="6">
        <v>900</v>
      </c>
      <c r="U51" s="2"/>
      <c r="V51" s="7">
        <f t="shared" si="29"/>
        <v>0</v>
      </c>
      <c r="W51" s="2"/>
      <c r="X51" s="6">
        <f t="shared" si="30"/>
        <v>-533.83999999999992</v>
      </c>
      <c r="Y51" s="2"/>
      <c r="Z51" s="7">
        <f t="shared" si="31"/>
        <v>-0.59315555555555544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1085.58</v>
      </c>
      <c r="E52" s="1"/>
      <c r="F52" s="5">
        <f t="shared" si="24"/>
        <v>0</v>
      </c>
      <c r="G52" s="1"/>
      <c r="H52" s="1">
        <f>SUM(OSRRefH22_6x_0)</f>
        <v>600</v>
      </c>
      <c r="I52" s="1"/>
      <c r="J52" s="5">
        <f t="shared" si="25"/>
        <v>0</v>
      </c>
      <c r="K52" s="1"/>
      <c r="L52" s="1">
        <f t="shared" si="26"/>
        <v>485.57999999999993</v>
      </c>
      <c r="M52" s="1"/>
      <c r="N52" s="5">
        <f t="shared" si="27"/>
        <v>0.80929999999999991</v>
      </c>
      <c r="O52" s="13"/>
      <c r="P52" s="1">
        <f>SUM(OSRRefP22_6x_0)</f>
        <v>6596.19</v>
      </c>
      <c r="Q52" s="1"/>
      <c r="R52" s="5">
        <f t="shared" si="28"/>
        <v>0</v>
      </c>
      <c r="S52" s="1"/>
      <c r="T52" s="1">
        <f>SUM(OSRRefT22_6x_0)</f>
        <v>6400</v>
      </c>
      <c r="U52" s="1"/>
      <c r="V52" s="5">
        <f t="shared" si="29"/>
        <v>0</v>
      </c>
      <c r="W52" s="1"/>
      <c r="X52" s="1">
        <f t="shared" si="30"/>
        <v>196.1899999999996</v>
      </c>
      <c r="Y52" s="1"/>
      <c r="Z52" s="5">
        <f t="shared" si="31"/>
        <v>3.0654687499999937E-2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1085.58</v>
      </c>
      <c r="E53" s="2"/>
      <c r="F53" s="7">
        <f t="shared" si="24"/>
        <v>0</v>
      </c>
      <c r="G53" s="2"/>
      <c r="H53" s="6">
        <v>600</v>
      </c>
      <c r="I53" s="2"/>
      <c r="J53" s="7">
        <f t="shared" si="25"/>
        <v>0</v>
      </c>
      <c r="K53" s="2"/>
      <c r="L53" s="6">
        <f t="shared" si="26"/>
        <v>485.57999999999993</v>
      </c>
      <c r="M53" s="2"/>
      <c r="N53" s="7">
        <f t="shared" si="27"/>
        <v>0.80929999999999991</v>
      </c>
      <c r="O53" s="11"/>
      <c r="P53" s="6">
        <v>6596.19</v>
      </c>
      <c r="Q53" s="2"/>
      <c r="R53" s="7">
        <f t="shared" si="28"/>
        <v>0</v>
      </c>
      <c r="S53" s="2"/>
      <c r="T53" s="6">
        <v>6400</v>
      </c>
      <c r="U53" s="2"/>
      <c r="V53" s="7">
        <f t="shared" si="29"/>
        <v>0</v>
      </c>
      <c r="W53" s="2"/>
      <c r="X53" s="6">
        <f t="shared" si="30"/>
        <v>196.1899999999996</v>
      </c>
      <c r="Y53" s="2"/>
      <c r="Z53" s="7">
        <f t="shared" si="31"/>
        <v>3.0654687499999937E-2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43.9</v>
      </c>
      <c r="E54" s="1"/>
      <c r="F54" s="5">
        <f t="shared" si="24"/>
        <v>0</v>
      </c>
      <c r="G54" s="1"/>
      <c r="H54" s="1">
        <f>SUM(OSRRefH22_7x_0)</f>
        <v>1000</v>
      </c>
      <c r="I54" s="1"/>
      <c r="J54" s="5">
        <f t="shared" si="25"/>
        <v>0</v>
      </c>
      <c r="K54" s="1"/>
      <c r="L54" s="1">
        <f t="shared" si="26"/>
        <v>-956.1</v>
      </c>
      <c r="M54" s="1"/>
      <c r="N54" s="5">
        <f t="shared" si="27"/>
        <v>-0.95610000000000006</v>
      </c>
      <c r="O54" s="13"/>
      <c r="P54" s="1">
        <f>SUM(OSRRefP22_7x_0)</f>
        <v>20070.129999999997</v>
      </c>
      <c r="Q54" s="1"/>
      <c r="R54" s="5">
        <f t="shared" si="28"/>
        <v>0</v>
      </c>
      <c r="S54" s="1"/>
      <c r="T54" s="1">
        <f>SUM(OSRRefT22_7x_0)</f>
        <v>4000</v>
      </c>
      <c r="U54" s="1"/>
      <c r="V54" s="5">
        <f t="shared" si="29"/>
        <v>0</v>
      </c>
      <c r="W54" s="1"/>
      <c r="X54" s="1">
        <f t="shared" si="30"/>
        <v>16070.129999999997</v>
      </c>
      <c r="Y54" s="1"/>
      <c r="Z54" s="5">
        <f t="shared" si="31"/>
        <v>4.0175324999999997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>
        <v>43.9</v>
      </c>
      <c r="E55" s="2"/>
      <c r="F55" s="7">
        <f t="shared" si="24"/>
        <v>0</v>
      </c>
      <c r="G55" s="2"/>
      <c r="H55" s="6">
        <v>1000</v>
      </c>
      <c r="I55" s="2"/>
      <c r="J55" s="7">
        <f t="shared" si="25"/>
        <v>0</v>
      </c>
      <c r="K55" s="2"/>
      <c r="L55" s="6">
        <f t="shared" si="26"/>
        <v>-956.1</v>
      </c>
      <c r="M55" s="2"/>
      <c r="N55" s="7">
        <f t="shared" si="27"/>
        <v>-0.95610000000000006</v>
      </c>
      <c r="O55" s="11"/>
      <c r="P55" s="6">
        <v>20070.129999999997</v>
      </c>
      <c r="Q55" s="2"/>
      <c r="R55" s="7">
        <f t="shared" si="28"/>
        <v>0</v>
      </c>
      <c r="S55" s="2"/>
      <c r="T55" s="6">
        <v>4000</v>
      </c>
      <c r="U55" s="2"/>
      <c r="V55" s="7">
        <f t="shared" si="29"/>
        <v>0</v>
      </c>
      <c r="W55" s="2"/>
      <c r="X55" s="6">
        <f t="shared" si="30"/>
        <v>16070.129999999997</v>
      </c>
      <c r="Y55" s="2"/>
      <c r="Z55" s="7">
        <f t="shared" si="31"/>
        <v>4.0175324999999997</v>
      </c>
    </row>
    <row r="56" spans="1:26" s="25" customFormat="1" outlineLevel="1" collapsed="1" x14ac:dyDescent="0.25">
      <c r="A56" s="27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3598.85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198.84999999999991</v>
      </c>
      <c r="M56" s="1"/>
      <c r="N56" s="5">
        <f t="shared" si="27"/>
        <v>5.8485294117647031E-2</v>
      </c>
      <c r="O56" s="13"/>
      <c r="P56" s="1">
        <f>SUM(OSRRefP22_8x_0)</f>
        <v>21593.1</v>
      </c>
      <c r="Q56" s="1"/>
      <c r="R56" s="5">
        <f t="shared" si="28"/>
        <v>0</v>
      </c>
      <c r="S56" s="1"/>
      <c r="T56" s="1">
        <f>SUM(OSRRefT22_8x_0)</f>
        <v>20400</v>
      </c>
      <c r="U56" s="1"/>
      <c r="V56" s="5">
        <f t="shared" si="29"/>
        <v>0</v>
      </c>
      <c r="W56" s="1"/>
      <c r="X56" s="1">
        <f t="shared" si="30"/>
        <v>1193.0999999999985</v>
      </c>
      <c r="Y56" s="1"/>
      <c r="Z56" s="5">
        <f t="shared" si="31"/>
        <v>5.848529411764699E-2</v>
      </c>
    </row>
    <row r="57" spans="1:26" s="24" customFormat="1" hidden="1" outlineLevel="2" x14ac:dyDescent="0.25">
      <c r="A57" s="26"/>
      <c r="B57" s="11" t="str">
        <f>CONCATENATE("          ", "6314", " - ", "LIABILITY INSURANCE")</f>
        <v xml:space="preserve">          6314 - LIABILITY INSURANCE</v>
      </c>
      <c r="C57" s="11"/>
      <c r="D57" s="6">
        <v>3598.85</v>
      </c>
      <c r="E57" s="2"/>
      <c r="F57" s="7">
        <f t="shared" si="24"/>
        <v>0</v>
      </c>
      <c r="G57" s="2"/>
      <c r="H57" s="6">
        <v>3400</v>
      </c>
      <c r="I57" s="2"/>
      <c r="J57" s="7">
        <f t="shared" si="25"/>
        <v>0</v>
      </c>
      <c r="K57" s="2"/>
      <c r="L57" s="6">
        <f t="shared" si="26"/>
        <v>198.84999999999991</v>
      </c>
      <c r="M57" s="2"/>
      <c r="N57" s="7">
        <f t="shared" si="27"/>
        <v>5.8485294117647031E-2</v>
      </c>
      <c r="O57" s="11"/>
      <c r="P57" s="6">
        <v>21593.1</v>
      </c>
      <c r="Q57" s="2"/>
      <c r="R57" s="7">
        <f t="shared" si="28"/>
        <v>0</v>
      </c>
      <c r="S57" s="2"/>
      <c r="T57" s="6">
        <v>20400</v>
      </c>
      <c r="U57" s="2"/>
      <c r="V57" s="7">
        <f t="shared" si="29"/>
        <v>0</v>
      </c>
      <c r="W57" s="2"/>
      <c r="X57" s="6">
        <f t="shared" si="30"/>
        <v>1193.0999999999985</v>
      </c>
      <c r="Y57" s="2"/>
      <c r="Z57" s="7">
        <f t="shared" si="31"/>
        <v>5.848529411764699E-2</v>
      </c>
    </row>
    <row r="58" spans="1:26" s="25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6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125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125</v>
      </c>
      <c r="Y59" s="2"/>
      <c r="Z59" s="7">
        <f t="shared" si="31"/>
        <v>0</v>
      </c>
    </row>
    <row r="60" spans="1:26" s="25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14738.580000000002</v>
      </c>
      <c r="E60" s="1"/>
      <c r="F60" s="5">
        <f t="shared" si="24"/>
        <v>0</v>
      </c>
      <c r="G60" s="1"/>
      <c r="H60" s="1">
        <f>SUM(OSRRefH22_10x_0)</f>
        <v>21200</v>
      </c>
      <c r="I60" s="1"/>
      <c r="J60" s="5">
        <f t="shared" si="25"/>
        <v>0</v>
      </c>
      <c r="K60" s="1"/>
      <c r="L60" s="1">
        <f t="shared" si="26"/>
        <v>-6461.4199999999983</v>
      </c>
      <c r="M60" s="1"/>
      <c r="N60" s="5">
        <f t="shared" si="27"/>
        <v>-0.30478396226415089</v>
      </c>
      <c r="O60" s="13"/>
      <c r="P60" s="1">
        <f>SUM(OSRRefP22_10x_0)</f>
        <v>63656.14</v>
      </c>
      <c r="Q60" s="1"/>
      <c r="R60" s="5">
        <f t="shared" si="28"/>
        <v>0</v>
      </c>
      <c r="S60" s="1"/>
      <c r="T60" s="1">
        <f>SUM(OSRRefT22_10x_0)</f>
        <v>98200</v>
      </c>
      <c r="U60" s="1"/>
      <c r="V60" s="5">
        <f t="shared" si="29"/>
        <v>0</v>
      </c>
      <c r="W60" s="1"/>
      <c r="X60" s="1">
        <f t="shared" si="30"/>
        <v>-34543.86</v>
      </c>
      <c r="Y60" s="1"/>
      <c r="Z60" s="5">
        <f t="shared" si="31"/>
        <v>-0.3517704684317719</v>
      </c>
    </row>
    <row r="61" spans="1:26" s="24" customFormat="1" hidden="1" outlineLevel="2" x14ac:dyDescent="0.25">
      <c r="A61" s="26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/>
      <c r="Q61" s="2"/>
      <c r="R61" s="7">
        <f t="shared" si="28"/>
        <v>0</v>
      </c>
      <c r="S61" s="2"/>
      <c r="T61" s="6">
        <v>1000</v>
      </c>
      <c r="U61" s="2"/>
      <c r="V61" s="7">
        <f t="shared" si="29"/>
        <v>0</v>
      </c>
      <c r="W61" s="2"/>
      <c r="X61" s="6">
        <f t="shared" si="30"/>
        <v>-1000</v>
      </c>
      <c r="Y61" s="2"/>
      <c r="Z61" s="7">
        <f t="shared" si="31"/>
        <v>-1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6">
        <v>9288.44</v>
      </c>
      <c r="E62" s="2"/>
      <c r="F62" s="7">
        <f t="shared" si="24"/>
        <v>0</v>
      </c>
      <c r="G62" s="2"/>
      <c r="H62" s="6">
        <v>1200</v>
      </c>
      <c r="I62" s="2"/>
      <c r="J62" s="7">
        <f t="shared" si="25"/>
        <v>0</v>
      </c>
      <c r="K62" s="2"/>
      <c r="L62" s="6">
        <f t="shared" si="26"/>
        <v>8088.4400000000005</v>
      </c>
      <c r="M62" s="2"/>
      <c r="N62" s="7">
        <f t="shared" si="27"/>
        <v>6.7403666666666675</v>
      </c>
      <c r="O62" s="11"/>
      <c r="P62" s="6">
        <v>38499.58</v>
      </c>
      <c r="Q62" s="2"/>
      <c r="R62" s="7">
        <f t="shared" si="28"/>
        <v>0</v>
      </c>
      <c r="S62" s="2"/>
      <c r="T62" s="6">
        <v>7200</v>
      </c>
      <c r="U62" s="2"/>
      <c r="V62" s="7">
        <f t="shared" si="29"/>
        <v>0</v>
      </c>
      <c r="W62" s="2"/>
      <c r="X62" s="6">
        <f t="shared" si="30"/>
        <v>31299.58</v>
      </c>
      <c r="Y62" s="2"/>
      <c r="Z62" s="7">
        <f t="shared" si="31"/>
        <v>4.3471638888888888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5450.14</v>
      </c>
      <c r="E63" s="2"/>
      <c r="F63" s="7">
        <f t="shared" si="24"/>
        <v>0</v>
      </c>
      <c r="G63" s="2"/>
      <c r="H63" s="6">
        <v>20000</v>
      </c>
      <c r="I63" s="2"/>
      <c r="J63" s="7">
        <f t="shared" si="25"/>
        <v>0</v>
      </c>
      <c r="K63" s="2"/>
      <c r="L63" s="6">
        <f t="shared" si="26"/>
        <v>-14549.86</v>
      </c>
      <c r="M63" s="2"/>
      <c r="N63" s="7">
        <f t="shared" si="27"/>
        <v>-0.72749300000000006</v>
      </c>
      <c r="O63" s="11"/>
      <c r="P63" s="6">
        <v>25156.560000000001</v>
      </c>
      <c r="Q63" s="2"/>
      <c r="R63" s="7">
        <f t="shared" si="28"/>
        <v>0</v>
      </c>
      <c r="S63" s="2"/>
      <c r="T63" s="6">
        <v>90000</v>
      </c>
      <c r="U63" s="2"/>
      <c r="V63" s="7">
        <f t="shared" si="29"/>
        <v>0</v>
      </c>
      <c r="W63" s="2"/>
      <c r="X63" s="6">
        <f t="shared" si="30"/>
        <v>-64843.44</v>
      </c>
      <c r="Y63" s="2"/>
      <c r="Z63" s="7">
        <f t="shared" si="31"/>
        <v>-0.72048266666666672</v>
      </c>
    </row>
    <row r="64" spans="1:26" s="25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18900.55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5215.5499999999993</v>
      </c>
      <c r="M64" s="1"/>
      <c r="N64" s="5">
        <f t="shared" ref="N64:N69" si="35">IF(H64=0,0,L64/H64)</f>
        <v>0.38111435878699301</v>
      </c>
      <c r="O64" s="13"/>
      <c r="P64" s="1">
        <f>SUM(OSRRefP22_11x_0)</f>
        <v>83470.039999999994</v>
      </c>
      <c r="Q64" s="1"/>
      <c r="R64" s="5">
        <f t="shared" ref="R64:R69" si="36">IF(P$12=0,0,P64/P$12)</f>
        <v>0</v>
      </c>
      <c r="S64" s="1"/>
      <c r="T64" s="1">
        <f>SUM(OSRRefT22_11x_0)</f>
        <v>82075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1395.0399999999936</v>
      </c>
      <c r="Y64" s="1"/>
      <c r="Z64" s="5">
        <f t="shared" ref="Z64:Z69" si="39">IF(T64=0,0,X64/T64)</f>
        <v>1.6997136765153745E-2</v>
      </c>
    </row>
    <row r="65" spans="1:26" s="24" customFormat="1" hidden="1" outlineLevel="2" x14ac:dyDescent="0.25">
      <c r="A65" s="26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1252.52</v>
      </c>
      <c r="E65" s="2"/>
      <c r="F65" s="7">
        <f t="shared" si="32"/>
        <v>0</v>
      </c>
      <c r="G65" s="2"/>
      <c r="H65" s="6">
        <v>650</v>
      </c>
      <c r="I65" s="2"/>
      <c r="J65" s="7">
        <f t="shared" si="33"/>
        <v>0</v>
      </c>
      <c r="K65" s="2"/>
      <c r="L65" s="6">
        <f t="shared" si="34"/>
        <v>602.52</v>
      </c>
      <c r="M65" s="2"/>
      <c r="N65" s="7">
        <f t="shared" si="35"/>
        <v>0.92695384615384613</v>
      </c>
      <c r="O65" s="11"/>
      <c r="P65" s="6">
        <v>4383.82</v>
      </c>
      <c r="Q65" s="2"/>
      <c r="R65" s="7">
        <f t="shared" si="36"/>
        <v>0</v>
      </c>
      <c r="S65" s="2"/>
      <c r="T65" s="6">
        <v>3900</v>
      </c>
      <c r="U65" s="2"/>
      <c r="V65" s="7">
        <f t="shared" si="37"/>
        <v>0</v>
      </c>
      <c r="W65" s="2"/>
      <c r="X65" s="6">
        <f t="shared" si="38"/>
        <v>483.81999999999971</v>
      </c>
      <c r="Y65" s="2"/>
      <c r="Z65" s="7">
        <f t="shared" si="39"/>
        <v>0.12405641025641018</v>
      </c>
    </row>
    <row r="66" spans="1:26" s="24" customFormat="1" hidden="1" outlineLevel="2" x14ac:dyDescent="0.25">
      <c r="A66" s="26"/>
      <c r="B66" s="11" t="str">
        <f>CONCATENATE("          ", "6283", " - ", "PLANT SERVICE")</f>
        <v xml:space="preserve">          6283 - PLANT SERVICE</v>
      </c>
      <c r="C66" s="11"/>
      <c r="D66" s="6"/>
      <c r="E66" s="2"/>
      <c r="F66" s="7">
        <f t="shared" si="32"/>
        <v>0</v>
      </c>
      <c r="G66" s="2"/>
      <c r="H66" s="6">
        <v>35</v>
      </c>
      <c r="I66" s="2"/>
      <c r="J66" s="7">
        <f t="shared" si="33"/>
        <v>0</v>
      </c>
      <c r="K66" s="2"/>
      <c r="L66" s="6">
        <f t="shared" si="34"/>
        <v>-35</v>
      </c>
      <c r="M66" s="2"/>
      <c r="N66" s="7">
        <f t="shared" si="35"/>
        <v>-1</v>
      </c>
      <c r="O66" s="11"/>
      <c r="P66" s="6">
        <v>142.12</v>
      </c>
      <c r="Q66" s="2"/>
      <c r="R66" s="7">
        <f t="shared" si="36"/>
        <v>0</v>
      </c>
      <c r="S66" s="2"/>
      <c r="T66" s="6">
        <v>175</v>
      </c>
      <c r="U66" s="2"/>
      <c r="V66" s="7">
        <f t="shared" si="37"/>
        <v>0</v>
      </c>
      <c r="W66" s="2"/>
      <c r="X66" s="6">
        <f t="shared" si="38"/>
        <v>-32.879999999999995</v>
      </c>
      <c r="Y66" s="2"/>
      <c r="Z66" s="7">
        <f t="shared" si="39"/>
        <v>-0.18788571428571427</v>
      </c>
    </row>
    <row r="67" spans="1:26" s="24" customFormat="1" hidden="1" outlineLevel="2" x14ac:dyDescent="0.25">
      <c r="A67" s="26"/>
      <c r="B67" s="11" t="str">
        <f>CONCATENATE("          ", "6284", " - ", "TRASH REMOVAL EXPENSE")</f>
        <v xml:space="preserve">          6284 - TRASH REMOVAL EXPENSE</v>
      </c>
      <c r="C67" s="11"/>
      <c r="D67" s="6">
        <v>7295</v>
      </c>
      <c r="E67" s="2"/>
      <c r="F67" s="7">
        <f t="shared" si="32"/>
        <v>0</v>
      </c>
      <c r="G67" s="2"/>
      <c r="H67" s="6">
        <v>3000</v>
      </c>
      <c r="I67" s="2"/>
      <c r="J67" s="7">
        <f t="shared" si="33"/>
        <v>0</v>
      </c>
      <c r="K67" s="2"/>
      <c r="L67" s="6">
        <f t="shared" si="34"/>
        <v>4295</v>
      </c>
      <c r="M67" s="2"/>
      <c r="N67" s="7">
        <f t="shared" si="35"/>
        <v>1.4316666666666666</v>
      </c>
      <c r="O67" s="11"/>
      <c r="P67" s="6">
        <v>17741</v>
      </c>
      <c r="Q67" s="2"/>
      <c r="R67" s="7">
        <f t="shared" si="36"/>
        <v>0</v>
      </c>
      <c r="S67" s="2"/>
      <c r="T67" s="6">
        <v>18000</v>
      </c>
      <c r="U67" s="2"/>
      <c r="V67" s="7">
        <f t="shared" si="37"/>
        <v>0</v>
      </c>
      <c r="W67" s="2"/>
      <c r="X67" s="6">
        <f t="shared" si="38"/>
        <v>-259</v>
      </c>
      <c r="Y67" s="2"/>
      <c r="Z67" s="7">
        <f t="shared" si="39"/>
        <v>-1.4388888888888889E-2</v>
      </c>
    </row>
    <row r="68" spans="1:26" s="24" customFormat="1" hidden="1" outlineLevel="2" x14ac:dyDescent="0.25">
      <c r="A68" s="26"/>
      <c r="B68" s="11" t="str">
        <f>CONCATENATE("          ", "6285", " - ", "JANITORIAL SERVICES")</f>
        <v xml:space="preserve">          6285 - JANITORIAL SERVICES</v>
      </c>
      <c r="C68" s="11"/>
      <c r="D68" s="6">
        <v>10278.51</v>
      </c>
      <c r="E68" s="2"/>
      <c r="F68" s="7">
        <f t="shared" si="32"/>
        <v>0</v>
      </c>
      <c r="G68" s="2"/>
      <c r="H68" s="6">
        <v>9500</v>
      </c>
      <c r="I68" s="2"/>
      <c r="J68" s="7">
        <f t="shared" si="33"/>
        <v>0</v>
      </c>
      <c r="K68" s="2"/>
      <c r="L68" s="6">
        <f t="shared" si="34"/>
        <v>778.51000000000022</v>
      </c>
      <c r="M68" s="2"/>
      <c r="N68" s="7">
        <f t="shared" si="35"/>
        <v>8.1948421052631601E-2</v>
      </c>
      <c r="O68" s="11"/>
      <c r="P68" s="6">
        <v>60751.06</v>
      </c>
      <c r="Q68" s="2"/>
      <c r="R68" s="7">
        <f t="shared" si="36"/>
        <v>0</v>
      </c>
      <c r="S68" s="2"/>
      <c r="T68" s="6">
        <v>57000</v>
      </c>
      <c r="U68" s="2"/>
      <c r="V68" s="7">
        <f t="shared" si="37"/>
        <v>0</v>
      </c>
      <c r="W68" s="2"/>
      <c r="X68" s="6">
        <f t="shared" si="38"/>
        <v>3751.0599999999977</v>
      </c>
      <c r="Y68" s="2"/>
      <c r="Z68" s="7">
        <f t="shared" si="39"/>
        <v>6.5808070175438549E-2</v>
      </c>
    </row>
    <row r="69" spans="1:26" s="24" customFormat="1" hidden="1" outlineLevel="2" x14ac:dyDescent="0.25">
      <c r="A69" s="26"/>
      <c r="B69" s="11" t="str">
        <f>CONCATENATE("          ", "6286", " - ", "LAUNDRY EXPENSE")</f>
        <v xml:space="preserve">          6286 - LAUNDRY EXPENSE</v>
      </c>
      <c r="C69" s="11"/>
      <c r="D69" s="6">
        <v>74.52</v>
      </c>
      <c r="E69" s="2"/>
      <c r="F69" s="7">
        <f t="shared" si="32"/>
        <v>0</v>
      </c>
      <c r="G69" s="2"/>
      <c r="H69" s="6">
        <v>500</v>
      </c>
      <c r="I69" s="2"/>
      <c r="J69" s="7">
        <f t="shared" si="33"/>
        <v>0</v>
      </c>
      <c r="K69" s="2"/>
      <c r="L69" s="6">
        <f t="shared" si="34"/>
        <v>-425.48</v>
      </c>
      <c r="M69" s="2"/>
      <c r="N69" s="7">
        <f t="shared" si="35"/>
        <v>-0.85096000000000005</v>
      </c>
      <c r="O69" s="11"/>
      <c r="P69" s="6">
        <v>452.04</v>
      </c>
      <c r="Q69" s="2"/>
      <c r="R69" s="7">
        <f t="shared" si="36"/>
        <v>0</v>
      </c>
      <c r="S69" s="2"/>
      <c r="T69" s="6">
        <v>3000</v>
      </c>
      <c r="U69" s="2"/>
      <c r="V69" s="7">
        <f t="shared" si="37"/>
        <v>0</v>
      </c>
      <c r="W69" s="2"/>
      <c r="X69" s="6">
        <f t="shared" si="38"/>
        <v>-2547.96</v>
      </c>
      <c r="Y69" s="2"/>
      <c r="Z69" s="7">
        <f t="shared" si="39"/>
        <v>-0.84931999999999996</v>
      </c>
    </row>
    <row r="70" spans="1:26" s="25" customFormat="1" outlineLevel="1" collapsed="1" x14ac:dyDescent="0.25">
      <c r="A70" s="27"/>
      <c r="B70" s="13" t="str">
        <f>CONCATENATE("     ","Subscriptions &amp; Dues                              ")</f>
        <v xml:space="preserve">     Subscriptions &amp; Dues                              </v>
      </c>
      <c r="C70" s="13"/>
      <c r="D70" s="1">
        <f>SUM(OSRRefD22_12x_0)</f>
        <v>795</v>
      </c>
      <c r="E70" s="1"/>
      <c r="F70" s="5">
        <f t="shared" ref="F70:F79" si="40">IF(D$12=0,0,D70/D$12)</f>
        <v>0</v>
      </c>
      <c r="G70" s="1"/>
      <c r="H70" s="1">
        <f>SUM(OSRRefH22_12x_0)</f>
        <v>0</v>
      </c>
      <c r="I70" s="1"/>
      <c r="J70" s="5">
        <f t="shared" ref="J70:J79" si="41">IF(H$12=0,0,H70/H$12)</f>
        <v>0</v>
      </c>
      <c r="K70" s="1"/>
      <c r="L70" s="1">
        <f t="shared" ref="L70:L79" si="42">+D70-H70</f>
        <v>795</v>
      </c>
      <c r="M70" s="1"/>
      <c r="N70" s="5">
        <f t="shared" ref="N70:N79" si="43">IF(H70=0,0,L70/H70)</f>
        <v>0</v>
      </c>
      <c r="O70" s="13"/>
      <c r="P70" s="1">
        <f>SUM(OSRRefP22_12x_0)</f>
        <v>795</v>
      </c>
      <c r="Q70" s="1"/>
      <c r="R70" s="5">
        <f t="shared" ref="R70:R79" si="44">IF(P$12=0,0,P70/P$12)</f>
        <v>0</v>
      </c>
      <c r="S70" s="1"/>
      <c r="T70" s="1">
        <f>SUM(OSRRefT22_12x_0)</f>
        <v>0</v>
      </c>
      <c r="U70" s="1"/>
      <c r="V70" s="5">
        <f t="shared" ref="V70:V79" si="45">IF(T$12=0,0,T70/T$12)</f>
        <v>0</v>
      </c>
      <c r="W70" s="1"/>
      <c r="X70" s="1">
        <f t="shared" ref="X70:X79" si="46">+P70-T70</f>
        <v>795</v>
      </c>
      <c r="Y70" s="1"/>
      <c r="Z70" s="5">
        <f t="shared" ref="Z70:Z79" si="47">IF(T70=0,0,X70/T70)</f>
        <v>0</v>
      </c>
    </row>
    <row r="71" spans="1:26" s="24" customFormat="1" hidden="1" outlineLevel="2" x14ac:dyDescent="0.25">
      <c r="A71" s="26"/>
      <c r="B71" s="11" t="str">
        <f>CONCATENATE("          ", "6258", " - ", "MEMBERSHIP DUES")</f>
        <v xml:space="preserve">          6258 - MEMBERSHIP DUES</v>
      </c>
      <c r="C71" s="11"/>
      <c r="D71" s="6">
        <v>795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795</v>
      </c>
      <c r="M71" s="2"/>
      <c r="N71" s="7">
        <f t="shared" si="43"/>
        <v>0</v>
      </c>
      <c r="O71" s="11"/>
      <c r="P71" s="6">
        <v>795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795</v>
      </c>
      <c r="Y71" s="2"/>
      <c r="Z71" s="7">
        <f t="shared" si="47"/>
        <v>0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SUM(OSRRefD22_13x_0)</f>
        <v>4910.25</v>
      </c>
      <c r="E72" s="1"/>
      <c r="F72" s="5">
        <f t="shared" si="40"/>
        <v>0</v>
      </c>
      <c r="G72" s="1"/>
      <c r="H72" s="1">
        <f>SUM(OSRRefH22_13x_0)</f>
        <v>6100</v>
      </c>
      <c r="I72" s="1"/>
      <c r="J72" s="5">
        <f t="shared" si="41"/>
        <v>0</v>
      </c>
      <c r="K72" s="1"/>
      <c r="L72" s="1">
        <f t="shared" si="42"/>
        <v>-1189.75</v>
      </c>
      <c r="M72" s="1"/>
      <c r="N72" s="5">
        <f t="shared" si="43"/>
        <v>-0.19504098360655739</v>
      </c>
      <c r="O72" s="13"/>
      <c r="P72" s="1">
        <f>SUM(OSRRefP22_13x_0)</f>
        <v>45672.08</v>
      </c>
      <c r="Q72" s="1"/>
      <c r="R72" s="5">
        <f t="shared" si="44"/>
        <v>0</v>
      </c>
      <c r="S72" s="1"/>
      <c r="T72" s="1">
        <f>SUM(OSRRefT22_13x_0)</f>
        <v>32400</v>
      </c>
      <c r="U72" s="1"/>
      <c r="V72" s="5">
        <f t="shared" si="45"/>
        <v>0</v>
      </c>
      <c r="W72" s="1"/>
      <c r="X72" s="1">
        <f t="shared" si="46"/>
        <v>13272.080000000002</v>
      </c>
      <c r="Y72" s="1"/>
      <c r="Z72" s="5">
        <f t="shared" si="47"/>
        <v>0.40963209876543216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8091.25</v>
      </c>
      <c r="Q73" s="2"/>
      <c r="R73" s="7">
        <f t="shared" si="44"/>
        <v>0</v>
      </c>
      <c r="S73" s="2"/>
      <c r="T73" s="6"/>
      <c r="U73" s="2"/>
      <c r="V73" s="7">
        <f t="shared" si="45"/>
        <v>0</v>
      </c>
      <c r="W73" s="2"/>
      <c r="X73" s="6">
        <f t="shared" si="46"/>
        <v>8091.25</v>
      </c>
      <c r="Y73" s="2"/>
      <c r="Z73" s="7">
        <f t="shared" si="47"/>
        <v>0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6">
        <v>3139.65</v>
      </c>
      <c r="E74" s="2"/>
      <c r="F74" s="7">
        <f t="shared" si="40"/>
        <v>0</v>
      </c>
      <c r="G74" s="2"/>
      <c r="H74" s="6">
        <v>4000</v>
      </c>
      <c r="I74" s="2"/>
      <c r="J74" s="7">
        <f t="shared" si="41"/>
        <v>0</v>
      </c>
      <c r="K74" s="2"/>
      <c r="L74" s="6">
        <f t="shared" si="42"/>
        <v>-860.34999999999991</v>
      </c>
      <c r="M74" s="2"/>
      <c r="N74" s="7">
        <f t="shared" si="43"/>
        <v>-0.21508749999999999</v>
      </c>
      <c r="O74" s="11"/>
      <c r="P74" s="6">
        <v>22280.62</v>
      </c>
      <c r="Q74" s="2"/>
      <c r="R74" s="7">
        <f t="shared" si="44"/>
        <v>0</v>
      </c>
      <c r="S74" s="2"/>
      <c r="T74" s="6">
        <v>20000</v>
      </c>
      <c r="U74" s="2"/>
      <c r="V74" s="7">
        <f t="shared" si="45"/>
        <v>0</v>
      </c>
      <c r="W74" s="2"/>
      <c r="X74" s="6">
        <f t="shared" si="46"/>
        <v>2280.619999999999</v>
      </c>
      <c r="Y74" s="2"/>
      <c r="Z74" s="7">
        <f t="shared" si="47"/>
        <v>0.11403099999999995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6">
        <v>1538.72</v>
      </c>
      <c r="E75" s="2"/>
      <c r="F75" s="7">
        <f t="shared" si="40"/>
        <v>0</v>
      </c>
      <c r="G75" s="2"/>
      <c r="H75" s="6">
        <v>1500</v>
      </c>
      <c r="I75" s="2"/>
      <c r="J75" s="7">
        <f t="shared" si="41"/>
        <v>0</v>
      </c>
      <c r="K75" s="2"/>
      <c r="L75" s="6">
        <f t="shared" si="42"/>
        <v>38.720000000000027</v>
      </c>
      <c r="M75" s="2"/>
      <c r="N75" s="7">
        <f t="shared" si="43"/>
        <v>2.5813333333333351E-2</v>
      </c>
      <c r="O75" s="11"/>
      <c r="P75" s="6">
        <v>14003.06</v>
      </c>
      <c r="Q75" s="2"/>
      <c r="R75" s="7">
        <f t="shared" si="44"/>
        <v>0</v>
      </c>
      <c r="S75" s="2"/>
      <c r="T75" s="6">
        <v>6000</v>
      </c>
      <c r="U75" s="2"/>
      <c r="V75" s="7">
        <f t="shared" si="45"/>
        <v>0</v>
      </c>
      <c r="W75" s="2"/>
      <c r="X75" s="6">
        <f t="shared" si="46"/>
        <v>8003.0599999999995</v>
      </c>
      <c r="Y75" s="2"/>
      <c r="Z75" s="7">
        <f t="shared" si="47"/>
        <v>1.3338433333333333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231.88</v>
      </c>
      <c r="E76" s="2"/>
      <c r="F76" s="7">
        <f t="shared" si="40"/>
        <v>0</v>
      </c>
      <c r="G76" s="2"/>
      <c r="H76" s="6">
        <v>200</v>
      </c>
      <c r="I76" s="2"/>
      <c r="J76" s="7">
        <f t="shared" si="41"/>
        <v>0</v>
      </c>
      <c r="K76" s="2"/>
      <c r="L76" s="6">
        <f t="shared" si="42"/>
        <v>31.879999999999995</v>
      </c>
      <c r="M76" s="2"/>
      <c r="N76" s="7">
        <f t="shared" si="43"/>
        <v>0.15939999999999999</v>
      </c>
      <c r="O76" s="11"/>
      <c r="P76" s="6">
        <v>998.25</v>
      </c>
      <c r="Q76" s="2"/>
      <c r="R76" s="7">
        <f t="shared" si="44"/>
        <v>0</v>
      </c>
      <c r="S76" s="2"/>
      <c r="T76" s="6">
        <v>1500</v>
      </c>
      <c r="U76" s="2"/>
      <c r="V76" s="7">
        <f t="shared" si="45"/>
        <v>0</v>
      </c>
      <c r="W76" s="2"/>
      <c r="X76" s="6">
        <f t="shared" si="46"/>
        <v>-501.75</v>
      </c>
      <c r="Y76" s="2"/>
      <c r="Z76" s="7">
        <f t="shared" si="47"/>
        <v>-0.33450000000000002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40"/>
        <v>0</v>
      </c>
      <c r="G77" s="2"/>
      <c r="H77" s="6">
        <v>400</v>
      </c>
      <c r="I77" s="2"/>
      <c r="J77" s="7">
        <f t="shared" si="41"/>
        <v>0</v>
      </c>
      <c r="K77" s="2"/>
      <c r="L77" s="6">
        <f t="shared" si="42"/>
        <v>-400</v>
      </c>
      <c r="M77" s="2"/>
      <c r="N77" s="7">
        <f t="shared" si="43"/>
        <v>-1</v>
      </c>
      <c r="O77" s="11"/>
      <c r="P77" s="6"/>
      <c r="Q77" s="2"/>
      <c r="R77" s="7">
        <f t="shared" si="44"/>
        <v>0</v>
      </c>
      <c r="S77" s="2"/>
      <c r="T77" s="6">
        <v>2400</v>
      </c>
      <c r="U77" s="2"/>
      <c r="V77" s="7">
        <f t="shared" si="45"/>
        <v>0</v>
      </c>
      <c r="W77" s="2"/>
      <c r="X77" s="6">
        <f t="shared" si="46"/>
        <v>-2400</v>
      </c>
      <c r="Y77" s="2"/>
      <c r="Z77" s="7">
        <f t="shared" si="47"/>
        <v>-1</v>
      </c>
    </row>
    <row r="78" spans="1:26" s="24" customFormat="1" hidden="1" outlineLevel="2" x14ac:dyDescent="0.25">
      <c r="A78" s="26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0"/>
        <v>0</v>
      </c>
      <c r="G78" s="2"/>
      <c r="H78" s="6"/>
      <c r="I78" s="2"/>
      <c r="J78" s="7">
        <f t="shared" si="41"/>
        <v>0</v>
      </c>
      <c r="K78" s="2"/>
      <c r="L78" s="6">
        <f t="shared" si="42"/>
        <v>0</v>
      </c>
      <c r="M78" s="2"/>
      <c r="N78" s="7">
        <f t="shared" si="43"/>
        <v>0</v>
      </c>
      <c r="O78" s="11"/>
      <c r="P78" s="6"/>
      <c r="Q78" s="2"/>
      <c r="R78" s="7">
        <f t="shared" si="44"/>
        <v>0</v>
      </c>
      <c r="S78" s="2"/>
      <c r="T78" s="6">
        <v>1000</v>
      </c>
      <c r="U78" s="2"/>
      <c r="V78" s="7">
        <f t="shared" si="45"/>
        <v>0</v>
      </c>
      <c r="W78" s="2"/>
      <c r="X78" s="6">
        <f t="shared" si="46"/>
        <v>-1000</v>
      </c>
      <c r="Y78" s="2"/>
      <c r="Z78" s="7">
        <f t="shared" si="47"/>
        <v>-1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0"/>
        <v>0</v>
      </c>
      <c r="G79" s="2"/>
      <c r="H79" s="6"/>
      <c r="I79" s="2"/>
      <c r="J79" s="7">
        <f t="shared" si="41"/>
        <v>0</v>
      </c>
      <c r="K79" s="2"/>
      <c r="L79" s="6">
        <f t="shared" si="42"/>
        <v>0</v>
      </c>
      <c r="M79" s="2"/>
      <c r="N79" s="7">
        <f t="shared" si="43"/>
        <v>0</v>
      </c>
      <c r="O79" s="11"/>
      <c r="P79" s="6">
        <v>298.89999999999998</v>
      </c>
      <c r="Q79" s="2"/>
      <c r="R79" s="7">
        <f t="shared" si="44"/>
        <v>0</v>
      </c>
      <c r="S79" s="2"/>
      <c r="T79" s="6">
        <v>1500</v>
      </c>
      <c r="U79" s="2"/>
      <c r="V79" s="7">
        <f t="shared" si="45"/>
        <v>0</v>
      </c>
      <c r="W79" s="2"/>
      <c r="X79" s="6">
        <f t="shared" si="46"/>
        <v>-1201.0999999999999</v>
      </c>
      <c r="Y79" s="2"/>
      <c r="Z79" s="7">
        <f t="shared" si="47"/>
        <v>-0.8007333333333333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553</v>
      </c>
      <c r="E80" s="1"/>
      <c r="F80" s="5">
        <f t="shared" ref="F80:F87" si="48">IF(D$12=0,0,D80/D$12)</f>
        <v>0</v>
      </c>
      <c r="G80" s="1"/>
      <c r="H80" s="1">
        <f>SUM(OSRRefH22_14x_0)</f>
        <v>500</v>
      </c>
      <c r="I80" s="1"/>
      <c r="J80" s="5">
        <f t="shared" ref="J80:J87" si="49">IF(H$12=0,0,H80/H$12)</f>
        <v>0</v>
      </c>
      <c r="K80" s="1"/>
      <c r="L80" s="1">
        <f t="shared" ref="L80:L87" si="50">+D80-H80</f>
        <v>53</v>
      </c>
      <c r="M80" s="1"/>
      <c r="N80" s="5">
        <f t="shared" ref="N80:N87" si="51">IF(H80=0,0,L80/H80)</f>
        <v>0.106</v>
      </c>
      <c r="O80" s="13"/>
      <c r="P80" s="1">
        <f>SUM(OSRRefP22_14x_0)</f>
        <v>2335.8000000000002</v>
      </c>
      <c r="Q80" s="1"/>
      <c r="R80" s="5">
        <f t="shared" ref="R80:R87" si="52">IF(P$12=0,0,P80/P$12)</f>
        <v>0</v>
      </c>
      <c r="S80" s="1"/>
      <c r="T80" s="1">
        <f>SUM(OSRRefT22_14x_0)</f>
        <v>3000</v>
      </c>
      <c r="U80" s="1"/>
      <c r="V80" s="5">
        <f t="shared" ref="V80:V87" si="53">IF(T$12=0,0,T80/T$12)</f>
        <v>0</v>
      </c>
      <c r="W80" s="1"/>
      <c r="X80" s="1">
        <f t="shared" ref="X80:X87" si="54">+P80-T80</f>
        <v>-664.19999999999982</v>
      </c>
      <c r="Y80" s="1"/>
      <c r="Z80" s="5">
        <f t="shared" ref="Z80:Z87" si="55">IF(T80=0,0,X80/T80)</f>
        <v>-0.22139999999999993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553</v>
      </c>
      <c r="E81" s="2"/>
      <c r="F81" s="7">
        <f t="shared" si="48"/>
        <v>0</v>
      </c>
      <c r="G81" s="2"/>
      <c r="H81" s="6">
        <v>500</v>
      </c>
      <c r="I81" s="2"/>
      <c r="J81" s="7">
        <f t="shared" si="49"/>
        <v>0</v>
      </c>
      <c r="K81" s="2"/>
      <c r="L81" s="6">
        <f t="shared" si="50"/>
        <v>53</v>
      </c>
      <c r="M81" s="2"/>
      <c r="N81" s="7">
        <f t="shared" si="51"/>
        <v>0.106</v>
      </c>
      <c r="O81" s="11"/>
      <c r="P81" s="6">
        <v>2335.8000000000002</v>
      </c>
      <c r="Q81" s="2"/>
      <c r="R81" s="7">
        <f t="shared" si="52"/>
        <v>0</v>
      </c>
      <c r="S81" s="2"/>
      <c r="T81" s="6">
        <v>3000</v>
      </c>
      <c r="U81" s="2"/>
      <c r="V81" s="7">
        <f t="shared" si="53"/>
        <v>0</v>
      </c>
      <c r="W81" s="2"/>
      <c r="X81" s="6">
        <f t="shared" si="54"/>
        <v>-664.19999999999982</v>
      </c>
      <c r="Y81" s="2"/>
      <c r="Z81" s="7">
        <f t="shared" si="55"/>
        <v>-0.22139999999999993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48"/>
        <v>0</v>
      </c>
      <c r="G82" s="1"/>
      <c r="H82" s="1">
        <f>SUM(OSRRefH22_15x_0)</f>
        <v>0</v>
      </c>
      <c r="I82" s="1"/>
      <c r="J82" s="5">
        <f t="shared" si="49"/>
        <v>0</v>
      </c>
      <c r="K82" s="1"/>
      <c r="L82" s="1">
        <f t="shared" si="50"/>
        <v>0</v>
      </c>
      <c r="M82" s="1"/>
      <c r="N82" s="5">
        <f t="shared" si="51"/>
        <v>0</v>
      </c>
      <c r="O82" s="13"/>
      <c r="P82" s="1">
        <f>SUM(OSRRefP22_15x_0)</f>
        <v>240</v>
      </c>
      <c r="Q82" s="1"/>
      <c r="R82" s="5">
        <f t="shared" si="52"/>
        <v>0</v>
      </c>
      <c r="S82" s="1"/>
      <c r="T82" s="1">
        <f>SUM(OSRRefT22_15x_0)</f>
        <v>1500</v>
      </c>
      <c r="U82" s="1"/>
      <c r="V82" s="5">
        <f t="shared" si="53"/>
        <v>0</v>
      </c>
      <c r="W82" s="1"/>
      <c r="X82" s="1">
        <f t="shared" si="54"/>
        <v>-1260</v>
      </c>
      <c r="Y82" s="1"/>
      <c r="Z82" s="5">
        <f t="shared" si="55"/>
        <v>-0.84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0</v>
      </c>
      <c r="M83" s="2"/>
      <c r="N83" s="7">
        <f t="shared" si="51"/>
        <v>0</v>
      </c>
      <c r="O83" s="11"/>
      <c r="P83" s="6">
        <v>240</v>
      </c>
      <c r="Q83" s="2"/>
      <c r="R83" s="7">
        <f t="shared" si="52"/>
        <v>0</v>
      </c>
      <c r="S83" s="2"/>
      <c r="T83" s="6">
        <v>1500</v>
      </c>
      <c r="U83" s="2"/>
      <c r="V83" s="7">
        <f t="shared" si="53"/>
        <v>0</v>
      </c>
      <c r="W83" s="2"/>
      <c r="X83" s="6">
        <f t="shared" si="54"/>
        <v>-1260</v>
      </c>
      <c r="Y83" s="2"/>
      <c r="Z83" s="7">
        <f t="shared" si="55"/>
        <v>-0.84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271.76</v>
      </c>
      <c r="E84" s="1"/>
      <c r="F84" s="5">
        <f t="shared" si="48"/>
        <v>0</v>
      </c>
      <c r="G84" s="1"/>
      <c r="H84" s="1">
        <f>SUM(OSRRefH22_16x_0)</f>
        <v>0</v>
      </c>
      <c r="I84" s="1"/>
      <c r="J84" s="5">
        <f t="shared" si="49"/>
        <v>0</v>
      </c>
      <c r="K84" s="1"/>
      <c r="L84" s="1">
        <f t="shared" si="50"/>
        <v>271.76</v>
      </c>
      <c r="M84" s="1"/>
      <c r="N84" s="5">
        <f t="shared" si="51"/>
        <v>0</v>
      </c>
      <c r="O84" s="13"/>
      <c r="P84" s="1">
        <f>SUM(OSRRefP22_16x_0)</f>
        <v>1674.67</v>
      </c>
      <c r="Q84" s="1"/>
      <c r="R84" s="5">
        <f t="shared" si="52"/>
        <v>0</v>
      </c>
      <c r="S84" s="1"/>
      <c r="T84" s="1">
        <f>SUM(OSRRefT22_16x_0)</f>
        <v>2000</v>
      </c>
      <c r="U84" s="1"/>
      <c r="V84" s="5">
        <f t="shared" si="53"/>
        <v>0</v>
      </c>
      <c r="W84" s="1"/>
      <c r="X84" s="1">
        <f t="shared" si="54"/>
        <v>-325.32999999999993</v>
      </c>
      <c r="Y84" s="1"/>
      <c r="Z84" s="5">
        <f t="shared" si="55"/>
        <v>-0.16266499999999998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>
        <v>157.08000000000001</v>
      </c>
      <c r="E85" s="2"/>
      <c r="F85" s="7">
        <f t="shared" si="48"/>
        <v>0</v>
      </c>
      <c r="G85" s="2"/>
      <c r="H85" s="6"/>
      <c r="I85" s="2"/>
      <c r="J85" s="7">
        <f t="shared" si="49"/>
        <v>0</v>
      </c>
      <c r="K85" s="2"/>
      <c r="L85" s="6">
        <f t="shared" si="50"/>
        <v>157.08000000000001</v>
      </c>
      <c r="M85" s="2"/>
      <c r="N85" s="7">
        <f t="shared" si="51"/>
        <v>0</v>
      </c>
      <c r="O85" s="11"/>
      <c r="P85" s="6">
        <v>856.45</v>
      </c>
      <c r="Q85" s="2"/>
      <c r="R85" s="7">
        <f t="shared" si="52"/>
        <v>0</v>
      </c>
      <c r="S85" s="2"/>
      <c r="T85" s="6">
        <v>2000</v>
      </c>
      <c r="U85" s="2"/>
      <c r="V85" s="7">
        <f t="shared" si="53"/>
        <v>0</v>
      </c>
      <c r="W85" s="2"/>
      <c r="X85" s="6">
        <f t="shared" si="54"/>
        <v>-1143.55</v>
      </c>
      <c r="Y85" s="2"/>
      <c r="Z85" s="7">
        <f t="shared" si="55"/>
        <v>-0.57177499999999992</v>
      </c>
    </row>
    <row r="86" spans="1:26" s="24" customFormat="1" hidden="1" outlineLevel="2" x14ac:dyDescent="0.25">
      <c r="A86" s="26"/>
      <c r="B86" s="11" t="str">
        <f>CONCATENATE("          ", "6294", " - ", "TRAVEL OPERATIONAL")</f>
        <v xml:space="preserve">          6294 - TRAVEL OPERATIONAL</v>
      </c>
      <c r="C86" s="11"/>
      <c r="D86" s="6"/>
      <c r="E86" s="2"/>
      <c r="F86" s="7">
        <f t="shared" si="48"/>
        <v>0</v>
      </c>
      <c r="G86" s="2"/>
      <c r="H86" s="6"/>
      <c r="I86" s="2"/>
      <c r="J86" s="7">
        <f t="shared" si="49"/>
        <v>0</v>
      </c>
      <c r="K86" s="2"/>
      <c r="L86" s="6">
        <f t="shared" si="50"/>
        <v>0</v>
      </c>
      <c r="M86" s="2"/>
      <c r="N86" s="7">
        <f t="shared" si="51"/>
        <v>0</v>
      </c>
      <c r="O86" s="11"/>
      <c r="P86" s="6">
        <v>45.49</v>
      </c>
      <c r="Q86" s="2"/>
      <c r="R86" s="7">
        <f t="shared" si="52"/>
        <v>0</v>
      </c>
      <c r="S86" s="2"/>
      <c r="T86" s="6"/>
      <c r="U86" s="2"/>
      <c r="V86" s="7">
        <f t="shared" si="53"/>
        <v>0</v>
      </c>
      <c r="W86" s="2"/>
      <c r="X86" s="6">
        <f t="shared" si="54"/>
        <v>45.49</v>
      </c>
      <c r="Y86" s="2"/>
      <c r="Z86" s="7">
        <f t="shared" si="55"/>
        <v>0</v>
      </c>
    </row>
    <row r="87" spans="1:26" s="24" customFormat="1" hidden="1" outlineLevel="2" x14ac:dyDescent="0.25">
      <c r="A87" s="26"/>
      <c r="B87" s="11" t="str">
        <f>CONCATENATE("          ", "6298", " - ", "VEHICLE MILEAGE")</f>
        <v xml:space="preserve">          6298 - VEHICLE MILEAGE</v>
      </c>
      <c r="C87" s="11"/>
      <c r="D87" s="6">
        <v>114.68</v>
      </c>
      <c r="E87" s="2"/>
      <c r="F87" s="7">
        <f t="shared" si="48"/>
        <v>0</v>
      </c>
      <c r="G87" s="2"/>
      <c r="H87" s="6"/>
      <c r="I87" s="2"/>
      <c r="J87" s="7">
        <f t="shared" si="49"/>
        <v>0</v>
      </c>
      <c r="K87" s="2"/>
      <c r="L87" s="6">
        <f t="shared" si="50"/>
        <v>114.68</v>
      </c>
      <c r="M87" s="2"/>
      <c r="N87" s="7">
        <f t="shared" si="51"/>
        <v>0</v>
      </c>
      <c r="O87" s="11"/>
      <c r="P87" s="6">
        <v>772.73</v>
      </c>
      <c r="Q87" s="2"/>
      <c r="R87" s="7">
        <f t="shared" si="52"/>
        <v>0</v>
      </c>
      <c r="S87" s="2"/>
      <c r="T87" s="6"/>
      <c r="U87" s="2"/>
      <c r="V87" s="7">
        <f t="shared" si="53"/>
        <v>0</v>
      </c>
      <c r="W87" s="2"/>
      <c r="X87" s="6">
        <f t="shared" si="54"/>
        <v>772.73</v>
      </c>
      <c r="Y87" s="2"/>
      <c r="Z87" s="7">
        <f t="shared" si="55"/>
        <v>0</v>
      </c>
    </row>
    <row r="88" spans="1:26" s="25" customFormat="1" outlineLevel="1" collapsed="1" x14ac:dyDescent="0.25">
      <c r="A88" s="27"/>
      <c r="B88" s="13" t="str">
        <f>CONCATENATE("     ","Utilities                                         ")</f>
        <v xml:space="preserve">     Utilities                                         </v>
      </c>
      <c r="C88" s="13"/>
      <c r="D88" s="1">
        <f>SUM(OSRRefD22_17x_0)</f>
        <v>32693</v>
      </c>
      <c r="E88" s="1"/>
      <c r="F88" s="5">
        <f t="shared" ref="F88:F89" si="56">IF(D$12=0,0,D88/D$12)</f>
        <v>0</v>
      </c>
      <c r="G88" s="1"/>
      <c r="H88" s="1">
        <f>SUM(OSRRefH22_17x_0)</f>
        <v>15000</v>
      </c>
      <c r="I88" s="1"/>
      <c r="J88" s="5">
        <f t="shared" ref="J88:J89" si="57">IF(H$12=0,0,H88/H$12)</f>
        <v>0</v>
      </c>
      <c r="K88" s="1"/>
      <c r="L88" s="1">
        <f t="shared" ref="L88:L89" si="58">+D88-H88</f>
        <v>17693</v>
      </c>
      <c r="M88" s="1"/>
      <c r="N88" s="5">
        <f t="shared" ref="N88:N89" si="59">IF(H88=0,0,L88/H88)</f>
        <v>1.1795333333333333</v>
      </c>
      <c r="O88" s="13"/>
      <c r="P88" s="1">
        <f>SUM(OSRRefP22_17x_0)</f>
        <v>81591</v>
      </c>
      <c r="Q88" s="1"/>
      <c r="R88" s="5">
        <f t="shared" ref="R88:R89" si="60">IF(P$12=0,0,P88/P$12)</f>
        <v>0</v>
      </c>
      <c r="S88" s="1"/>
      <c r="T88" s="1">
        <f>SUM(OSRRefT22_17x_0)</f>
        <v>100000</v>
      </c>
      <c r="U88" s="1"/>
      <c r="V88" s="5">
        <f t="shared" ref="V88:V89" si="61">IF(T$12=0,0,T88/T$12)</f>
        <v>0</v>
      </c>
      <c r="W88" s="1"/>
      <c r="X88" s="1">
        <f t="shared" ref="X88:X89" si="62">+P88-T88</f>
        <v>-18409</v>
      </c>
      <c r="Y88" s="1"/>
      <c r="Z88" s="5">
        <f t="shared" ref="Z88:Z89" si="63">IF(T88=0,0,X88/T88)</f>
        <v>-0.18409</v>
      </c>
    </row>
    <row r="89" spans="1:26" s="24" customFormat="1" hidden="1" outlineLevel="2" x14ac:dyDescent="0.25">
      <c r="A89" s="26"/>
      <c r="B89" s="11" t="str">
        <f>CONCATENATE("          ", "6274", " - ", "UTILITIES")</f>
        <v xml:space="preserve">          6274 - UTILITIES</v>
      </c>
      <c r="C89" s="11"/>
      <c r="D89" s="6">
        <v>32693</v>
      </c>
      <c r="E89" s="2"/>
      <c r="F89" s="7">
        <f t="shared" si="56"/>
        <v>0</v>
      </c>
      <c r="G89" s="2"/>
      <c r="H89" s="6">
        <v>15000</v>
      </c>
      <c r="I89" s="2"/>
      <c r="J89" s="7">
        <f t="shared" si="57"/>
        <v>0</v>
      </c>
      <c r="K89" s="2"/>
      <c r="L89" s="6">
        <f t="shared" si="58"/>
        <v>17693</v>
      </c>
      <c r="M89" s="2"/>
      <c r="N89" s="7">
        <f t="shared" si="59"/>
        <v>1.1795333333333333</v>
      </c>
      <c r="O89" s="11"/>
      <c r="P89" s="6">
        <v>81591</v>
      </c>
      <c r="Q89" s="2"/>
      <c r="R89" s="7">
        <f t="shared" si="60"/>
        <v>0</v>
      </c>
      <c r="S89" s="2"/>
      <c r="T89" s="6">
        <v>100000</v>
      </c>
      <c r="U89" s="2"/>
      <c r="V89" s="7">
        <f t="shared" si="61"/>
        <v>0</v>
      </c>
      <c r="W89" s="2"/>
      <c r="X89" s="6">
        <f t="shared" si="62"/>
        <v>-18409</v>
      </c>
      <c r="Y89" s="2"/>
      <c r="Z89" s="7">
        <f t="shared" si="63"/>
        <v>-0.18409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25">
      <c r="A91" s="10"/>
      <c r="B91" s="28" t="s">
        <v>0</v>
      </c>
      <c r="C91" s="10"/>
      <c r="D91" s="4">
        <f>SUM(OSRRefD25x_0)</f>
        <v>10079.92</v>
      </c>
      <c r="E91" s="4"/>
      <c r="F91" s="12">
        <f t="shared" ref="F91:F93" si="64">IF(D$12=0,0,D91/D$12)</f>
        <v>0</v>
      </c>
      <c r="G91" s="4"/>
      <c r="H91" s="4">
        <f>SUM(OSRRefH25x_0)</f>
        <v>6907</v>
      </c>
      <c r="I91" s="4"/>
      <c r="J91" s="12">
        <f t="shared" ref="J91:J93" si="65">IF(H$12=0,0,H91/H$12)</f>
        <v>0</v>
      </c>
      <c r="K91" s="4"/>
      <c r="L91" s="4">
        <f t="shared" ref="L91:L93" si="66">+D91-H91</f>
        <v>3172.92</v>
      </c>
      <c r="M91" s="4"/>
      <c r="N91" s="12">
        <f t="shared" ref="N91:N93" si="67">IF(H91=0,0,L91/H91)</f>
        <v>0.45937744317359203</v>
      </c>
      <c r="O91" s="10"/>
      <c r="P91" s="4">
        <f>SUM(OSRRefP25x_0)</f>
        <v>66938.959999999992</v>
      </c>
      <c r="Q91" s="4"/>
      <c r="R91" s="12">
        <f t="shared" ref="R91:R93" si="68">IF(P$12=0,0,P91/P$12)</f>
        <v>0</v>
      </c>
      <c r="S91" s="4"/>
      <c r="T91" s="4">
        <f>SUM(OSRRefT25x_0)</f>
        <v>34019</v>
      </c>
      <c r="U91" s="4"/>
      <c r="V91" s="12">
        <f t="shared" ref="V91:V93" si="69">IF(T$12=0,0,T91/T$12)</f>
        <v>0</v>
      </c>
      <c r="W91" s="4"/>
      <c r="X91" s="4">
        <f t="shared" ref="X91:X93" si="70">+P91-T91</f>
        <v>32919.959999999992</v>
      </c>
      <c r="Y91" s="4"/>
      <c r="Z91" s="12">
        <f t="shared" ref="Z91:Z93" si="71">IF(T91=0,0,X91/T91)</f>
        <v>0.96769334783503314</v>
      </c>
    </row>
    <row r="92" spans="1:26" s="24" customFormat="1" hidden="1" outlineLevel="1" x14ac:dyDescent="0.25">
      <c r="A92" s="44"/>
      <c r="B92" s="11" t="str">
        <f>CONCATENATE("          ", "9150", " - ", "MISC. INCOME")</f>
        <v xml:space="preserve">          9150 - MISC. INCOME</v>
      </c>
      <c r="C92" s="11"/>
      <c r="D92" s="2">
        <f>--10079.92</f>
        <v>10079.92</v>
      </c>
      <c r="E92" s="2"/>
      <c r="F92" s="19">
        <f t="shared" si="64"/>
        <v>0</v>
      </c>
      <c r="G92" s="2"/>
      <c r="H92" s="2">
        <v>6907</v>
      </c>
      <c r="I92" s="2"/>
      <c r="J92" s="19">
        <f t="shared" si="65"/>
        <v>0</v>
      </c>
      <c r="K92" s="2"/>
      <c r="L92" s="2">
        <f t="shared" si="66"/>
        <v>3172.92</v>
      </c>
      <c r="M92" s="2"/>
      <c r="N92" s="19">
        <f t="shared" si="67"/>
        <v>0.45937744317359203</v>
      </c>
      <c r="O92" s="11"/>
      <c r="P92" s="2">
        <f>--65928.03</f>
        <v>65928.03</v>
      </c>
      <c r="Q92" s="2"/>
      <c r="R92" s="19">
        <f t="shared" si="68"/>
        <v>0</v>
      </c>
      <c r="S92" s="2"/>
      <c r="T92" s="2">
        <v>34019</v>
      </c>
      <c r="U92" s="2"/>
      <c r="V92" s="19">
        <f t="shared" si="69"/>
        <v>0</v>
      </c>
      <c r="W92" s="2"/>
      <c r="X92" s="2">
        <f t="shared" si="70"/>
        <v>31909.03</v>
      </c>
      <c r="Y92" s="2"/>
      <c r="Z92" s="19">
        <f t="shared" si="71"/>
        <v>0.93797671889238365</v>
      </c>
    </row>
    <row r="93" spans="1:26" s="24" customFormat="1" hidden="1" outlineLevel="1" x14ac:dyDescent="0.25">
      <c r="A93" s="44"/>
      <c r="B93" s="11" t="str">
        <f>CONCATENATE("          ", "9160", " - ", "MISC. INCOME")</f>
        <v xml:space="preserve">          9160 - MISC. INCOME</v>
      </c>
      <c r="C93" s="11"/>
      <c r="D93" s="2">
        <f>0</f>
        <v>0</v>
      </c>
      <c r="E93" s="2"/>
      <c r="F93" s="19">
        <f t="shared" si="64"/>
        <v>0</v>
      </c>
      <c r="G93" s="2"/>
      <c r="H93" s="2"/>
      <c r="I93" s="2"/>
      <c r="J93" s="19">
        <f t="shared" si="65"/>
        <v>0</v>
      </c>
      <c r="K93" s="2"/>
      <c r="L93" s="2">
        <f t="shared" si="66"/>
        <v>0</v>
      </c>
      <c r="M93" s="2"/>
      <c r="N93" s="19">
        <f t="shared" si="67"/>
        <v>0</v>
      </c>
      <c r="O93" s="11"/>
      <c r="P93" s="2">
        <f>--1010.93</f>
        <v>1010.93</v>
      </c>
      <c r="Q93" s="2"/>
      <c r="R93" s="19">
        <f t="shared" si="68"/>
        <v>0</v>
      </c>
      <c r="S93" s="2"/>
      <c r="T93" s="2"/>
      <c r="U93" s="2"/>
      <c r="V93" s="19">
        <f t="shared" si="69"/>
        <v>0</v>
      </c>
      <c r="W93" s="2"/>
      <c r="X93" s="2">
        <f t="shared" si="70"/>
        <v>1010.93</v>
      </c>
      <c r="Y93" s="2"/>
      <c r="Z93" s="19">
        <f t="shared" si="71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2">
        <f>+D16-D18+D91</f>
        <v>-110994.83</v>
      </c>
      <c r="E95" s="14"/>
      <c r="F95" s="20">
        <f>IF(D$12=0,0,D95/D$12)</f>
        <v>0</v>
      </c>
      <c r="G95" s="14"/>
      <c r="H95" s="22">
        <f>+H16-H18+H91</f>
        <v>-96647.42854653523</v>
      </c>
      <c r="I95" s="14"/>
      <c r="J95" s="20">
        <f>IF(H$12=0,0,H95/H$12)</f>
        <v>0</v>
      </c>
      <c r="K95" s="16"/>
      <c r="L95" s="22">
        <f>+D95-H95</f>
        <v>-14347.401453464772</v>
      </c>
      <c r="M95" s="16"/>
      <c r="N95" s="20">
        <f>IF(H95=0,0,L95/H95)</f>
        <v>0.14845093831499689</v>
      </c>
      <c r="O95" s="28"/>
      <c r="P95" s="22">
        <f>+P16-P18+P91</f>
        <v>-537483.51</v>
      </c>
      <c r="Q95" s="14"/>
      <c r="R95" s="20">
        <f>IF(P$12=0,0,P95/P$12)</f>
        <v>0</v>
      </c>
      <c r="S95" s="14"/>
      <c r="T95" s="22">
        <f>+T16-T18+T91</f>
        <v>-584671.28120930202</v>
      </c>
      <c r="U95" s="14"/>
      <c r="V95" s="20">
        <f>IF(T$12=0,0,T95/T$12)</f>
        <v>0</v>
      </c>
      <c r="W95" s="16"/>
      <c r="X95" s="22">
        <f>+P95-T95</f>
        <v>47187.771209302009</v>
      </c>
      <c r="Y95" s="16"/>
      <c r="Z95" s="20">
        <f>IF(T95=0,0,X95/T95)</f>
        <v>-8.0708207715797856E-2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1">
        <f>+D95-D97</f>
        <v>-110994.83</v>
      </c>
      <c r="E99" s="14"/>
      <c r="F99" s="32">
        <f>IF(D$12=0,0,D99/D$12)</f>
        <v>0</v>
      </c>
      <c r="G99" s="14"/>
      <c r="H99" s="31">
        <f>+H95-H97</f>
        <v>-96647.42854653523</v>
      </c>
      <c r="I99" s="14"/>
      <c r="J99" s="32">
        <f>IF(H$12=0,0,H99/H$12)</f>
        <v>0</v>
      </c>
      <c r="K99" s="16"/>
      <c r="L99" s="31">
        <f>D99-H99</f>
        <v>-14347.401453464772</v>
      </c>
      <c r="M99" s="16"/>
      <c r="N99" s="32">
        <f>IF(H99=0,0,L99/H99)</f>
        <v>0.14845093831499689</v>
      </c>
      <c r="O99" s="28"/>
      <c r="P99" s="31">
        <f>+P95-P97</f>
        <v>-537483.51</v>
      </c>
      <c r="Q99" s="14"/>
      <c r="R99" s="32">
        <f>IF(P$12=0,0,P99/P$12)</f>
        <v>0</v>
      </c>
      <c r="S99" s="14"/>
      <c r="T99" s="31">
        <f>+T95-T97</f>
        <v>-584671.28120930202</v>
      </c>
      <c r="U99" s="14"/>
      <c r="V99" s="32">
        <f>IF(T$12=0,0,T99/T$12)</f>
        <v>0</v>
      </c>
      <c r="W99" s="16"/>
      <c r="X99" s="31">
        <f>P99-T99</f>
        <v>47187.771209302009</v>
      </c>
      <c r="Y99" s="16"/>
      <c r="Z99" s="32">
        <f>IF(T99=0,0,X99/T99)</f>
        <v>-8.0708207715797856E-2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5">
        <f>SUM(D99:D101)</f>
        <v>-110994.83</v>
      </c>
      <c r="E102" s="14"/>
      <c r="F102" s="34">
        <f>IF(D$12=0,0,D102/D$12)</f>
        <v>0</v>
      </c>
      <c r="G102" s="14"/>
      <c r="H102" s="35">
        <f>SUM(H99:H101)</f>
        <v>-96647.42854653523</v>
      </c>
      <c r="I102" s="14"/>
      <c r="J102" s="34">
        <f>IF(H$12=0,0,H102/H$12)</f>
        <v>0</v>
      </c>
      <c r="K102" s="16"/>
      <c r="L102" s="35">
        <f>+D102-H102</f>
        <v>-14347.401453464772</v>
      </c>
      <c r="M102" s="16"/>
      <c r="N102" s="34">
        <f>IF(H102=0,0,L102/H102)</f>
        <v>0.14845093831499689</v>
      </c>
      <c r="O102" s="28"/>
      <c r="P102" s="35">
        <f>SUM(P99:P101)</f>
        <v>-537483.51</v>
      </c>
      <c r="Q102" s="14"/>
      <c r="R102" s="34">
        <f>IF(P$12=0,0,P102/P$12)</f>
        <v>0</v>
      </c>
      <c r="S102" s="14"/>
      <c r="T102" s="35">
        <f>SUM(T99:T101)</f>
        <v>-584671.28120930202</v>
      </c>
      <c r="U102" s="14"/>
      <c r="V102" s="34">
        <f>IF(T$12=0,0,T102/T$12)</f>
        <v>0</v>
      </c>
      <c r="W102" s="16"/>
      <c r="X102" s="35">
        <f>+P102-T102</f>
        <v>47187.771209302009</v>
      </c>
      <c r="Y102" s="16"/>
      <c r="Z102" s="34">
        <f>IF(T102=0,0,X102/T102)</f>
        <v>-8.0708207715797856E-2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3">
        <v>43847.44620972222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5" t="s">
        <v>314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6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17857.580000000002</v>
      </c>
      <c r="E12" s="4"/>
      <c r="F12" s="12"/>
      <c r="G12" s="4"/>
      <c r="H12" s="4">
        <f>SUM(OSRRefH13x_0)</f>
        <v>64000</v>
      </c>
      <c r="I12" s="4"/>
      <c r="J12" s="12"/>
      <c r="K12" s="4"/>
      <c r="L12" s="4">
        <f t="shared" ref="L12:L16" si="0">+D12-H12</f>
        <v>-46142.42</v>
      </c>
      <c r="M12" s="4"/>
      <c r="N12" s="12">
        <f t="shared" ref="N12:N16" si="1">IF(H12=0,0,L12/H12)</f>
        <v>-0.72097531250000002</v>
      </c>
      <c r="O12" s="10"/>
      <c r="P12" s="4">
        <f>SUM(OSRRefP13x_0)</f>
        <v>327912.18</v>
      </c>
      <c r="Q12" s="4"/>
      <c r="R12" s="12"/>
      <c r="S12" s="4"/>
      <c r="T12" s="4">
        <f>SUM(OSRRefT13x_0)</f>
        <v>567000</v>
      </c>
      <c r="U12" s="4"/>
      <c r="V12" s="12"/>
      <c r="W12" s="4"/>
      <c r="X12" s="4">
        <f t="shared" ref="X12:X16" si="2">+P12-T12</f>
        <v>-239087.82</v>
      </c>
      <c r="Y12" s="4"/>
      <c r="Z12" s="12">
        <f t="shared" ref="Z12:Z16" si="3">IF(T12=0,0,X12/T12)</f>
        <v>-0.42167164021164022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60000</v>
      </c>
      <c r="I13" s="2"/>
      <c r="J13" s="19"/>
      <c r="K13" s="2"/>
      <c r="L13" s="2">
        <f t="shared" si="0"/>
        <v>-60000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538000</v>
      </c>
      <c r="U13" s="2"/>
      <c r="V13" s="19"/>
      <c r="W13" s="2"/>
      <c r="X13" s="2">
        <f t="shared" si="2"/>
        <v>-538000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--13780.11</f>
        <v>13780.11</v>
      </c>
      <c r="E14" s="2"/>
      <c r="F14" s="19"/>
      <c r="G14" s="2"/>
      <c r="H14" s="2"/>
      <c r="I14" s="2"/>
      <c r="J14" s="19"/>
      <c r="K14" s="2"/>
      <c r="L14" s="2">
        <f t="shared" si="0"/>
        <v>13780.11</v>
      </c>
      <c r="M14" s="2"/>
      <c r="N14" s="19">
        <f t="shared" si="1"/>
        <v>0</v>
      </c>
      <c r="O14" s="11"/>
      <c r="P14" s="2">
        <f>--293626</f>
        <v>293626</v>
      </c>
      <c r="Q14" s="2"/>
      <c r="R14" s="19"/>
      <c r="S14" s="2"/>
      <c r="T14" s="2"/>
      <c r="U14" s="2"/>
      <c r="V14" s="19"/>
      <c r="W14" s="2"/>
      <c r="X14" s="2">
        <f t="shared" si="2"/>
        <v>293626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4000</v>
      </c>
      <c r="I15" s="2"/>
      <c r="J15" s="19"/>
      <c r="K15" s="2"/>
      <c r="L15" s="2">
        <f t="shared" si="0"/>
        <v>-4000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29000</v>
      </c>
      <c r="U15" s="2"/>
      <c r="V15" s="19"/>
      <c r="W15" s="2"/>
      <c r="X15" s="2">
        <f t="shared" si="2"/>
        <v>-29000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--4077.47</f>
        <v>4077.47</v>
      </c>
      <c r="E16" s="2"/>
      <c r="F16" s="19"/>
      <c r="G16" s="2"/>
      <c r="H16" s="2"/>
      <c r="I16" s="2"/>
      <c r="J16" s="19"/>
      <c r="K16" s="2"/>
      <c r="L16" s="2">
        <f t="shared" si="0"/>
        <v>4077.47</v>
      </c>
      <c r="M16" s="2"/>
      <c r="N16" s="19">
        <f t="shared" si="1"/>
        <v>0</v>
      </c>
      <c r="O16" s="11"/>
      <c r="P16" s="2">
        <f>--34286.18</f>
        <v>34286.18</v>
      </c>
      <c r="Q16" s="2"/>
      <c r="R16" s="19"/>
      <c r="S16" s="2"/>
      <c r="T16" s="2"/>
      <c r="U16" s="2"/>
      <c r="V16" s="19"/>
      <c r="W16" s="2"/>
      <c r="X16" s="2">
        <f t="shared" si="2"/>
        <v>34286.18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22777.279999999999</v>
      </c>
      <c r="E18" s="4"/>
      <c r="F18" s="12">
        <f t="shared" ref="F18:F20" si="4">IF(D$12=0,0,D18/D$12)</f>
        <v>1.2754964558467607</v>
      </c>
      <c r="G18" s="4"/>
      <c r="H18" s="4">
        <f>SUM(OSRRefH16x_0)</f>
        <v>19840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2937.2799999999988</v>
      </c>
      <c r="M18" s="4"/>
      <c r="N18" s="12">
        <f t="shared" ref="N18:N20" si="7">IF(H18=0,0,L18/H18)</f>
        <v>0.14804838709677415</v>
      </c>
      <c r="O18" s="10"/>
      <c r="P18" s="4">
        <f>SUM(OSRRefP16x_0)</f>
        <v>140186.66999999998</v>
      </c>
      <c r="Q18" s="4"/>
      <c r="R18" s="12">
        <f t="shared" ref="R18:R20" si="8">IF(P$12=0,0,P18/P$12)</f>
        <v>0.4275128481046358</v>
      </c>
      <c r="S18" s="4"/>
      <c r="T18" s="4">
        <f>SUM(OSRRefT16x_0)</f>
        <v>175770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-35583.330000000016</v>
      </c>
      <c r="Y18" s="4"/>
      <c r="Z18" s="12">
        <f t="shared" ref="Z18:Z20" si="11">IF(T18=0,0,X18/T18)</f>
        <v>-0.20244256699095417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19840</v>
      </c>
      <c r="I19" s="2"/>
      <c r="J19" s="19">
        <f t="shared" si="5"/>
        <v>0.31</v>
      </c>
      <c r="K19" s="2"/>
      <c r="L19" s="2">
        <f t="shared" si="6"/>
        <v>-19840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175770</v>
      </c>
      <c r="U19" s="2"/>
      <c r="V19" s="19">
        <f t="shared" si="9"/>
        <v>0.31</v>
      </c>
      <c r="W19" s="2"/>
      <c r="X19" s="2">
        <f t="shared" si="10"/>
        <v>-175770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22777.279999999999</v>
      </c>
      <c r="E20" s="2"/>
      <c r="F20" s="19">
        <f t="shared" si="4"/>
        <v>1.2754964558467607</v>
      </c>
      <c r="G20" s="2"/>
      <c r="H20" s="2"/>
      <c r="I20" s="2"/>
      <c r="J20" s="19">
        <f t="shared" si="5"/>
        <v>0</v>
      </c>
      <c r="K20" s="2"/>
      <c r="L20" s="2">
        <f t="shared" si="6"/>
        <v>22777.279999999999</v>
      </c>
      <c r="M20" s="2"/>
      <c r="N20" s="19">
        <f t="shared" si="7"/>
        <v>0</v>
      </c>
      <c r="O20" s="11"/>
      <c r="P20" s="2">
        <v>140186.66999999998</v>
      </c>
      <c r="Q20" s="2"/>
      <c r="R20" s="19">
        <f t="shared" si="8"/>
        <v>0.4275128481046358</v>
      </c>
      <c r="S20" s="2"/>
      <c r="T20" s="2"/>
      <c r="U20" s="2"/>
      <c r="V20" s="19">
        <f t="shared" si="9"/>
        <v>0</v>
      </c>
      <c r="W20" s="2"/>
      <c r="X20" s="2">
        <f t="shared" si="10"/>
        <v>140186.66999999998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D12-D18</f>
        <v>-4919.6999999999971</v>
      </c>
      <c r="E22" s="14"/>
      <c r="F22" s="20">
        <f>IF(D$12=0,0,D22/D$12)</f>
        <v>-0.27549645584676069</v>
      </c>
      <c r="G22" s="14"/>
      <c r="H22" s="22">
        <f>H12-H18</f>
        <v>44160</v>
      </c>
      <c r="I22" s="14"/>
      <c r="J22" s="20">
        <f>IF(H$12=0,0,H22/H$12)</f>
        <v>0.69</v>
      </c>
      <c r="K22" s="16"/>
      <c r="L22" s="22">
        <f>+D22-H22</f>
        <v>-49079.7</v>
      </c>
      <c r="M22" s="16"/>
      <c r="N22" s="20">
        <f>IF(H22=0,0,L22/H22)</f>
        <v>-1.1114062499999999</v>
      </c>
      <c r="O22" s="28"/>
      <c r="P22" s="22">
        <f>P12-P18</f>
        <v>187725.51</v>
      </c>
      <c r="Q22" s="14"/>
      <c r="R22" s="20">
        <f>IF(P$12=0,0,P22/P$12)</f>
        <v>0.57248715189536425</v>
      </c>
      <c r="S22" s="14"/>
      <c r="T22" s="22">
        <f>T12-T18</f>
        <v>391230</v>
      </c>
      <c r="U22" s="14"/>
      <c r="V22" s="20">
        <f>IF(T$12=0,0,T22/T$12)</f>
        <v>0.69</v>
      </c>
      <c r="W22" s="16"/>
      <c r="X22" s="22">
        <f>+P22-T22</f>
        <v>-203504.49</v>
      </c>
      <c r="Y22" s="16"/>
      <c r="Z22" s="20">
        <f>IF(T22=0,0,X22/T22)</f>
        <v>-0.5201658615136876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28555.040000000001</v>
      </c>
      <c r="E24" s="21"/>
      <c r="F24" s="30">
        <f t="shared" ref="F24:F34" si="12">IF(D$12=0,0,D24/D$12)</f>
        <v>1.5990430954250239</v>
      </c>
      <c r="G24" s="21"/>
      <c r="H24" s="21">
        <f>SUM(OSRRefH22x_0)</f>
        <v>44751.171265323108</v>
      </c>
      <c r="I24" s="21"/>
      <c r="J24" s="30">
        <f t="shared" ref="J24:J34" si="13">IF(H$12=0,0,H24/H$12)</f>
        <v>0.69923705102067357</v>
      </c>
      <c r="K24" s="4"/>
      <c r="L24" s="21">
        <f t="shared" ref="L24:L34" si="14">+D24-H24</f>
        <v>-16196.131265323107</v>
      </c>
      <c r="M24" s="4"/>
      <c r="N24" s="30">
        <f t="shared" ref="N24:N34" si="15">IF(H24=0,0,L24/H24)</f>
        <v>-0.36191524841436279</v>
      </c>
      <c r="O24" s="10"/>
      <c r="P24" s="21">
        <f>SUM(OSRRefP22x_0)</f>
        <v>257711.46</v>
      </c>
      <c r="Q24" s="21"/>
      <c r="R24" s="30">
        <f t="shared" ref="R24:R34" si="16">IF(P$12=0,0,P24/P$12)</f>
        <v>0.78591609497396531</v>
      </c>
      <c r="S24" s="21"/>
      <c r="T24" s="21">
        <f>SUM(OSRRefT22x_0)</f>
        <v>382598.05076933472</v>
      </c>
      <c r="U24" s="21"/>
      <c r="V24" s="30">
        <f t="shared" ref="V24:V34" si="17">IF(T$12=0,0,T24/T$12)</f>
        <v>0.67477610364962026</v>
      </c>
      <c r="W24" s="4"/>
      <c r="X24" s="21">
        <f t="shared" ref="X24:X34" si="18">+P24-T24</f>
        <v>-124886.59076933473</v>
      </c>
      <c r="Y24" s="4"/>
      <c r="Z24" s="30">
        <f t="shared" ref="Z24:Z34" si="19">IF(T24=0,0,X24/T24)</f>
        <v>-0.32641721649708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8245.15</v>
      </c>
      <c r="E25" s="1"/>
      <c r="F25" s="5">
        <f t="shared" si="12"/>
        <v>0.46171709716546133</v>
      </c>
      <c r="G25" s="1"/>
      <c r="H25" s="1">
        <f>SUM(OSRRefH22_0x_0)</f>
        <v>11753.816188400007</v>
      </c>
      <c r="I25" s="1"/>
      <c r="J25" s="5">
        <f t="shared" si="13"/>
        <v>0.18365337794375011</v>
      </c>
      <c r="K25" s="1"/>
      <c r="L25" s="1">
        <f t="shared" si="14"/>
        <v>-3508.6661884000077</v>
      </c>
      <c r="M25" s="1"/>
      <c r="N25" s="5">
        <f t="shared" si="15"/>
        <v>-0.29851293674838608</v>
      </c>
      <c r="O25" s="13"/>
      <c r="P25" s="1">
        <f>SUM(OSRRefP22_0x_0)</f>
        <v>69185.59</v>
      </c>
      <c r="Q25" s="1"/>
      <c r="R25" s="5">
        <f t="shared" si="16"/>
        <v>0.21098816762463657</v>
      </c>
      <c r="S25" s="1"/>
      <c r="T25" s="1">
        <f>SUM(OSRRefT22_0x_0)</f>
        <v>86586.073519334634</v>
      </c>
      <c r="U25" s="1"/>
      <c r="V25" s="5">
        <f t="shared" si="17"/>
        <v>0.15270912437272421</v>
      </c>
      <c r="W25" s="1"/>
      <c r="X25" s="1">
        <f t="shared" si="18"/>
        <v>-17400.483519334637</v>
      </c>
      <c r="Y25" s="1"/>
      <c r="Z25" s="5">
        <f t="shared" si="19"/>
        <v>-0.20096168831872388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852.44</v>
      </c>
      <c r="E26" s="2"/>
      <c r="F26" s="7">
        <f t="shared" si="12"/>
        <v>4.7735471435659253E-2</v>
      </c>
      <c r="G26" s="2"/>
      <c r="H26" s="6">
        <v>2135.2602333230802</v>
      </c>
      <c r="I26" s="2"/>
      <c r="J26" s="7">
        <f t="shared" si="13"/>
        <v>3.3363441145673127E-2</v>
      </c>
      <c r="K26" s="2"/>
      <c r="L26" s="6">
        <f t="shared" si="14"/>
        <v>-1282.8202333230802</v>
      </c>
      <c r="M26" s="2"/>
      <c r="N26" s="7">
        <f t="shared" si="15"/>
        <v>-0.60077933982156462</v>
      </c>
      <c r="O26" s="11"/>
      <c r="P26" s="6">
        <v>10084.65</v>
      </c>
      <c r="Q26" s="2"/>
      <c r="R26" s="7">
        <f t="shared" si="16"/>
        <v>3.0754118374010993E-2</v>
      </c>
      <c r="S26" s="2"/>
      <c r="T26" s="6">
        <v>19497.128332950018</v>
      </c>
      <c r="U26" s="2"/>
      <c r="V26" s="7">
        <f t="shared" si="17"/>
        <v>3.4386469723015907E-2</v>
      </c>
      <c r="W26" s="2"/>
      <c r="X26" s="6">
        <f t="shared" si="18"/>
        <v>-9412.4783329500187</v>
      </c>
      <c r="Y26" s="2"/>
      <c r="Z26" s="7">
        <f t="shared" si="19"/>
        <v>-0.48276229053911457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661.75</v>
      </c>
      <c r="E27" s="2"/>
      <c r="F27" s="7">
        <f t="shared" si="12"/>
        <v>3.7057092842367217E-2</v>
      </c>
      <c r="G27" s="2"/>
      <c r="H27" s="6">
        <v>1192.74912861538</v>
      </c>
      <c r="I27" s="2"/>
      <c r="J27" s="7">
        <f t="shared" si="13"/>
        <v>1.8636705134615312E-2</v>
      </c>
      <c r="K27" s="2"/>
      <c r="L27" s="6">
        <f t="shared" si="14"/>
        <v>-530.99912861537996</v>
      </c>
      <c r="M27" s="2"/>
      <c r="N27" s="7">
        <f t="shared" si="15"/>
        <v>-0.44518928236971167</v>
      </c>
      <c r="O27" s="11"/>
      <c r="P27" s="6">
        <v>3070.79</v>
      </c>
      <c r="Q27" s="2"/>
      <c r="R27" s="7">
        <f t="shared" si="16"/>
        <v>9.3646719679641062E-3</v>
      </c>
      <c r="S27" s="2"/>
      <c r="T27" s="6">
        <v>10420.30318199998</v>
      </c>
      <c r="U27" s="2"/>
      <c r="V27" s="7">
        <f t="shared" si="17"/>
        <v>1.8377959756613722E-2</v>
      </c>
      <c r="W27" s="2"/>
      <c r="X27" s="6">
        <f t="shared" si="18"/>
        <v>-7349.5131819999797</v>
      </c>
      <c r="Y27" s="2"/>
      <c r="Z27" s="7">
        <f t="shared" si="19"/>
        <v>-0.70530703892527047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5223.3</v>
      </c>
      <c r="E28" s="2"/>
      <c r="F28" s="7">
        <f t="shared" si="12"/>
        <v>0.29249763965778114</v>
      </c>
      <c r="G28" s="2"/>
      <c r="H28" s="6">
        <v>5182.9230769230799</v>
      </c>
      <c r="I28" s="2"/>
      <c r="J28" s="7">
        <f t="shared" si="13"/>
        <v>8.0983173076923126E-2</v>
      </c>
      <c r="K28" s="2"/>
      <c r="L28" s="6">
        <f t="shared" si="14"/>
        <v>40.37692307692032</v>
      </c>
      <c r="M28" s="2"/>
      <c r="N28" s="7">
        <f t="shared" si="15"/>
        <v>7.7903766808151602E-3</v>
      </c>
      <c r="O28" s="11"/>
      <c r="P28" s="6">
        <v>31716.940000000002</v>
      </c>
      <c r="Q28" s="2"/>
      <c r="R28" s="7">
        <f t="shared" si="16"/>
        <v>9.6723885035316481E-2</v>
      </c>
      <c r="S28" s="2"/>
      <c r="T28" s="6">
        <v>33264.634615384632</v>
      </c>
      <c r="U28" s="2"/>
      <c r="V28" s="7">
        <f t="shared" si="17"/>
        <v>5.8667785917785945E-2</v>
      </c>
      <c r="W28" s="2"/>
      <c r="X28" s="6">
        <f t="shared" si="18"/>
        <v>-1547.6946153846293</v>
      </c>
      <c r="Y28" s="2"/>
      <c r="Z28" s="7">
        <f t="shared" si="19"/>
        <v>-4.6526728258991089E-2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49.33</v>
      </c>
      <c r="E29" s="2"/>
      <c r="F29" s="7">
        <f t="shared" si="12"/>
        <v>2.7624123761450315E-3</v>
      </c>
      <c r="G29" s="2"/>
      <c r="H29" s="6">
        <v>79.926488000000006</v>
      </c>
      <c r="I29" s="2"/>
      <c r="J29" s="7">
        <f t="shared" si="13"/>
        <v>1.2488513750000001E-3</v>
      </c>
      <c r="K29" s="2"/>
      <c r="L29" s="6">
        <f t="shared" si="14"/>
        <v>-30.596488000000008</v>
      </c>
      <c r="M29" s="2"/>
      <c r="N29" s="7">
        <f t="shared" si="15"/>
        <v>-0.38280786214452467</v>
      </c>
      <c r="O29" s="11"/>
      <c r="P29" s="6">
        <v>377.72</v>
      </c>
      <c r="Q29" s="2"/>
      <c r="R29" s="7">
        <f t="shared" si="16"/>
        <v>1.1518937783890797E-3</v>
      </c>
      <c r="S29" s="2"/>
      <c r="T29" s="6">
        <v>698.26773900000001</v>
      </c>
      <c r="U29" s="2"/>
      <c r="V29" s="7">
        <f t="shared" si="17"/>
        <v>1.2315127671957671E-3</v>
      </c>
      <c r="W29" s="2"/>
      <c r="X29" s="6">
        <f t="shared" si="18"/>
        <v>-320.54773899999998</v>
      </c>
      <c r="Y29" s="2"/>
      <c r="Z29" s="7">
        <f t="shared" si="19"/>
        <v>-0.45906136156177191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214.92</v>
      </c>
      <c r="E30" s="2"/>
      <c r="F30" s="7">
        <f t="shared" si="12"/>
        <v>1.2035225377682753E-2</v>
      </c>
      <c r="G30" s="2"/>
      <c r="H30" s="6">
        <v>1244.75341538462</v>
      </c>
      <c r="I30" s="2"/>
      <c r="J30" s="7">
        <f t="shared" si="13"/>
        <v>1.9449272115384688E-2</v>
      </c>
      <c r="K30" s="2"/>
      <c r="L30" s="6">
        <f t="shared" si="14"/>
        <v>-1029.8334153846199</v>
      </c>
      <c r="M30" s="2"/>
      <c r="N30" s="7">
        <f t="shared" si="15"/>
        <v>-0.82733929680876483</v>
      </c>
      <c r="O30" s="11"/>
      <c r="P30" s="6">
        <v>5463.33</v>
      </c>
      <c r="Q30" s="2"/>
      <c r="R30" s="7">
        <f t="shared" si="16"/>
        <v>1.6660954771487903E-2</v>
      </c>
      <c r="S30" s="2"/>
      <c r="T30" s="6">
        <v>8090.8972000000194</v>
      </c>
      <c r="U30" s="2"/>
      <c r="V30" s="7">
        <f t="shared" si="17"/>
        <v>1.4269659964726665E-2</v>
      </c>
      <c r="W30" s="2"/>
      <c r="X30" s="6">
        <f t="shared" si="18"/>
        <v>-2627.5672000000195</v>
      </c>
      <c r="Y30" s="2"/>
      <c r="Z30" s="7">
        <f t="shared" si="19"/>
        <v>-0.32475597391102845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382.61</v>
      </c>
      <c r="E32" s="2"/>
      <c r="F32" s="7">
        <f t="shared" si="12"/>
        <v>2.1425635500442949E-2</v>
      </c>
      <c r="G32" s="2"/>
      <c r="H32" s="6">
        <v>995.97513846153913</v>
      </c>
      <c r="I32" s="2"/>
      <c r="J32" s="7">
        <f t="shared" si="13"/>
        <v>1.556211153846155E-2</v>
      </c>
      <c r="K32" s="2"/>
      <c r="L32" s="6">
        <f t="shared" si="14"/>
        <v>-613.36513846153912</v>
      </c>
      <c r="M32" s="2"/>
      <c r="N32" s="7">
        <f t="shared" si="15"/>
        <v>-0.61584382458480913</v>
      </c>
      <c r="O32" s="11"/>
      <c r="P32" s="6">
        <v>6570.88</v>
      </c>
      <c r="Q32" s="2"/>
      <c r="R32" s="7">
        <f t="shared" si="16"/>
        <v>2.0038535927515717E-2</v>
      </c>
      <c r="S32" s="2"/>
      <c r="T32" s="6">
        <v>6557.9069999999974</v>
      </c>
      <c r="U32" s="2"/>
      <c r="V32" s="7">
        <f t="shared" si="17"/>
        <v>1.156597354497354E-2</v>
      </c>
      <c r="W32" s="2"/>
      <c r="X32" s="6">
        <f t="shared" si="18"/>
        <v>12.973000000002685</v>
      </c>
      <c r="Y32" s="2"/>
      <c r="Z32" s="7">
        <f t="shared" si="19"/>
        <v>1.9782226249934146E-3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353.36</v>
      </c>
      <c r="E33" s="2"/>
      <c r="F33" s="7">
        <f t="shared" si="12"/>
        <v>1.9787675597701369E-2</v>
      </c>
      <c r="G33" s="2"/>
      <c r="H33" s="6">
        <v>922.22870769230792</v>
      </c>
      <c r="I33" s="2"/>
      <c r="J33" s="7">
        <f t="shared" si="13"/>
        <v>1.4409823557692311E-2</v>
      </c>
      <c r="K33" s="2"/>
      <c r="L33" s="6">
        <f t="shared" si="14"/>
        <v>-568.86870769230791</v>
      </c>
      <c r="M33" s="2"/>
      <c r="N33" s="7">
        <f t="shared" si="15"/>
        <v>-0.61684124875681601</v>
      </c>
      <c r="O33" s="11"/>
      <c r="P33" s="6">
        <v>8888.9699999999993</v>
      </c>
      <c r="Q33" s="2"/>
      <c r="R33" s="7">
        <f t="shared" si="16"/>
        <v>2.7107776234478388E-2</v>
      </c>
      <c r="S33" s="2"/>
      <c r="T33" s="6">
        <v>8056.9354499999972</v>
      </c>
      <c r="U33" s="2"/>
      <c r="V33" s="7">
        <f t="shared" si="17"/>
        <v>1.4209762698412693E-2</v>
      </c>
      <c r="W33" s="2"/>
      <c r="X33" s="6">
        <f t="shared" si="18"/>
        <v>832.03455000000213</v>
      </c>
      <c r="Y33" s="2"/>
      <c r="Z33" s="7">
        <f t="shared" si="19"/>
        <v>0.10326935783009189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507.44</v>
      </c>
      <c r="E34" s="2"/>
      <c r="F34" s="7">
        <f t="shared" si="12"/>
        <v>2.8415944377681631E-2</v>
      </c>
      <c r="G34" s="2"/>
      <c r="H34" s="6"/>
      <c r="I34" s="2"/>
      <c r="J34" s="7">
        <f t="shared" si="13"/>
        <v>0</v>
      </c>
      <c r="K34" s="2"/>
      <c r="L34" s="6">
        <f t="shared" si="14"/>
        <v>507.44</v>
      </c>
      <c r="M34" s="2"/>
      <c r="N34" s="7">
        <f t="shared" si="15"/>
        <v>0</v>
      </c>
      <c r="O34" s="11"/>
      <c r="P34" s="6">
        <v>3012.31</v>
      </c>
      <c r="Q34" s="2"/>
      <c r="R34" s="7">
        <f t="shared" si="16"/>
        <v>9.1863315354739194E-3</v>
      </c>
      <c r="S34" s="2"/>
      <c r="T34" s="6"/>
      <c r="U34" s="2"/>
      <c r="V34" s="7">
        <f t="shared" si="17"/>
        <v>0</v>
      </c>
      <c r="W34" s="2"/>
      <c r="X34" s="6">
        <f t="shared" si="18"/>
        <v>3012.31</v>
      </c>
      <c r="Y34" s="2"/>
      <c r="Z34" s="7">
        <f t="shared" si="19"/>
        <v>0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15356.220000000001</v>
      </c>
      <c r="E35" s="1"/>
      <c r="F35" s="5">
        <f t="shared" ref="F35:F45" si="20">IF(D$12=0,0,D35/D$12)</f>
        <v>0.85992726898045535</v>
      </c>
      <c r="G35" s="1"/>
      <c r="H35" s="1">
        <f>SUM(OSRRefH22_1x_0)</f>
        <v>26440.195076923097</v>
      </c>
      <c r="I35" s="1"/>
      <c r="J35" s="5">
        <f t="shared" ref="J35:J45" si="21">IF(H$12=0,0,H35/H$12)</f>
        <v>0.41312804807692338</v>
      </c>
      <c r="K35" s="1"/>
      <c r="L35" s="1">
        <f t="shared" ref="L35:L45" si="22">+D35-H35</f>
        <v>-11083.975076923096</v>
      </c>
      <c r="M35" s="1"/>
      <c r="N35" s="5">
        <f t="shared" ref="N35:N45" si="23">IF(H35=0,0,L35/H35)</f>
        <v>-0.41920927756683413</v>
      </c>
      <c r="O35" s="13"/>
      <c r="P35" s="1">
        <f>SUM(OSRRefP22_1x_0)</f>
        <v>149543.99</v>
      </c>
      <c r="Q35" s="1"/>
      <c r="R35" s="5">
        <f t="shared" ref="R35:R45" si="24">IF(P$12=0,0,P35/P$12)</f>
        <v>0.4560489030935051</v>
      </c>
      <c r="S35" s="1"/>
      <c r="T35" s="1">
        <f>SUM(OSRRefT22_1x_0)</f>
        <v>240484.47725</v>
      </c>
      <c r="U35" s="1"/>
      <c r="V35" s="5">
        <f t="shared" ref="V35:V45" si="25">IF(T$12=0,0,T35/T$12)</f>
        <v>0.42413488051146386</v>
      </c>
      <c r="W35" s="1"/>
      <c r="X35" s="1">
        <f t="shared" ref="X35:X45" si="26">+P35-T35</f>
        <v>-90940.487250000006</v>
      </c>
      <c r="Y35" s="1"/>
      <c r="Z35" s="5">
        <f t="shared" ref="Z35:Z45" si="27">IF(T35=0,0,X35/T35)</f>
        <v>-0.37815533164521542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3076.94</v>
      </c>
      <c r="E37" s="2"/>
      <c r="F37" s="7">
        <f t="shared" si="20"/>
        <v>0.17230442198774973</v>
      </c>
      <c r="G37" s="2"/>
      <c r="H37" s="6">
        <v>13165.9670769231</v>
      </c>
      <c r="I37" s="2"/>
      <c r="J37" s="7">
        <f t="shared" si="21"/>
        <v>0.20571823557692342</v>
      </c>
      <c r="K37" s="2"/>
      <c r="L37" s="6">
        <f t="shared" si="22"/>
        <v>-10089.027076923099</v>
      </c>
      <c r="M37" s="2"/>
      <c r="N37" s="7">
        <f t="shared" si="23"/>
        <v>-0.76629593693932552</v>
      </c>
      <c r="O37" s="11"/>
      <c r="P37" s="6">
        <v>50284.009999999995</v>
      </c>
      <c r="Q37" s="2"/>
      <c r="R37" s="7">
        <f t="shared" si="24"/>
        <v>0.15334596598394118</v>
      </c>
      <c r="S37" s="2"/>
      <c r="T37" s="6">
        <v>85578.786000000007</v>
      </c>
      <c r="U37" s="2"/>
      <c r="V37" s="7">
        <f t="shared" si="25"/>
        <v>0.15093260317460319</v>
      </c>
      <c r="W37" s="2"/>
      <c r="X37" s="6">
        <f t="shared" si="26"/>
        <v>-35294.776000000013</v>
      </c>
      <c r="Y37" s="2"/>
      <c r="Z37" s="7">
        <f t="shared" si="27"/>
        <v>-0.41242435946684275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>
        <v>4365.18</v>
      </c>
      <c r="E39" s="2"/>
      <c r="F39" s="7">
        <f t="shared" si="20"/>
        <v>0.2444440960085297</v>
      </c>
      <c r="G39" s="2"/>
      <c r="H39" s="6">
        <v>13274.227999999999</v>
      </c>
      <c r="I39" s="2"/>
      <c r="J39" s="7">
        <f t="shared" si="21"/>
        <v>0.20740981249999998</v>
      </c>
      <c r="K39" s="2"/>
      <c r="L39" s="6">
        <f t="shared" si="22"/>
        <v>-8909.0479999999989</v>
      </c>
      <c r="M39" s="2"/>
      <c r="N39" s="7">
        <f t="shared" si="23"/>
        <v>-0.67115375749158446</v>
      </c>
      <c r="O39" s="11"/>
      <c r="P39" s="6">
        <v>31641.929999999997</v>
      </c>
      <c r="Q39" s="2"/>
      <c r="R39" s="7">
        <f t="shared" si="24"/>
        <v>9.6495134764436011E-2</v>
      </c>
      <c r="S39" s="2"/>
      <c r="T39" s="6">
        <v>154905.69125</v>
      </c>
      <c r="U39" s="2"/>
      <c r="V39" s="7">
        <f t="shared" si="25"/>
        <v>0.2732022773368607</v>
      </c>
      <c r="W39" s="2"/>
      <c r="X39" s="6">
        <f t="shared" si="26"/>
        <v>-123263.76125000001</v>
      </c>
      <c r="Y39" s="2"/>
      <c r="Z39" s="7">
        <f t="shared" si="27"/>
        <v>-0.79573423194030002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3540.22</v>
      </c>
      <c r="E40" s="2"/>
      <c r="F40" s="7">
        <f t="shared" si="20"/>
        <v>0.1982474669020102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3540.22</v>
      </c>
      <c r="M40" s="2"/>
      <c r="N40" s="7">
        <f t="shared" si="23"/>
        <v>0</v>
      </c>
      <c r="O40" s="11"/>
      <c r="P40" s="6">
        <v>32738.83</v>
      </c>
      <c r="Q40" s="2"/>
      <c r="R40" s="7">
        <f t="shared" si="24"/>
        <v>9.9840237712426547E-2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32738.83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1299.6300000000001</v>
      </c>
      <c r="Q41" s="2"/>
      <c r="R41" s="7">
        <f t="shared" si="24"/>
        <v>3.963347747558508E-3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1299.6300000000001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4373.88</v>
      </c>
      <c r="E42" s="2"/>
      <c r="F42" s="7">
        <f t="shared" si="20"/>
        <v>0.24493128408216566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4373.88</v>
      </c>
      <c r="M42" s="2"/>
      <c r="N42" s="7">
        <f t="shared" si="23"/>
        <v>0</v>
      </c>
      <c r="O42" s="11"/>
      <c r="P42" s="6">
        <v>30174.37</v>
      </c>
      <c r="Q42" s="2"/>
      <c r="R42" s="7">
        <f t="shared" si="24"/>
        <v>9.2019668192867984E-2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30174.37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3405.22</v>
      </c>
      <c r="Q43" s="2"/>
      <c r="R43" s="7">
        <f t="shared" si="24"/>
        <v>1.0384548692274865E-2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3405.22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8">IF(D$12=0,0,D46/D$12)</f>
        <v>0</v>
      </c>
      <c r="G46" s="1"/>
      <c r="H46" s="1">
        <f>SUM(OSRRefH22_2x_0)</f>
        <v>50</v>
      </c>
      <c r="I46" s="1"/>
      <c r="J46" s="5">
        <f t="shared" ref="J46:J55" si="29">IF(H$12=0,0,H46/H$12)</f>
        <v>7.8125000000000004E-4</v>
      </c>
      <c r="K46" s="1"/>
      <c r="L46" s="1">
        <f t="shared" ref="L46:L55" si="30">+D46-H46</f>
        <v>-50</v>
      </c>
      <c r="M46" s="1"/>
      <c r="N46" s="5">
        <f t="shared" ref="N46:N55" si="31">IF(H46=0,0,L46/H46)</f>
        <v>-1</v>
      </c>
      <c r="O46" s="13"/>
      <c r="P46" s="1">
        <f>SUM(OSRRefP22_2x_0)</f>
        <v>339.52</v>
      </c>
      <c r="Q46" s="1"/>
      <c r="R46" s="5">
        <f t="shared" ref="R46:R55" si="32">IF(P$12=0,0,P46/P$12)</f>
        <v>1.0353991730346825E-3</v>
      </c>
      <c r="S46" s="1"/>
      <c r="T46" s="1">
        <f>SUM(OSRRefT22_2x_0)</f>
        <v>1050</v>
      </c>
      <c r="U46" s="1"/>
      <c r="V46" s="5">
        <f t="shared" ref="V46:V55" si="33">IF(T$12=0,0,T46/T$12)</f>
        <v>1.8518518518518519E-3</v>
      </c>
      <c r="W46" s="1"/>
      <c r="X46" s="1">
        <f t="shared" ref="X46:X55" si="34">+P46-T46</f>
        <v>-710.48</v>
      </c>
      <c r="Y46" s="1"/>
      <c r="Z46" s="5">
        <f t="shared" ref="Z46:Z55" si="35">IF(T46=0,0,X46/T46)</f>
        <v>-0.67664761904761905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50</v>
      </c>
      <c r="I47" s="2"/>
      <c r="J47" s="7">
        <f t="shared" si="29"/>
        <v>7.8125000000000004E-4</v>
      </c>
      <c r="K47" s="2"/>
      <c r="L47" s="6">
        <f t="shared" si="30"/>
        <v>-50</v>
      </c>
      <c r="M47" s="2"/>
      <c r="N47" s="7">
        <f t="shared" si="31"/>
        <v>-1</v>
      </c>
      <c r="O47" s="11"/>
      <c r="P47" s="6">
        <v>339.52</v>
      </c>
      <c r="Q47" s="2"/>
      <c r="R47" s="7">
        <f t="shared" si="32"/>
        <v>1.0353991730346825E-3</v>
      </c>
      <c r="S47" s="2"/>
      <c r="T47" s="6">
        <v>1050</v>
      </c>
      <c r="U47" s="2"/>
      <c r="V47" s="7">
        <f t="shared" si="33"/>
        <v>1.8518518518518519E-3</v>
      </c>
      <c r="W47" s="2"/>
      <c r="X47" s="6">
        <f t="shared" si="34"/>
        <v>-710.48</v>
      </c>
      <c r="Y47" s="2"/>
      <c r="Z47" s="7">
        <f t="shared" si="35"/>
        <v>-0.67664761904761905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0.56999999999999995</v>
      </c>
      <c r="E48" s="1"/>
      <c r="F48" s="5">
        <f t="shared" si="28"/>
        <v>3.1919218617528239E-5</v>
      </c>
      <c r="G48" s="1"/>
      <c r="H48" s="1">
        <f>SUM(OSRRefH22_3x_0)</f>
        <v>-1</v>
      </c>
      <c r="I48" s="1"/>
      <c r="J48" s="5">
        <f t="shared" si="29"/>
        <v>-1.5625E-5</v>
      </c>
      <c r="K48" s="1"/>
      <c r="L48" s="1">
        <f t="shared" si="30"/>
        <v>1.5699999999999998</v>
      </c>
      <c r="M48" s="1"/>
      <c r="N48" s="5">
        <f t="shared" si="31"/>
        <v>-1.5699999999999998</v>
      </c>
      <c r="O48" s="13"/>
      <c r="P48" s="1">
        <f>SUM(OSRRefP22_3x_0)</f>
        <v>0.23</v>
      </c>
      <c r="Q48" s="1"/>
      <c r="R48" s="5">
        <f t="shared" si="32"/>
        <v>7.0140730972542719E-7</v>
      </c>
      <c r="S48" s="1"/>
      <c r="T48" s="1">
        <f>SUM(OSRRefT22_3x_0)</f>
        <v>-6</v>
      </c>
      <c r="U48" s="1"/>
      <c r="V48" s="5">
        <f t="shared" si="33"/>
        <v>-1.0582010582010582E-5</v>
      </c>
      <c r="W48" s="1"/>
      <c r="X48" s="1">
        <f t="shared" si="34"/>
        <v>6.23</v>
      </c>
      <c r="Y48" s="1"/>
      <c r="Z48" s="5">
        <f t="shared" si="35"/>
        <v>-1.0383333333333333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0.56999999999999995</v>
      </c>
      <c r="E49" s="2"/>
      <c r="F49" s="7">
        <f t="shared" si="28"/>
        <v>3.1919218617528239E-5</v>
      </c>
      <c r="G49" s="2"/>
      <c r="H49" s="6">
        <v>-1</v>
      </c>
      <c r="I49" s="2"/>
      <c r="J49" s="7">
        <f t="shared" si="29"/>
        <v>-1.5625E-5</v>
      </c>
      <c r="K49" s="2"/>
      <c r="L49" s="6">
        <f t="shared" si="30"/>
        <v>1.5699999999999998</v>
      </c>
      <c r="M49" s="2"/>
      <c r="N49" s="7">
        <f t="shared" si="31"/>
        <v>-1.5699999999999998</v>
      </c>
      <c r="O49" s="11"/>
      <c r="P49" s="6">
        <v>0.23</v>
      </c>
      <c r="Q49" s="2"/>
      <c r="R49" s="7">
        <f t="shared" si="32"/>
        <v>7.0140730972542719E-7</v>
      </c>
      <c r="S49" s="2"/>
      <c r="T49" s="6">
        <v>-6</v>
      </c>
      <c r="U49" s="2"/>
      <c r="V49" s="7">
        <f t="shared" si="33"/>
        <v>-1.0582010582010582E-5</v>
      </c>
      <c r="W49" s="2"/>
      <c r="X49" s="6">
        <f t="shared" si="34"/>
        <v>6.23</v>
      </c>
      <c r="Y49" s="2"/>
      <c r="Z49" s="7">
        <f t="shared" si="35"/>
        <v>-1.0383333333333333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452.6</v>
      </c>
      <c r="E50" s="1"/>
      <c r="F50" s="5">
        <f t="shared" si="28"/>
        <v>2.5344979554900494E-2</v>
      </c>
      <c r="G50" s="1"/>
      <c r="H50" s="1">
        <f>SUM(OSRRefH22_4x_0)</f>
        <v>600</v>
      </c>
      <c r="I50" s="1"/>
      <c r="J50" s="5">
        <f t="shared" si="29"/>
        <v>9.3749999999999997E-3</v>
      </c>
      <c r="K50" s="1"/>
      <c r="L50" s="1">
        <f t="shared" si="30"/>
        <v>-147.39999999999998</v>
      </c>
      <c r="M50" s="1"/>
      <c r="N50" s="5">
        <f t="shared" si="31"/>
        <v>-0.24566666666666662</v>
      </c>
      <c r="O50" s="13"/>
      <c r="P50" s="1">
        <f>SUM(OSRRefP22_4x_0)</f>
        <v>4559.67</v>
      </c>
      <c r="Q50" s="1"/>
      <c r="R50" s="5">
        <f t="shared" si="32"/>
        <v>1.3905155947546688E-2</v>
      </c>
      <c r="S50" s="1"/>
      <c r="T50" s="1">
        <f>SUM(OSRRefT22_4x_0)</f>
        <v>6950</v>
      </c>
      <c r="U50" s="1"/>
      <c r="V50" s="5">
        <f t="shared" si="33"/>
        <v>1.2257495590828924E-2</v>
      </c>
      <c r="W50" s="1"/>
      <c r="X50" s="1">
        <f t="shared" si="34"/>
        <v>-2390.33</v>
      </c>
      <c r="Y50" s="1"/>
      <c r="Z50" s="5">
        <f t="shared" si="35"/>
        <v>-0.34393237410071942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452.6</v>
      </c>
      <c r="E51" s="2"/>
      <c r="F51" s="7">
        <f t="shared" si="28"/>
        <v>2.5344979554900494E-2</v>
      </c>
      <c r="G51" s="2"/>
      <c r="H51" s="6">
        <v>600</v>
      </c>
      <c r="I51" s="2"/>
      <c r="J51" s="7">
        <f t="shared" si="29"/>
        <v>9.3749999999999997E-3</v>
      </c>
      <c r="K51" s="2"/>
      <c r="L51" s="6">
        <f t="shared" si="30"/>
        <v>-147.39999999999998</v>
      </c>
      <c r="M51" s="2"/>
      <c r="N51" s="7">
        <f t="shared" si="31"/>
        <v>-0.24566666666666662</v>
      </c>
      <c r="O51" s="11"/>
      <c r="P51" s="6">
        <v>4559.67</v>
      </c>
      <c r="Q51" s="2"/>
      <c r="R51" s="7">
        <f t="shared" si="32"/>
        <v>1.3905155947546688E-2</v>
      </c>
      <c r="S51" s="2"/>
      <c r="T51" s="6">
        <v>6950</v>
      </c>
      <c r="U51" s="2"/>
      <c r="V51" s="7">
        <f t="shared" si="33"/>
        <v>1.2257495590828924E-2</v>
      </c>
      <c r="W51" s="2"/>
      <c r="X51" s="6">
        <f t="shared" si="34"/>
        <v>-2390.33</v>
      </c>
      <c r="Y51" s="2"/>
      <c r="Z51" s="7">
        <f t="shared" si="35"/>
        <v>-0.34393237410071942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1.6687031501468844E-2</v>
      </c>
      <c r="G52" s="1"/>
      <c r="H52" s="1">
        <f>SUM(OSRRefH22_5x_0)</f>
        <v>1621</v>
      </c>
      <c r="I52" s="1"/>
      <c r="J52" s="5">
        <f t="shared" si="29"/>
        <v>2.5328125E-2</v>
      </c>
      <c r="K52" s="1"/>
      <c r="L52" s="1">
        <f t="shared" si="30"/>
        <v>-1323.01</v>
      </c>
      <c r="M52" s="1"/>
      <c r="N52" s="5">
        <f t="shared" si="31"/>
        <v>-0.81616903146206043</v>
      </c>
      <c r="O52" s="13"/>
      <c r="P52" s="1">
        <f>SUM(OSRRefP22_5x_0)</f>
        <v>1787.94</v>
      </c>
      <c r="Q52" s="1"/>
      <c r="R52" s="5">
        <f t="shared" si="32"/>
        <v>5.4524964580455661E-3</v>
      </c>
      <c r="S52" s="1"/>
      <c r="T52" s="1">
        <f>SUM(OSRRefT22_5x_0)</f>
        <v>6090</v>
      </c>
      <c r="U52" s="1"/>
      <c r="V52" s="5">
        <f t="shared" si="33"/>
        <v>1.074074074074074E-2</v>
      </c>
      <c r="W52" s="1"/>
      <c r="X52" s="1">
        <f t="shared" si="34"/>
        <v>-4302.0599999999995</v>
      </c>
      <c r="Y52" s="1"/>
      <c r="Z52" s="5">
        <f t="shared" si="35"/>
        <v>-0.70641379310344821</v>
      </c>
    </row>
    <row r="53" spans="1:26" s="24" customFormat="1" hidden="1" outlineLevel="2" x14ac:dyDescent="0.25">
      <c r="A53" s="26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297.99</v>
      </c>
      <c r="E53" s="2"/>
      <c r="F53" s="7">
        <f t="shared" si="28"/>
        <v>1.6687031501468844E-2</v>
      </c>
      <c r="G53" s="2"/>
      <c r="H53" s="6">
        <v>298</v>
      </c>
      <c r="I53" s="2"/>
      <c r="J53" s="7">
        <f t="shared" si="29"/>
        <v>4.6562499999999998E-3</v>
      </c>
      <c r="K53" s="2"/>
      <c r="L53" s="6">
        <f t="shared" si="30"/>
        <v>-9.9999999999909051E-3</v>
      </c>
      <c r="M53" s="2"/>
      <c r="N53" s="7">
        <f t="shared" si="31"/>
        <v>-3.3557046979835255E-5</v>
      </c>
      <c r="O53" s="11"/>
      <c r="P53" s="6">
        <v>1787.94</v>
      </c>
      <c r="Q53" s="2"/>
      <c r="R53" s="7">
        <f t="shared" si="32"/>
        <v>5.4524964580455661E-3</v>
      </c>
      <c r="S53" s="2"/>
      <c r="T53" s="6">
        <v>1788</v>
      </c>
      <c r="U53" s="2"/>
      <c r="V53" s="7">
        <f t="shared" si="33"/>
        <v>3.1534391534391534E-3</v>
      </c>
      <c r="W53" s="2"/>
      <c r="X53" s="6">
        <f t="shared" si="34"/>
        <v>-5.999999999994543E-2</v>
      </c>
      <c r="Y53" s="2"/>
      <c r="Z53" s="7">
        <f t="shared" si="35"/>
        <v>-3.3557046979835255E-5</v>
      </c>
    </row>
    <row r="54" spans="1:26" s="24" customFormat="1" hidden="1" outlineLevel="2" x14ac:dyDescent="0.25">
      <c r="A54" s="26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573</v>
      </c>
      <c r="I54" s="2"/>
      <c r="J54" s="7">
        <f t="shared" si="29"/>
        <v>8.9531249999999993E-3</v>
      </c>
      <c r="K54" s="2"/>
      <c r="L54" s="6">
        <f t="shared" si="30"/>
        <v>-573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2052</v>
      </c>
      <c r="U54" s="2"/>
      <c r="V54" s="7">
        <f t="shared" si="33"/>
        <v>3.619047619047619E-3</v>
      </c>
      <c r="W54" s="2"/>
      <c r="X54" s="6">
        <f t="shared" si="34"/>
        <v>-2052</v>
      </c>
      <c r="Y54" s="2"/>
      <c r="Z54" s="7">
        <f t="shared" si="35"/>
        <v>-1</v>
      </c>
    </row>
    <row r="55" spans="1:26" s="24" customFormat="1" hidden="1" outlineLevel="2" x14ac:dyDescent="0.25">
      <c r="A55" s="26"/>
      <c r="B55" s="11" t="str">
        <f>CONCATENATE("          ", "6326", " - ", "VEHICLES DEPRECIATION EXPENSE")</f>
        <v xml:space="preserve">          6326 - VEHICLES DEPRECIATION EXPENSE</v>
      </c>
      <c r="C55" s="11"/>
      <c r="D55" s="6"/>
      <c r="E55" s="2"/>
      <c r="F55" s="7">
        <f t="shared" si="28"/>
        <v>0</v>
      </c>
      <c r="G55" s="2"/>
      <c r="H55" s="6">
        <v>750</v>
      </c>
      <c r="I55" s="2"/>
      <c r="J55" s="7">
        <f t="shared" si="29"/>
        <v>1.171875E-2</v>
      </c>
      <c r="K55" s="2"/>
      <c r="L55" s="6">
        <f t="shared" si="30"/>
        <v>-750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2250</v>
      </c>
      <c r="U55" s="2"/>
      <c r="V55" s="7">
        <f t="shared" si="33"/>
        <v>3.968253968253968E-3</v>
      </c>
      <c r="W55" s="2"/>
      <c r="X55" s="6">
        <f t="shared" si="34"/>
        <v>-2250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60</v>
      </c>
      <c r="E56" s="1"/>
      <c r="F56" s="5">
        <f t="shared" ref="F56:F64" si="36">IF(D$12=0,0,D56/D$12)</f>
        <v>3.359917749213499E-3</v>
      </c>
      <c r="G56" s="1"/>
      <c r="H56" s="1">
        <f>SUM(OSRRefH22_6x_0)</f>
        <v>300</v>
      </c>
      <c r="I56" s="1"/>
      <c r="J56" s="5">
        <f t="shared" ref="J56:J64" si="37">IF(H$12=0,0,H56/H$12)</f>
        <v>4.6874999999999998E-3</v>
      </c>
      <c r="K56" s="1"/>
      <c r="L56" s="1">
        <f t="shared" ref="L56:L64" si="38">+D56-H56</f>
        <v>-240</v>
      </c>
      <c r="M56" s="1"/>
      <c r="N56" s="5">
        <f t="shared" ref="N56:N64" si="39">IF(H56=0,0,L56/H56)</f>
        <v>-0.8</v>
      </c>
      <c r="O56" s="13"/>
      <c r="P56" s="1">
        <f>SUM(OSRRefP22_6x_0)</f>
        <v>60</v>
      </c>
      <c r="Q56" s="1"/>
      <c r="R56" s="5">
        <f t="shared" ref="R56:R64" si="40">IF(P$12=0,0,P56/P$12)</f>
        <v>1.8297581992837228E-4</v>
      </c>
      <c r="S56" s="1"/>
      <c r="T56" s="1">
        <f>SUM(OSRRefT22_6x_0)</f>
        <v>300</v>
      </c>
      <c r="U56" s="1"/>
      <c r="V56" s="5">
        <f t="shared" ref="V56:V64" si="41">IF(T$12=0,0,T56/T$12)</f>
        <v>5.2910052910052914E-4</v>
      </c>
      <c r="W56" s="1"/>
      <c r="X56" s="1">
        <f t="shared" ref="X56:X64" si="42">+P56-T56</f>
        <v>-240</v>
      </c>
      <c r="Y56" s="1"/>
      <c r="Z56" s="5">
        <f t="shared" ref="Z56:Z64" si="43">IF(T56=0,0,X56/T56)</f>
        <v>-0.8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60</v>
      </c>
      <c r="E57" s="2"/>
      <c r="F57" s="7">
        <f t="shared" si="36"/>
        <v>3.359917749213499E-3</v>
      </c>
      <c r="G57" s="2"/>
      <c r="H57" s="6">
        <v>300</v>
      </c>
      <c r="I57" s="2"/>
      <c r="J57" s="7">
        <f t="shared" si="37"/>
        <v>4.6874999999999998E-3</v>
      </c>
      <c r="K57" s="2"/>
      <c r="L57" s="6">
        <f t="shared" si="38"/>
        <v>-240</v>
      </c>
      <c r="M57" s="2"/>
      <c r="N57" s="7">
        <f t="shared" si="39"/>
        <v>-0.8</v>
      </c>
      <c r="O57" s="11"/>
      <c r="P57" s="6">
        <v>60</v>
      </c>
      <c r="Q57" s="2"/>
      <c r="R57" s="7">
        <f t="shared" si="40"/>
        <v>1.8297581992837228E-4</v>
      </c>
      <c r="S57" s="2"/>
      <c r="T57" s="6">
        <v>300</v>
      </c>
      <c r="U57" s="2"/>
      <c r="V57" s="7">
        <f t="shared" si="41"/>
        <v>5.2910052910052914E-4</v>
      </c>
      <c r="W57" s="2"/>
      <c r="X57" s="6">
        <f t="shared" si="42"/>
        <v>-240</v>
      </c>
      <c r="Y57" s="2"/>
      <c r="Z57" s="7">
        <f t="shared" si="43"/>
        <v>-0.8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126.35</v>
      </c>
      <c r="E58" s="1"/>
      <c r="F58" s="5">
        <f t="shared" si="36"/>
        <v>7.0754267935520931E-3</v>
      </c>
      <c r="G58" s="1"/>
      <c r="H58" s="1">
        <f>SUM(OSRRefH22_7x_0)</f>
        <v>100</v>
      </c>
      <c r="I58" s="1"/>
      <c r="J58" s="5">
        <f t="shared" si="37"/>
        <v>1.5625000000000001E-3</v>
      </c>
      <c r="K58" s="1"/>
      <c r="L58" s="1">
        <f t="shared" si="38"/>
        <v>26.349999999999994</v>
      </c>
      <c r="M58" s="1"/>
      <c r="N58" s="5">
        <f t="shared" si="39"/>
        <v>0.26349999999999996</v>
      </c>
      <c r="O58" s="13"/>
      <c r="P58" s="1">
        <f>SUM(OSRRefP22_7x_0)</f>
        <v>599.82000000000005</v>
      </c>
      <c r="Q58" s="1"/>
      <c r="R58" s="5">
        <f t="shared" si="40"/>
        <v>1.829209271823938E-3</v>
      </c>
      <c r="S58" s="1"/>
      <c r="T58" s="1">
        <f>SUM(OSRRefT22_7x_0)</f>
        <v>600</v>
      </c>
      <c r="U58" s="1"/>
      <c r="V58" s="5">
        <f t="shared" si="41"/>
        <v>1.0582010582010583E-3</v>
      </c>
      <c r="W58" s="1"/>
      <c r="X58" s="1">
        <f t="shared" si="42"/>
        <v>-0.17999999999994998</v>
      </c>
      <c r="Y58" s="1"/>
      <c r="Z58" s="5">
        <f t="shared" si="43"/>
        <v>-2.9999999999991665E-4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126.35</v>
      </c>
      <c r="E59" s="2"/>
      <c r="F59" s="7">
        <f t="shared" si="36"/>
        <v>7.0754267935520931E-3</v>
      </c>
      <c r="G59" s="2"/>
      <c r="H59" s="6">
        <v>100</v>
      </c>
      <c r="I59" s="2"/>
      <c r="J59" s="7">
        <f t="shared" si="37"/>
        <v>1.5625000000000001E-3</v>
      </c>
      <c r="K59" s="2"/>
      <c r="L59" s="6">
        <f t="shared" si="38"/>
        <v>26.349999999999994</v>
      </c>
      <c r="M59" s="2"/>
      <c r="N59" s="7">
        <f t="shared" si="39"/>
        <v>0.26349999999999996</v>
      </c>
      <c r="O59" s="11"/>
      <c r="P59" s="6">
        <v>599.82000000000005</v>
      </c>
      <c r="Q59" s="2"/>
      <c r="R59" s="7">
        <f t="shared" si="40"/>
        <v>1.829209271823938E-3</v>
      </c>
      <c r="S59" s="2"/>
      <c r="T59" s="6">
        <v>600</v>
      </c>
      <c r="U59" s="2"/>
      <c r="V59" s="7">
        <f t="shared" si="41"/>
        <v>1.0582010582010583E-3</v>
      </c>
      <c r="W59" s="2"/>
      <c r="X59" s="6">
        <f t="shared" si="42"/>
        <v>-0.17999999999994998</v>
      </c>
      <c r="Y59" s="2"/>
      <c r="Z59" s="7">
        <f t="shared" si="43"/>
        <v>-2.9999999999991665E-4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34.659999999999997</v>
      </c>
      <c r="E60" s="1"/>
      <c r="F60" s="5">
        <f t="shared" si="36"/>
        <v>1.9409124864623311E-3</v>
      </c>
      <c r="G60" s="1"/>
      <c r="H60" s="1">
        <f>SUM(OSRRefH22_8x_0)</f>
        <v>25</v>
      </c>
      <c r="I60" s="1"/>
      <c r="J60" s="5">
        <f t="shared" si="37"/>
        <v>3.9062500000000002E-4</v>
      </c>
      <c r="K60" s="1"/>
      <c r="L60" s="1">
        <f t="shared" si="38"/>
        <v>9.6599999999999966</v>
      </c>
      <c r="M60" s="1"/>
      <c r="N60" s="5">
        <f t="shared" si="39"/>
        <v>0.38639999999999985</v>
      </c>
      <c r="O60" s="13"/>
      <c r="P60" s="1">
        <f>SUM(OSRRefP22_8x_0)</f>
        <v>2491.7399999999998</v>
      </c>
      <c r="Q60" s="1"/>
      <c r="R60" s="5">
        <f t="shared" si="40"/>
        <v>7.598802825805372E-3</v>
      </c>
      <c r="S60" s="1"/>
      <c r="T60" s="1">
        <f>SUM(OSRRefT22_8x_0)</f>
        <v>3775</v>
      </c>
      <c r="U60" s="1"/>
      <c r="V60" s="5">
        <f t="shared" si="41"/>
        <v>6.6578483245149913E-3</v>
      </c>
      <c r="W60" s="1"/>
      <c r="X60" s="1">
        <f t="shared" si="42"/>
        <v>-1283.2600000000002</v>
      </c>
      <c r="Y60" s="1"/>
      <c r="Z60" s="5">
        <f t="shared" si="43"/>
        <v>-0.33993642384105965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34.659999999999997</v>
      </c>
      <c r="E61" s="2"/>
      <c r="F61" s="7">
        <f t="shared" si="36"/>
        <v>1.9409124864623311E-3</v>
      </c>
      <c r="G61" s="2"/>
      <c r="H61" s="6">
        <v>25</v>
      </c>
      <c r="I61" s="2"/>
      <c r="J61" s="7">
        <f t="shared" si="37"/>
        <v>3.9062500000000002E-4</v>
      </c>
      <c r="K61" s="2"/>
      <c r="L61" s="6">
        <f t="shared" si="38"/>
        <v>9.6599999999999966</v>
      </c>
      <c r="M61" s="2"/>
      <c r="N61" s="7">
        <f t="shared" si="39"/>
        <v>0.38639999999999985</v>
      </c>
      <c r="O61" s="11"/>
      <c r="P61" s="6">
        <v>2491.7399999999998</v>
      </c>
      <c r="Q61" s="2"/>
      <c r="R61" s="7">
        <f t="shared" si="40"/>
        <v>7.598802825805372E-3</v>
      </c>
      <c r="S61" s="2"/>
      <c r="T61" s="6">
        <v>3775</v>
      </c>
      <c r="U61" s="2"/>
      <c r="V61" s="7">
        <f t="shared" si="41"/>
        <v>6.6578483245149913E-3</v>
      </c>
      <c r="W61" s="2"/>
      <c r="X61" s="6">
        <f t="shared" si="42"/>
        <v>-1283.2600000000002</v>
      </c>
      <c r="Y61" s="2"/>
      <c r="Z61" s="7">
        <f t="shared" si="43"/>
        <v>-0.33993642384105965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1408.73</v>
      </c>
      <c r="E62" s="1"/>
      <c r="F62" s="5">
        <f t="shared" si="36"/>
        <v>7.88869488474922E-2</v>
      </c>
      <c r="G62" s="1"/>
      <c r="H62" s="1">
        <f>SUM(OSRRefH22_9x_0)</f>
        <v>260</v>
      </c>
      <c r="I62" s="1"/>
      <c r="J62" s="5">
        <f t="shared" si="37"/>
        <v>4.0625000000000001E-3</v>
      </c>
      <c r="K62" s="1"/>
      <c r="L62" s="1">
        <f t="shared" si="38"/>
        <v>1148.73</v>
      </c>
      <c r="M62" s="1"/>
      <c r="N62" s="5">
        <f t="shared" si="39"/>
        <v>4.4181923076923075</v>
      </c>
      <c r="O62" s="13"/>
      <c r="P62" s="1">
        <f>SUM(OSRRefP22_9x_0)</f>
        <v>5041.6400000000003</v>
      </c>
      <c r="Q62" s="1"/>
      <c r="R62" s="5">
        <f t="shared" si="40"/>
        <v>1.5374970213061315E-2</v>
      </c>
      <c r="S62" s="1"/>
      <c r="T62" s="1">
        <f>SUM(OSRRefT22_9x_0)</f>
        <v>3820</v>
      </c>
      <c r="U62" s="1"/>
      <c r="V62" s="5">
        <f t="shared" si="41"/>
        <v>6.7372134038800706E-3</v>
      </c>
      <c r="W62" s="1"/>
      <c r="X62" s="1">
        <f t="shared" si="42"/>
        <v>1221.6400000000003</v>
      </c>
      <c r="Y62" s="1"/>
      <c r="Z62" s="5">
        <f t="shared" si="43"/>
        <v>0.31980104712041896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>
        <v>995.26</v>
      </c>
      <c r="E63" s="2"/>
      <c r="F63" s="7">
        <f t="shared" si="36"/>
        <v>5.573319565137045E-2</v>
      </c>
      <c r="G63" s="2"/>
      <c r="H63" s="6">
        <v>60</v>
      </c>
      <c r="I63" s="2"/>
      <c r="J63" s="7">
        <f t="shared" si="37"/>
        <v>9.3749999999999997E-4</v>
      </c>
      <c r="K63" s="2"/>
      <c r="L63" s="6">
        <f t="shared" si="38"/>
        <v>935.26</v>
      </c>
      <c r="M63" s="2"/>
      <c r="N63" s="7">
        <f t="shared" si="39"/>
        <v>15.587666666666667</v>
      </c>
      <c r="O63" s="11"/>
      <c r="P63" s="6">
        <v>1071.28</v>
      </c>
      <c r="Q63" s="2"/>
      <c r="R63" s="7">
        <f t="shared" si="40"/>
        <v>3.2669722728811109E-3</v>
      </c>
      <c r="S63" s="2"/>
      <c r="T63" s="6">
        <v>120</v>
      </c>
      <c r="U63" s="2"/>
      <c r="V63" s="7">
        <f t="shared" si="41"/>
        <v>2.1164021164021165E-4</v>
      </c>
      <c r="W63" s="2"/>
      <c r="X63" s="6">
        <f t="shared" si="42"/>
        <v>951.28</v>
      </c>
      <c r="Y63" s="2"/>
      <c r="Z63" s="7">
        <f t="shared" si="43"/>
        <v>7.9273333333333333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413.47</v>
      </c>
      <c r="E64" s="2"/>
      <c r="F64" s="7">
        <f t="shared" si="36"/>
        <v>2.3153753196121757E-2</v>
      </c>
      <c r="G64" s="2"/>
      <c r="H64" s="6">
        <v>200</v>
      </c>
      <c r="I64" s="2"/>
      <c r="J64" s="7">
        <f t="shared" si="37"/>
        <v>3.1250000000000002E-3</v>
      </c>
      <c r="K64" s="2"/>
      <c r="L64" s="6">
        <f t="shared" si="38"/>
        <v>213.47000000000003</v>
      </c>
      <c r="M64" s="2"/>
      <c r="N64" s="7">
        <f t="shared" si="39"/>
        <v>1.0673500000000002</v>
      </c>
      <c r="O64" s="11"/>
      <c r="P64" s="6">
        <v>3970.36</v>
      </c>
      <c r="Q64" s="2"/>
      <c r="R64" s="7">
        <f t="shared" si="40"/>
        <v>1.2107997940180203E-2</v>
      </c>
      <c r="S64" s="2"/>
      <c r="T64" s="6">
        <v>3700</v>
      </c>
      <c r="U64" s="2"/>
      <c r="V64" s="7">
        <f t="shared" si="41"/>
        <v>6.5255731922398592E-3</v>
      </c>
      <c r="W64" s="2"/>
      <c r="X64" s="6">
        <f t="shared" si="42"/>
        <v>270.36000000000013</v>
      </c>
      <c r="Y64" s="2"/>
      <c r="Z64" s="7">
        <f t="shared" si="43"/>
        <v>7.3070270270270299E-2</v>
      </c>
    </row>
    <row r="65" spans="1:26" s="25" customFormat="1" outlineLevel="1" collapsed="1" x14ac:dyDescent="0.25">
      <c r="A65" s="27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0</v>
      </c>
      <c r="E65" s="1"/>
      <c r="F65" s="5">
        <f t="shared" ref="F65:F70" si="44">IF(D$12=0,0,D65/D$12)</f>
        <v>0</v>
      </c>
      <c r="G65" s="1"/>
      <c r="H65" s="1">
        <f>SUM(OSRRefH22_10x_0)</f>
        <v>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0</v>
      </c>
      <c r="M65" s="1"/>
      <c r="N65" s="5">
        <f t="shared" ref="N65:N70" si="47">IF(H65=0,0,L65/H65)</f>
        <v>0</v>
      </c>
      <c r="O65" s="13"/>
      <c r="P65" s="1">
        <f>SUM(OSRRefP22_10x_0)</f>
        <v>0</v>
      </c>
      <c r="Q65" s="1"/>
      <c r="R65" s="5">
        <f t="shared" ref="R65:R70" si="48">IF(P$12=0,0,P65/P$12)</f>
        <v>0</v>
      </c>
      <c r="S65" s="1"/>
      <c r="T65" s="1">
        <f>SUM(OSRRefT22_10x_0)</f>
        <v>4000</v>
      </c>
      <c r="U65" s="1"/>
      <c r="V65" s="5">
        <f t="shared" ref="V65:V70" si="49">IF(T$12=0,0,T65/T$12)</f>
        <v>7.0546737213403876E-3</v>
      </c>
      <c r="W65" s="1"/>
      <c r="X65" s="1">
        <f t="shared" ref="X65:X70" si="50">+P65-T65</f>
        <v>-4000</v>
      </c>
      <c r="Y65" s="1"/>
      <c r="Z65" s="5">
        <f t="shared" ref="Z65:Z70" si="51">IF(T65=0,0,X65/T65)</f>
        <v>-1</v>
      </c>
    </row>
    <row r="66" spans="1:26" s="24" customFormat="1" hidden="1" outlineLevel="2" x14ac:dyDescent="0.25">
      <c r="A66" s="26"/>
      <c r="B66" s="11" t="str">
        <f>CONCATENATE("          ", "6254", " - ", "ROYALTY &amp; COMMISSIONS")</f>
        <v xml:space="preserve">          6254 - ROYALTY &amp; COMMISSIONS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/>
      <c r="Q66" s="2"/>
      <c r="R66" s="7">
        <f t="shared" si="48"/>
        <v>0</v>
      </c>
      <c r="S66" s="2"/>
      <c r="T66" s="6">
        <v>4000</v>
      </c>
      <c r="U66" s="2"/>
      <c r="V66" s="7">
        <f t="shared" si="49"/>
        <v>7.0546737213403876E-3</v>
      </c>
      <c r="W66" s="2"/>
      <c r="X66" s="6">
        <f t="shared" si="50"/>
        <v>-4000</v>
      </c>
      <c r="Y66" s="2"/>
      <c r="Z66" s="7">
        <f t="shared" si="51"/>
        <v>-1</v>
      </c>
    </row>
    <row r="67" spans="1:26" s="25" customFormat="1" outlineLevel="1" collapsed="1" x14ac:dyDescent="0.25">
      <c r="A67" s="27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1970.45</v>
      </c>
      <c r="E67" s="1"/>
      <c r="F67" s="5">
        <f t="shared" si="44"/>
        <v>0.11034249881562899</v>
      </c>
      <c r="G67" s="1"/>
      <c r="H67" s="1">
        <f>SUM(OSRRefH22_11x_0)</f>
        <v>2460</v>
      </c>
      <c r="I67" s="1"/>
      <c r="J67" s="5">
        <f t="shared" si="45"/>
        <v>3.8437499999999999E-2</v>
      </c>
      <c r="K67" s="1"/>
      <c r="L67" s="1">
        <f t="shared" si="46"/>
        <v>-489.54999999999995</v>
      </c>
      <c r="M67" s="1"/>
      <c r="N67" s="5">
        <f t="shared" si="47"/>
        <v>-0.19900406504065038</v>
      </c>
      <c r="O67" s="13"/>
      <c r="P67" s="1">
        <f>SUM(OSRRefP22_11x_0)</f>
        <v>13933.66</v>
      </c>
      <c r="Q67" s="1"/>
      <c r="R67" s="5">
        <f t="shared" si="48"/>
        <v>4.2492047718386064E-2</v>
      </c>
      <c r="S67" s="1"/>
      <c r="T67" s="1">
        <f>SUM(OSRRefT22_11x_0)</f>
        <v>16310</v>
      </c>
      <c r="U67" s="1"/>
      <c r="V67" s="5">
        <f t="shared" si="49"/>
        <v>2.8765432098765434E-2</v>
      </c>
      <c r="W67" s="1"/>
      <c r="X67" s="1">
        <f t="shared" si="50"/>
        <v>-2376.34</v>
      </c>
      <c r="Y67" s="1"/>
      <c r="Z67" s="5">
        <f t="shared" si="51"/>
        <v>-0.14569834457388106</v>
      </c>
    </row>
    <row r="68" spans="1:26" s="24" customFormat="1" hidden="1" outlineLevel="2" x14ac:dyDescent="0.25">
      <c r="A68" s="26"/>
      <c r="B68" s="11" t="str">
        <f>CONCATENATE("          ", "6283", " - ", "PLANT SERVICE")</f>
        <v xml:space="preserve">          6283 - PLANT SERVICE</v>
      </c>
      <c r="C68" s="11"/>
      <c r="D68" s="6"/>
      <c r="E68" s="2"/>
      <c r="F68" s="7">
        <f t="shared" si="44"/>
        <v>0</v>
      </c>
      <c r="G68" s="2"/>
      <c r="H68" s="6">
        <v>60</v>
      </c>
      <c r="I68" s="2"/>
      <c r="J68" s="7">
        <f t="shared" si="45"/>
        <v>9.3749999999999997E-4</v>
      </c>
      <c r="K68" s="2"/>
      <c r="L68" s="6">
        <f t="shared" si="46"/>
        <v>-60</v>
      </c>
      <c r="M68" s="2"/>
      <c r="N68" s="7">
        <f t="shared" si="47"/>
        <v>-1</v>
      </c>
      <c r="O68" s="11"/>
      <c r="P68" s="6">
        <v>251.8</v>
      </c>
      <c r="Q68" s="2"/>
      <c r="R68" s="7">
        <f t="shared" si="48"/>
        <v>7.6788852429940239E-4</v>
      </c>
      <c r="S68" s="2"/>
      <c r="T68" s="6">
        <v>360</v>
      </c>
      <c r="U68" s="2"/>
      <c r="V68" s="7">
        <f t="shared" si="49"/>
        <v>6.3492063492063492E-4</v>
      </c>
      <c r="W68" s="2"/>
      <c r="X68" s="6">
        <f t="shared" si="50"/>
        <v>-108.19999999999999</v>
      </c>
      <c r="Y68" s="2"/>
      <c r="Z68" s="7">
        <f t="shared" si="51"/>
        <v>-0.30055555555555552</v>
      </c>
    </row>
    <row r="69" spans="1:26" s="24" customFormat="1" hidden="1" outlineLevel="2" x14ac:dyDescent="0.25">
      <c r="A69" s="26"/>
      <c r="B69" s="11" t="str">
        <f>CONCATENATE("          ", "6285", " - ", "JANITORIAL SERVICES")</f>
        <v xml:space="preserve">          6285 - JANITORIAL SERVICES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/>
      <c r="Q69" s="2"/>
      <c r="R69" s="7">
        <f t="shared" si="48"/>
        <v>0</v>
      </c>
      <c r="S69" s="2"/>
      <c r="T69" s="6">
        <v>250</v>
      </c>
      <c r="U69" s="2"/>
      <c r="V69" s="7">
        <f t="shared" si="49"/>
        <v>4.4091710758377423E-4</v>
      </c>
      <c r="W69" s="2"/>
      <c r="X69" s="6">
        <f t="shared" si="50"/>
        <v>-250</v>
      </c>
      <c r="Y69" s="2"/>
      <c r="Z69" s="7">
        <f t="shared" si="51"/>
        <v>-1</v>
      </c>
    </row>
    <row r="70" spans="1:26" s="24" customFormat="1" hidden="1" outlineLevel="2" x14ac:dyDescent="0.25">
      <c r="A70" s="26"/>
      <c r="B70" s="11" t="str">
        <f>CONCATENATE("          ", "6286", " - ", "LAUNDRY EXPENSE")</f>
        <v xml:space="preserve">          6286 - LAUNDRY EXPENSE</v>
      </c>
      <c r="C70" s="11"/>
      <c r="D70" s="6">
        <v>1970.45</v>
      </c>
      <c r="E70" s="2"/>
      <c r="F70" s="7">
        <f t="shared" si="44"/>
        <v>0.11034249881562899</v>
      </c>
      <c r="G70" s="2"/>
      <c r="H70" s="6">
        <v>2400</v>
      </c>
      <c r="I70" s="2"/>
      <c r="J70" s="7">
        <f t="shared" si="45"/>
        <v>3.7499999999999999E-2</v>
      </c>
      <c r="K70" s="2"/>
      <c r="L70" s="6">
        <f t="shared" si="46"/>
        <v>-429.54999999999995</v>
      </c>
      <c r="M70" s="2"/>
      <c r="N70" s="7">
        <f t="shared" si="47"/>
        <v>-0.17897916666666666</v>
      </c>
      <c r="O70" s="11"/>
      <c r="P70" s="6">
        <v>13681.86</v>
      </c>
      <c r="Q70" s="2"/>
      <c r="R70" s="7">
        <f t="shared" si="48"/>
        <v>4.172415919408666E-2</v>
      </c>
      <c r="S70" s="2"/>
      <c r="T70" s="6">
        <v>15700</v>
      </c>
      <c r="U70" s="2"/>
      <c r="V70" s="7">
        <f t="shared" si="49"/>
        <v>2.7689594356261022E-2</v>
      </c>
      <c r="W70" s="2"/>
      <c r="X70" s="6">
        <f t="shared" si="50"/>
        <v>-2018.1399999999994</v>
      </c>
      <c r="Y70" s="2"/>
      <c r="Z70" s="7">
        <f t="shared" si="51"/>
        <v>-0.12854394904458594</v>
      </c>
    </row>
    <row r="71" spans="1:26" s="25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379.64000000000004</v>
      </c>
      <c r="E71" s="1"/>
      <c r="F71" s="5">
        <f t="shared" ref="F71:F77" si="52">IF(D$12=0,0,D71/D$12)</f>
        <v>2.125931957185688E-2</v>
      </c>
      <c r="G71" s="1"/>
      <c r="H71" s="1">
        <f>SUM(OSRRefH22_12x_0)</f>
        <v>947.16</v>
      </c>
      <c r="I71" s="1"/>
      <c r="J71" s="5">
        <f t="shared" ref="J71:J77" si="53">IF(H$12=0,0,H71/H$12)</f>
        <v>1.4799375E-2</v>
      </c>
      <c r="K71" s="1"/>
      <c r="L71" s="1">
        <f t="shared" ref="L71:L77" si="54">+D71-H71</f>
        <v>-567.52</v>
      </c>
      <c r="M71" s="1"/>
      <c r="N71" s="5">
        <f t="shared" ref="N71:N77" si="55">IF(H71=0,0,L71/H71)</f>
        <v>-0.59918070864479078</v>
      </c>
      <c r="O71" s="13"/>
      <c r="P71" s="1">
        <f>SUM(OSRRefP22_12x_0)</f>
        <v>8813.67</v>
      </c>
      <c r="Q71" s="1"/>
      <c r="R71" s="5">
        <f t="shared" ref="R71:R77" si="56">IF(P$12=0,0,P71/P$12)</f>
        <v>2.6878141580468282E-2</v>
      </c>
      <c r="S71" s="1"/>
      <c r="T71" s="1">
        <f>SUM(OSRRefT22_12x_0)</f>
        <v>11358.5</v>
      </c>
      <c r="U71" s="1"/>
      <c r="V71" s="5">
        <f t="shared" ref="V71:V77" si="57">IF(T$12=0,0,T71/T$12)</f>
        <v>2.0032627865961199E-2</v>
      </c>
      <c r="W71" s="1"/>
      <c r="X71" s="1">
        <f t="shared" ref="X71:X77" si="58">+P71-T71</f>
        <v>-2544.83</v>
      </c>
      <c r="Y71" s="1"/>
      <c r="Z71" s="5">
        <f t="shared" ref="Z71:Z77" si="59">IF(T71=0,0,X71/T71)</f>
        <v>-0.2240463089316371</v>
      </c>
    </row>
    <row r="72" spans="1:26" s="24" customFormat="1" hidden="1" outlineLevel="2" x14ac:dyDescent="0.25">
      <c r="A72" s="26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52"/>
        <v>0</v>
      </c>
      <c r="G72" s="2"/>
      <c r="H72" s="6">
        <v>150</v>
      </c>
      <c r="I72" s="2"/>
      <c r="J72" s="7">
        <f t="shared" si="53"/>
        <v>2.3437499999999999E-3</v>
      </c>
      <c r="K72" s="2"/>
      <c r="L72" s="6">
        <f t="shared" si="54"/>
        <v>-150</v>
      </c>
      <c r="M72" s="2"/>
      <c r="N72" s="7">
        <f t="shared" si="55"/>
        <v>-1</v>
      </c>
      <c r="O72" s="11"/>
      <c r="P72" s="6">
        <v>287.29000000000002</v>
      </c>
      <c r="Q72" s="2"/>
      <c r="R72" s="7">
        <f t="shared" si="56"/>
        <v>8.761187217870346E-4</v>
      </c>
      <c r="S72" s="2"/>
      <c r="T72" s="6">
        <v>3400</v>
      </c>
      <c r="U72" s="2"/>
      <c r="V72" s="7">
        <f t="shared" si="57"/>
        <v>5.99647266313933E-3</v>
      </c>
      <c r="W72" s="2"/>
      <c r="X72" s="6">
        <f t="shared" si="58"/>
        <v>-3112.71</v>
      </c>
      <c r="Y72" s="2"/>
      <c r="Z72" s="7">
        <f t="shared" si="59"/>
        <v>-0.91550294117647057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3349.27</v>
      </c>
      <c r="Q73" s="2"/>
      <c r="R73" s="7">
        <f t="shared" si="56"/>
        <v>1.0213923740191658E-2</v>
      </c>
      <c r="S73" s="2"/>
      <c r="T73" s="6">
        <v>1216.71</v>
      </c>
      <c r="U73" s="2"/>
      <c r="V73" s="7">
        <f t="shared" si="57"/>
        <v>2.145873015873016E-3</v>
      </c>
      <c r="W73" s="2"/>
      <c r="X73" s="6">
        <f t="shared" si="58"/>
        <v>2132.56</v>
      </c>
      <c r="Y73" s="2"/>
      <c r="Z73" s="7">
        <f t="shared" si="59"/>
        <v>1.7527266152164442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>
        <v>24.6</v>
      </c>
      <c r="E74" s="2"/>
      <c r="F74" s="7">
        <f t="shared" si="52"/>
        <v>1.3775662771775346E-3</v>
      </c>
      <c r="G74" s="2"/>
      <c r="H74" s="6">
        <v>150</v>
      </c>
      <c r="I74" s="2"/>
      <c r="J74" s="7">
        <f t="shared" si="53"/>
        <v>2.3437499999999999E-3</v>
      </c>
      <c r="K74" s="2"/>
      <c r="L74" s="6">
        <f t="shared" si="54"/>
        <v>-125.4</v>
      </c>
      <c r="M74" s="2"/>
      <c r="N74" s="7">
        <f t="shared" si="55"/>
        <v>-0.83600000000000008</v>
      </c>
      <c r="O74" s="11"/>
      <c r="P74" s="6">
        <v>642.72</v>
      </c>
      <c r="Q74" s="2"/>
      <c r="R74" s="7">
        <f t="shared" si="56"/>
        <v>1.960036983072724E-3</v>
      </c>
      <c r="S74" s="2"/>
      <c r="T74" s="6">
        <v>1281.25</v>
      </c>
      <c r="U74" s="2"/>
      <c r="V74" s="7">
        <f t="shared" si="57"/>
        <v>2.2597001763668429E-3</v>
      </c>
      <c r="W74" s="2"/>
      <c r="X74" s="6">
        <f t="shared" si="58"/>
        <v>-638.53</v>
      </c>
      <c r="Y74" s="2"/>
      <c r="Z74" s="7">
        <f t="shared" si="59"/>
        <v>-0.49836487804878049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355.04</v>
      </c>
      <c r="E75" s="2"/>
      <c r="F75" s="7">
        <f t="shared" si="52"/>
        <v>1.9881753294679345E-2</v>
      </c>
      <c r="G75" s="2"/>
      <c r="H75" s="6">
        <v>500</v>
      </c>
      <c r="I75" s="2"/>
      <c r="J75" s="7">
        <f t="shared" si="53"/>
        <v>7.8125E-3</v>
      </c>
      <c r="K75" s="2"/>
      <c r="L75" s="6">
        <f t="shared" si="54"/>
        <v>-144.95999999999998</v>
      </c>
      <c r="M75" s="2"/>
      <c r="N75" s="7">
        <f t="shared" si="55"/>
        <v>-0.28991999999999996</v>
      </c>
      <c r="O75" s="11"/>
      <c r="P75" s="6">
        <v>3563.73</v>
      </c>
      <c r="Q75" s="2"/>
      <c r="R75" s="7">
        <f t="shared" si="56"/>
        <v>1.0867940312555637E-2</v>
      </c>
      <c r="S75" s="2"/>
      <c r="T75" s="6">
        <v>3524.52</v>
      </c>
      <c r="U75" s="2"/>
      <c r="V75" s="7">
        <f t="shared" si="57"/>
        <v>6.2160846560846564E-3</v>
      </c>
      <c r="W75" s="2"/>
      <c r="X75" s="6">
        <f t="shared" si="58"/>
        <v>39.210000000000036</v>
      </c>
      <c r="Y75" s="2"/>
      <c r="Z75" s="7">
        <f t="shared" si="59"/>
        <v>1.1124919137925175E-2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52"/>
        <v>0</v>
      </c>
      <c r="G76" s="2"/>
      <c r="H76" s="6">
        <v>147.16</v>
      </c>
      <c r="I76" s="2"/>
      <c r="J76" s="7">
        <f t="shared" si="53"/>
        <v>2.2993749999999998E-3</v>
      </c>
      <c r="K76" s="2"/>
      <c r="L76" s="6">
        <f t="shared" si="54"/>
        <v>-147.16</v>
      </c>
      <c r="M76" s="2"/>
      <c r="N76" s="7">
        <f t="shared" si="55"/>
        <v>-1</v>
      </c>
      <c r="O76" s="11"/>
      <c r="P76" s="6">
        <v>366.09</v>
      </c>
      <c r="Q76" s="2"/>
      <c r="R76" s="7">
        <f t="shared" si="56"/>
        <v>1.1164269652929634E-3</v>
      </c>
      <c r="S76" s="2"/>
      <c r="T76" s="6">
        <v>886.02</v>
      </c>
      <c r="U76" s="2"/>
      <c r="V76" s="7">
        <f t="shared" si="57"/>
        <v>1.5626455026455026E-3</v>
      </c>
      <c r="W76" s="2"/>
      <c r="X76" s="6">
        <f t="shared" si="58"/>
        <v>-519.93000000000006</v>
      </c>
      <c r="Y76" s="2"/>
      <c r="Z76" s="7">
        <f t="shared" si="59"/>
        <v>-0.58681519604523613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604.57000000000005</v>
      </c>
      <c r="Q77" s="2"/>
      <c r="R77" s="7">
        <f t="shared" si="56"/>
        <v>1.8436948575682674E-3</v>
      </c>
      <c r="S77" s="2"/>
      <c r="T77" s="6">
        <v>1050</v>
      </c>
      <c r="U77" s="2"/>
      <c r="V77" s="7">
        <f t="shared" si="57"/>
        <v>1.8518518518518519E-3</v>
      </c>
      <c r="W77" s="2"/>
      <c r="X77" s="6">
        <f t="shared" si="58"/>
        <v>-445.42999999999995</v>
      </c>
      <c r="Y77" s="2"/>
      <c r="Z77" s="7">
        <f t="shared" si="59"/>
        <v>-0.42421904761904755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222.68</v>
      </c>
      <c r="E78" s="1"/>
      <c r="F78" s="5">
        <f t="shared" ref="F78:F81" si="60">IF(D$12=0,0,D78/D$12)</f>
        <v>1.2469774739914365E-2</v>
      </c>
      <c r="G78" s="1"/>
      <c r="H78" s="1">
        <f>SUM(OSRRefH22_13x_0)</f>
        <v>195</v>
      </c>
      <c r="I78" s="1"/>
      <c r="J78" s="5">
        <f t="shared" ref="J78:J81" si="61">IF(H$12=0,0,H78/H$12)</f>
        <v>3.0468750000000001E-3</v>
      </c>
      <c r="K78" s="1"/>
      <c r="L78" s="1">
        <f t="shared" ref="L78:L81" si="62">+D78-H78</f>
        <v>27.680000000000007</v>
      </c>
      <c r="M78" s="1"/>
      <c r="N78" s="5">
        <f t="shared" ref="N78:N81" si="63">IF(H78=0,0,L78/H78)</f>
        <v>0.141948717948718</v>
      </c>
      <c r="O78" s="13"/>
      <c r="P78" s="1">
        <f>SUM(OSRRefP22_13x_0)</f>
        <v>1178.99</v>
      </c>
      <c r="Q78" s="1"/>
      <c r="R78" s="5">
        <f t="shared" ref="R78:R81" si="64">IF(P$12=0,0,P78/P$12)</f>
        <v>3.5954443656225276E-3</v>
      </c>
      <c r="S78" s="1"/>
      <c r="T78" s="1">
        <f>SUM(OSRRefT22_13x_0)</f>
        <v>780</v>
      </c>
      <c r="U78" s="1"/>
      <c r="V78" s="5">
        <f t="shared" ref="V78:V81" si="65">IF(T$12=0,0,T78/T$12)</f>
        <v>1.3756613756613757E-3</v>
      </c>
      <c r="W78" s="1"/>
      <c r="X78" s="1">
        <f t="shared" ref="X78:X81" si="66">+P78-T78</f>
        <v>398.99</v>
      </c>
      <c r="Y78" s="1"/>
      <c r="Z78" s="5">
        <f t="shared" ref="Z78:Z81" si="67">IF(T78=0,0,X78/T78)</f>
        <v>0.51152564102564102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222.68</v>
      </c>
      <c r="E79" s="2"/>
      <c r="F79" s="7">
        <f t="shared" si="60"/>
        <v>1.2469774739914365E-2</v>
      </c>
      <c r="G79" s="2"/>
      <c r="H79" s="6">
        <v>195</v>
      </c>
      <c r="I79" s="2"/>
      <c r="J79" s="7">
        <f t="shared" si="61"/>
        <v>3.0468750000000001E-3</v>
      </c>
      <c r="K79" s="2"/>
      <c r="L79" s="6">
        <f t="shared" si="62"/>
        <v>27.680000000000007</v>
      </c>
      <c r="M79" s="2"/>
      <c r="N79" s="7">
        <f t="shared" si="63"/>
        <v>0.141948717948718</v>
      </c>
      <c r="O79" s="11"/>
      <c r="P79" s="6">
        <v>1178.99</v>
      </c>
      <c r="Q79" s="2"/>
      <c r="R79" s="7">
        <f t="shared" si="64"/>
        <v>3.5954443656225276E-3</v>
      </c>
      <c r="S79" s="2"/>
      <c r="T79" s="6">
        <v>780</v>
      </c>
      <c r="U79" s="2"/>
      <c r="V79" s="7">
        <f t="shared" si="65"/>
        <v>1.3756613756613757E-3</v>
      </c>
      <c r="W79" s="2"/>
      <c r="X79" s="6">
        <f t="shared" si="66"/>
        <v>398.99</v>
      </c>
      <c r="Y79" s="2"/>
      <c r="Z79" s="7">
        <f t="shared" si="67"/>
        <v>0.51152564102564102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60"/>
        <v>0</v>
      </c>
      <c r="G80" s="1"/>
      <c r="H80" s="1">
        <f>SUM(OSRRefH22_14x_0)</f>
        <v>0</v>
      </c>
      <c r="I80" s="1"/>
      <c r="J80" s="5">
        <f t="shared" si="61"/>
        <v>0</v>
      </c>
      <c r="K80" s="1"/>
      <c r="L80" s="1">
        <f t="shared" si="62"/>
        <v>0</v>
      </c>
      <c r="M80" s="1"/>
      <c r="N80" s="5">
        <f t="shared" si="63"/>
        <v>0</v>
      </c>
      <c r="O80" s="13"/>
      <c r="P80" s="1">
        <f>SUM(OSRRefP22_14x_0)</f>
        <v>175</v>
      </c>
      <c r="Q80" s="1"/>
      <c r="R80" s="5">
        <f t="shared" si="64"/>
        <v>5.336794747910858E-4</v>
      </c>
      <c r="S80" s="1"/>
      <c r="T80" s="1">
        <f>SUM(OSRRefT22_14x_0)</f>
        <v>500</v>
      </c>
      <c r="U80" s="1"/>
      <c r="V80" s="5">
        <f t="shared" si="65"/>
        <v>8.8183421516754845E-4</v>
      </c>
      <c r="W80" s="1"/>
      <c r="X80" s="1">
        <f t="shared" si="66"/>
        <v>-325</v>
      </c>
      <c r="Y80" s="1"/>
      <c r="Z80" s="5">
        <f t="shared" si="67"/>
        <v>-0.65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175</v>
      </c>
      <c r="Q81" s="2"/>
      <c r="R81" s="7">
        <f t="shared" si="64"/>
        <v>5.336794747910858E-4</v>
      </c>
      <c r="S81" s="2"/>
      <c r="T81" s="6">
        <v>500</v>
      </c>
      <c r="U81" s="2"/>
      <c r="V81" s="7">
        <f t="shared" si="65"/>
        <v>8.8183421516754845E-4</v>
      </c>
      <c r="W81" s="2"/>
      <c r="X81" s="6">
        <f t="shared" si="66"/>
        <v>-325</v>
      </c>
      <c r="Y81" s="2"/>
      <c r="Z81" s="7">
        <f t="shared" si="67"/>
        <v>-0.65</v>
      </c>
    </row>
    <row r="82" spans="1:26" s="5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+D22-D24+D83</f>
        <v>-33474.74</v>
      </c>
      <c r="E85" s="14"/>
      <c r="F85" s="20">
        <f>IF(D$12=0,0,D85/D$12)</f>
        <v>-1.8745395512717846</v>
      </c>
      <c r="G85" s="14"/>
      <c r="H85" s="22">
        <f>+H22-H24+H83</f>
        <v>-591.17126532310795</v>
      </c>
      <c r="I85" s="14"/>
      <c r="J85" s="20">
        <f>IF(H$12=0,0,H85/H$12)</f>
        <v>-9.2370510206735614E-3</v>
      </c>
      <c r="K85" s="16"/>
      <c r="L85" s="22">
        <f>+D85-H85</f>
        <v>-32883.56873467689</v>
      </c>
      <c r="M85" s="16"/>
      <c r="N85" s="20">
        <f>IF(H85=0,0,L85/H85)</f>
        <v>55.62443688243912</v>
      </c>
      <c r="O85" s="28"/>
      <c r="P85" s="22">
        <f>+P22-P24+P83</f>
        <v>-69985.949999999983</v>
      </c>
      <c r="Q85" s="14"/>
      <c r="R85" s="20">
        <f>IF(P$12=0,0,P85/P$12)</f>
        <v>-0.21342894307860105</v>
      </c>
      <c r="S85" s="14"/>
      <c r="T85" s="22">
        <f>+T22-T24+T83</f>
        <v>8631.9492306652828</v>
      </c>
      <c r="U85" s="14"/>
      <c r="V85" s="20">
        <f>IF(T$12=0,0,T85/T$12)</f>
        <v>1.5223896350379688E-2</v>
      </c>
      <c r="W85" s="16"/>
      <c r="X85" s="22">
        <f>+P85-T85</f>
        <v>-78617.899230665265</v>
      </c>
      <c r="Y85" s="16"/>
      <c r="Z85" s="20">
        <f>IF(T85=0,0,X85/T85)</f>
        <v>-9.1077805406190997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2584.36</v>
      </c>
      <c r="E87" s="4"/>
      <c r="F87" s="12">
        <f>IF(D$12=0,0,D87/D$12)</f>
        <v>0.14472061723928997</v>
      </c>
      <c r="G87" s="4"/>
      <c r="H87" s="4">
        <v>9292</v>
      </c>
      <c r="I87" s="4"/>
      <c r="J87" s="12">
        <f>IF(H$12=0,0,H87/H$12)</f>
        <v>0.1451875</v>
      </c>
      <c r="K87" s="4"/>
      <c r="L87" s="4">
        <f>+D87-H87</f>
        <v>-6707.6399999999994</v>
      </c>
      <c r="M87" s="4"/>
      <c r="N87" s="12">
        <f>IF(H87=0,0,L87/H87)</f>
        <v>-0.72187257856220399</v>
      </c>
      <c r="O87" s="10"/>
      <c r="P87" s="4">
        <v>35417.040000000001</v>
      </c>
      <c r="Q87" s="4"/>
      <c r="R87" s="12">
        <f>IF(P$12=0,0,P87/P$12)</f>
        <v>0.10800769889059932</v>
      </c>
      <c r="S87" s="4"/>
      <c r="T87" s="4">
        <v>73038</v>
      </c>
      <c r="U87" s="4"/>
      <c r="V87" s="12">
        <f>IF(T$12=0,0,T87/T$12)</f>
        <v>0.12881481481481483</v>
      </c>
      <c r="W87" s="4"/>
      <c r="X87" s="4">
        <f>+P87-T87</f>
        <v>-37620.959999999999</v>
      </c>
      <c r="Y87" s="4"/>
      <c r="Z87" s="12">
        <f>IF(T87=0,0,X87/T87)</f>
        <v>-0.51508748870450993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1">
        <f>+D85-D87</f>
        <v>-36059.1</v>
      </c>
      <c r="E89" s="14"/>
      <c r="F89" s="32">
        <f>IF(D$12=0,0,D89/D$12)</f>
        <v>-2.0192601685110745</v>
      </c>
      <c r="G89" s="14"/>
      <c r="H89" s="31">
        <f>+H85-H87</f>
        <v>-9883.1712653231079</v>
      </c>
      <c r="I89" s="14"/>
      <c r="J89" s="32">
        <f>IF(H$12=0,0,H89/H$12)</f>
        <v>-0.15442455102067357</v>
      </c>
      <c r="K89" s="16"/>
      <c r="L89" s="31">
        <f>D89-H89</f>
        <v>-26175.928734676891</v>
      </c>
      <c r="M89" s="16"/>
      <c r="N89" s="32">
        <f>IF(H89=0,0,L89/H89)</f>
        <v>2.6485353771536739</v>
      </c>
      <c r="O89" s="28"/>
      <c r="P89" s="31">
        <f>+P85-P87</f>
        <v>-105402.98999999999</v>
      </c>
      <c r="Q89" s="14"/>
      <c r="R89" s="32">
        <f>IF(P$12=0,0,P89/P$12)</f>
        <v>-0.32143664196920041</v>
      </c>
      <c r="S89" s="14"/>
      <c r="T89" s="31">
        <f>+T85-T87</f>
        <v>-64406.050769334717</v>
      </c>
      <c r="U89" s="14"/>
      <c r="V89" s="32">
        <f>IF(T$12=0,0,T89/T$12)</f>
        <v>-0.11359091846443513</v>
      </c>
      <c r="W89" s="16"/>
      <c r="X89" s="31">
        <f>P89-T89</f>
        <v>-40996.939230665273</v>
      </c>
      <c r="Y89" s="16"/>
      <c r="Z89" s="32">
        <f>IF(T89=0,0,X89/T89)</f>
        <v>0.636538628606381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5">
        <f>SUM(D89:D91)</f>
        <v>-36059.1</v>
      </c>
      <c r="E92" s="14"/>
      <c r="F92" s="34">
        <f>IF(D$12=0,0,D92/D$12)</f>
        <v>-2.0192601685110745</v>
      </c>
      <c r="G92" s="14"/>
      <c r="H92" s="35">
        <f>SUM(H89:H91)</f>
        <v>-9883.1712653231079</v>
      </c>
      <c r="I92" s="14"/>
      <c r="J92" s="34">
        <f>IF(H$12=0,0,H92/H$12)</f>
        <v>-0.15442455102067357</v>
      </c>
      <c r="K92" s="16"/>
      <c r="L92" s="35">
        <f>+D92-H92</f>
        <v>-26175.928734676891</v>
      </c>
      <c r="M92" s="16"/>
      <c r="N92" s="34">
        <f>IF(H92=0,0,L92/H92)</f>
        <v>2.6485353771536739</v>
      </c>
      <c r="O92" s="28"/>
      <c r="P92" s="35">
        <f>SUM(P89:P91)</f>
        <v>-105402.98999999999</v>
      </c>
      <c r="Q92" s="14"/>
      <c r="R92" s="34">
        <f>IF(P$12=0,0,P92/P$12)</f>
        <v>-0.32143664196920041</v>
      </c>
      <c r="S92" s="14"/>
      <c r="T92" s="35">
        <f>SUM(T89:T91)</f>
        <v>-64406.050769334717</v>
      </c>
      <c r="U92" s="14"/>
      <c r="V92" s="34">
        <f>IF(T$12=0,0,T92/T$12)</f>
        <v>-0.11359091846443513</v>
      </c>
      <c r="W92" s="16"/>
      <c r="X92" s="35">
        <f>+P92-T92</f>
        <v>-40996.939230665273</v>
      </c>
      <c r="Y92" s="16"/>
      <c r="Z92" s="34">
        <f>IF(T92=0,0,X92/T92)</f>
        <v>0.636538628606381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3">
        <v>43847.446225150466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 t="s">
        <v>314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6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L64" sqref="L64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48580.84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48580.84</v>
      </c>
      <c r="M12" s="4"/>
      <c r="N12" s="12">
        <f t="shared" ref="N12:N14" si="1">IF(H12=0,0,L12/H12)</f>
        <v>0</v>
      </c>
      <c r="O12" s="10"/>
      <c r="P12" s="4">
        <f>SUM(OSRRefP13x_0)</f>
        <v>107189.09999999999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107189.09999999999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--48364.96</f>
        <v>48364.959999999999</v>
      </c>
      <c r="E13" s="2"/>
      <c r="F13" s="19"/>
      <c r="G13" s="2"/>
      <c r="H13" s="2"/>
      <c r="I13" s="2"/>
      <c r="J13" s="19"/>
      <c r="K13" s="2"/>
      <c r="L13" s="2">
        <f t="shared" si="0"/>
        <v>48364.959999999999</v>
      </c>
      <c r="M13" s="2"/>
      <c r="N13" s="19">
        <f t="shared" si="1"/>
        <v>0</v>
      </c>
      <c r="O13" s="11"/>
      <c r="P13" s="2">
        <f>--106840.48</f>
        <v>106840.48</v>
      </c>
      <c r="Q13" s="2"/>
      <c r="R13" s="19"/>
      <c r="S13" s="2"/>
      <c r="T13" s="2"/>
      <c r="U13" s="2"/>
      <c r="V13" s="19"/>
      <c r="W13" s="2"/>
      <c r="X13" s="2">
        <f t="shared" si="2"/>
        <v>106840.48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--215.88</f>
        <v>215.88</v>
      </c>
      <c r="E14" s="2"/>
      <c r="F14" s="19"/>
      <c r="G14" s="2"/>
      <c r="H14" s="2"/>
      <c r="I14" s="2"/>
      <c r="J14" s="19"/>
      <c r="K14" s="2"/>
      <c r="L14" s="2">
        <f t="shared" si="0"/>
        <v>215.88</v>
      </c>
      <c r="M14" s="2"/>
      <c r="N14" s="19">
        <f t="shared" si="1"/>
        <v>0</v>
      </c>
      <c r="O14" s="11"/>
      <c r="P14" s="2">
        <f>--348.62</f>
        <v>348.62</v>
      </c>
      <c r="Q14" s="2"/>
      <c r="R14" s="19"/>
      <c r="S14" s="2"/>
      <c r="T14" s="2"/>
      <c r="U14" s="2"/>
      <c r="V14" s="19"/>
      <c r="W14" s="2"/>
      <c r="X14" s="2">
        <f t="shared" si="2"/>
        <v>348.62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175.22</v>
      </c>
      <c r="E16" s="4"/>
      <c r="F16" s="12">
        <f t="shared" ref="F16:F17" si="4">IF(D$12=0,0,D16/D$12)</f>
        <v>3.6067717231731689E-3</v>
      </c>
      <c r="G16" s="4"/>
      <c r="H16" s="4">
        <f>SUM(OSRRefH16x_0)</f>
        <v>0</v>
      </c>
      <c r="I16" s="4"/>
      <c r="J16" s="12">
        <f t="shared" ref="J16:J17" si="5">IF(H$12=0,0,H16/H$12)</f>
        <v>0</v>
      </c>
      <c r="K16" s="4"/>
      <c r="L16" s="4">
        <f t="shared" ref="L16:L17" si="6">+D16-H16</f>
        <v>175.22</v>
      </c>
      <c r="M16" s="4"/>
      <c r="N16" s="12">
        <f t="shared" ref="N16:N17" si="7">IF(H16=0,0,L16/H16)</f>
        <v>0</v>
      </c>
      <c r="O16" s="10"/>
      <c r="P16" s="4">
        <f>SUM(OSRRefP16x_0)</f>
        <v>175.22</v>
      </c>
      <c r="Q16" s="4"/>
      <c r="R16" s="12">
        <f t="shared" ref="R16:R17" si="8">IF(P$12=0,0,P16/P$12)</f>
        <v>1.634681138287382E-3</v>
      </c>
      <c r="S16" s="4"/>
      <c r="T16" s="4">
        <f>SUM(OSRRefT16x_0)</f>
        <v>0</v>
      </c>
      <c r="U16" s="4"/>
      <c r="V16" s="12">
        <f t="shared" ref="V16:V17" si="9">IF(T$12=0,0,T16/T$12)</f>
        <v>0</v>
      </c>
      <c r="W16" s="4"/>
      <c r="X16" s="4">
        <f t="shared" ref="X16:X17" si="10">+P16-T16</f>
        <v>175.22</v>
      </c>
      <c r="Y16" s="4"/>
      <c r="Z16" s="12">
        <f t="shared" ref="Z16:Z17" si="11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175.22</v>
      </c>
      <c r="E17" s="2"/>
      <c r="F17" s="19">
        <f t="shared" si="4"/>
        <v>3.6067717231731689E-3</v>
      </c>
      <c r="G17" s="2"/>
      <c r="H17" s="2"/>
      <c r="I17" s="2"/>
      <c r="J17" s="19">
        <f t="shared" si="5"/>
        <v>0</v>
      </c>
      <c r="K17" s="2"/>
      <c r="L17" s="2">
        <f t="shared" si="6"/>
        <v>175.22</v>
      </c>
      <c r="M17" s="2"/>
      <c r="N17" s="19">
        <f t="shared" si="7"/>
        <v>0</v>
      </c>
      <c r="O17" s="11"/>
      <c r="P17" s="2">
        <v>175.22</v>
      </c>
      <c r="Q17" s="2"/>
      <c r="R17" s="19">
        <f t="shared" si="8"/>
        <v>1.634681138287382E-3</v>
      </c>
      <c r="S17" s="2"/>
      <c r="T17" s="2"/>
      <c r="U17" s="2"/>
      <c r="V17" s="19">
        <f t="shared" si="9"/>
        <v>0</v>
      </c>
      <c r="W17" s="2"/>
      <c r="X17" s="2">
        <f t="shared" si="10"/>
        <v>175.22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6</v>
      </c>
      <c r="C19" s="29"/>
      <c r="D19" s="22">
        <f>D12-D16</f>
        <v>48405.619999999995</v>
      </c>
      <c r="E19" s="14"/>
      <c r="F19" s="20">
        <f>IF(D$12=0,0,D19/D$12)</f>
        <v>0.99639322827682686</v>
      </c>
      <c r="G19" s="14"/>
      <c r="H19" s="22">
        <f>H12-H16</f>
        <v>0</v>
      </c>
      <c r="I19" s="14"/>
      <c r="J19" s="20">
        <f>IF(H$12=0,0,H19/H$12)</f>
        <v>0</v>
      </c>
      <c r="K19" s="16"/>
      <c r="L19" s="22">
        <f>+D19-H19</f>
        <v>48405.619999999995</v>
      </c>
      <c r="M19" s="16"/>
      <c r="N19" s="20">
        <f>IF(H19=0,0,L19/H19)</f>
        <v>0</v>
      </c>
      <c r="O19" s="28"/>
      <c r="P19" s="22">
        <f>P12-P16</f>
        <v>107013.87999999999</v>
      </c>
      <c r="Q19" s="14"/>
      <c r="R19" s="20">
        <f>IF(P$12=0,0,P19/P$12)</f>
        <v>0.99836531886171265</v>
      </c>
      <c r="S19" s="14"/>
      <c r="T19" s="22">
        <f>T12-T16</f>
        <v>0</v>
      </c>
      <c r="U19" s="14"/>
      <c r="V19" s="20">
        <f>IF(T$12=0,0,T19/T$12)</f>
        <v>0</v>
      </c>
      <c r="W19" s="16"/>
      <c r="X19" s="22">
        <f>+P19-T19</f>
        <v>107013.87999999999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9</v>
      </c>
      <c r="C21" s="10"/>
      <c r="D21" s="21">
        <f>SUM(OSRRefD22x_0)</f>
        <v>30632.219999999998</v>
      </c>
      <c r="E21" s="21"/>
      <c r="F21" s="30">
        <f t="shared" ref="F21:F29" si="12">IF(D$12=0,0,D21/D$12)</f>
        <v>0.63054117631560092</v>
      </c>
      <c r="G21" s="21"/>
      <c r="H21" s="21">
        <f>SUM(OSRRefH22x_0)</f>
        <v>0</v>
      </c>
      <c r="I21" s="21"/>
      <c r="J21" s="30">
        <f t="shared" ref="J21:J29" si="13">IF(H$12=0,0,H21/H$12)</f>
        <v>0</v>
      </c>
      <c r="K21" s="4"/>
      <c r="L21" s="21">
        <f t="shared" ref="L21:L29" si="14">+D21-H21</f>
        <v>30632.219999999998</v>
      </c>
      <c r="M21" s="4"/>
      <c r="N21" s="30">
        <f t="shared" ref="N21:N29" si="15">IF(H21=0,0,L21/H21)</f>
        <v>0</v>
      </c>
      <c r="O21" s="10"/>
      <c r="P21" s="21">
        <f>SUM(OSRRefP22x_0)</f>
        <v>110901.16</v>
      </c>
      <c r="Q21" s="21"/>
      <c r="R21" s="30">
        <f t="shared" ref="R21:R29" si="16">IF(P$12=0,0,P21/P$12)</f>
        <v>1.0346309466167736</v>
      </c>
      <c r="S21" s="21"/>
      <c r="T21" s="21">
        <f>SUM(OSRRefT22x_0)</f>
        <v>0</v>
      </c>
      <c r="U21" s="21"/>
      <c r="V21" s="30">
        <f t="shared" ref="V21:V29" si="17">IF(T$12=0,0,T21/T$12)</f>
        <v>0</v>
      </c>
      <c r="W21" s="4"/>
      <c r="X21" s="21">
        <f t="shared" ref="X21:X29" si="18">+P21-T21</f>
        <v>110901.16</v>
      </c>
      <c r="Y21" s="4"/>
      <c r="Z21" s="30">
        <f t="shared" ref="Z21:Z29" si="19">IF(T21=0,0,X21/T21)</f>
        <v>0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6738.38</v>
      </c>
      <c r="E22" s="1"/>
      <c r="F22" s="5">
        <f t="shared" si="12"/>
        <v>0.13870447690900364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6738.38</v>
      </c>
      <c r="M22" s="1"/>
      <c r="N22" s="5">
        <f t="shared" si="15"/>
        <v>0</v>
      </c>
      <c r="O22" s="13"/>
      <c r="P22" s="1">
        <f>SUM(OSRRefP22_0x_0)</f>
        <v>21795.899999999998</v>
      </c>
      <c r="Q22" s="1"/>
      <c r="R22" s="5">
        <f t="shared" si="16"/>
        <v>0.20334063818056128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21795.899999999998</v>
      </c>
      <c r="Y22" s="1"/>
      <c r="Z22" s="5">
        <f t="shared" si="19"/>
        <v>0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>
        <v>1656.76</v>
      </c>
      <c r="E23" s="2"/>
      <c r="F23" s="7">
        <f t="shared" si="12"/>
        <v>3.4103156717751278E-2</v>
      </c>
      <c r="G23" s="2"/>
      <c r="H23" s="6"/>
      <c r="I23" s="2"/>
      <c r="J23" s="7">
        <f t="shared" si="13"/>
        <v>0</v>
      </c>
      <c r="K23" s="2"/>
      <c r="L23" s="6">
        <f t="shared" si="14"/>
        <v>1656.76</v>
      </c>
      <c r="M23" s="2"/>
      <c r="N23" s="7">
        <f t="shared" si="15"/>
        <v>0</v>
      </c>
      <c r="O23" s="11"/>
      <c r="P23" s="6">
        <v>6673.61</v>
      </c>
      <c r="Q23" s="2"/>
      <c r="R23" s="7">
        <f t="shared" si="16"/>
        <v>6.2260155183689388E-2</v>
      </c>
      <c r="S23" s="2"/>
      <c r="T23" s="6"/>
      <c r="U23" s="2"/>
      <c r="V23" s="7">
        <f t="shared" si="17"/>
        <v>0</v>
      </c>
      <c r="W23" s="2"/>
      <c r="X23" s="6">
        <f t="shared" si="18"/>
        <v>6673.61</v>
      </c>
      <c r="Y23" s="2"/>
      <c r="Z23" s="7">
        <f t="shared" si="19"/>
        <v>0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>
        <v>1472.62</v>
      </c>
      <c r="E24" s="2"/>
      <c r="F24" s="7">
        <f t="shared" si="12"/>
        <v>3.0312773513179271E-2</v>
      </c>
      <c r="G24" s="2"/>
      <c r="H24" s="6"/>
      <c r="I24" s="2"/>
      <c r="J24" s="7">
        <f t="shared" si="13"/>
        <v>0</v>
      </c>
      <c r="K24" s="2"/>
      <c r="L24" s="6">
        <f t="shared" si="14"/>
        <v>1472.62</v>
      </c>
      <c r="M24" s="2"/>
      <c r="N24" s="7">
        <f t="shared" si="15"/>
        <v>0</v>
      </c>
      <c r="O24" s="11"/>
      <c r="P24" s="6">
        <v>4069.89</v>
      </c>
      <c r="Q24" s="2"/>
      <c r="R24" s="7">
        <f t="shared" si="16"/>
        <v>3.796925247063368E-2</v>
      </c>
      <c r="S24" s="2"/>
      <c r="T24" s="6"/>
      <c r="U24" s="2"/>
      <c r="V24" s="7">
        <f t="shared" si="17"/>
        <v>0</v>
      </c>
      <c r="W24" s="2"/>
      <c r="X24" s="6">
        <f t="shared" si="18"/>
        <v>4069.89</v>
      </c>
      <c r="Y24" s="2"/>
      <c r="Z24" s="7">
        <f t="shared" si="19"/>
        <v>0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>
        <v>160.13999999999999</v>
      </c>
      <c r="E25" s="2"/>
      <c r="F25" s="7">
        <f t="shared" si="12"/>
        <v>3.2963612815258029E-3</v>
      </c>
      <c r="G25" s="2"/>
      <c r="H25" s="6"/>
      <c r="I25" s="2"/>
      <c r="J25" s="7">
        <f t="shared" si="13"/>
        <v>0</v>
      </c>
      <c r="K25" s="2"/>
      <c r="L25" s="6">
        <f t="shared" si="14"/>
        <v>160.13999999999999</v>
      </c>
      <c r="M25" s="2"/>
      <c r="N25" s="7">
        <f t="shared" si="15"/>
        <v>0</v>
      </c>
      <c r="O25" s="11"/>
      <c r="P25" s="6">
        <v>428.74</v>
      </c>
      <c r="Q25" s="2"/>
      <c r="R25" s="7">
        <f t="shared" si="16"/>
        <v>3.9998469993684062E-3</v>
      </c>
      <c r="S25" s="2"/>
      <c r="T25" s="6"/>
      <c r="U25" s="2"/>
      <c r="V25" s="7">
        <f t="shared" si="17"/>
        <v>0</v>
      </c>
      <c r="W25" s="2"/>
      <c r="X25" s="6">
        <f t="shared" si="18"/>
        <v>428.74</v>
      </c>
      <c r="Y25" s="2"/>
      <c r="Z25" s="7">
        <f t="shared" si="19"/>
        <v>0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>
        <v>98.68</v>
      </c>
      <c r="E26" s="2"/>
      <c r="F26" s="7">
        <f t="shared" si="12"/>
        <v>2.0312534735916466E-3</v>
      </c>
      <c r="G26" s="2"/>
      <c r="H26" s="6"/>
      <c r="I26" s="2"/>
      <c r="J26" s="7">
        <f t="shared" si="13"/>
        <v>0</v>
      </c>
      <c r="K26" s="2"/>
      <c r="L26" s="6">
        <f t="shared" si="14"/>
        <v>98.68</v>
      </c>
      <c r="M26" s="2"/>
      <c r="N26" s="7">
        <f t="shared" si="15"/>
        <v>0</v>
      </c>
      <c r="O26" s="11"/>
      <c r="P26" s="6">
        <v>272.73</v>
      </c>
      <c r="Q26" s="2"/>
      <c r="R26" s="7">
        <f t="shared" si="16"/>
        <v>2.5443818447957864E-3</v>
      </c>
      <c r="S26" s="2"/>
      <c r="T26" s="6"/>
      <c r="U26" s="2"/>
      <c r="V26" s="7">
        <f t="shared" si="17"/>
        <v>0</v>
      </c>
      <c r="W26" s="2"/>
      <c r="X26" s="6">
        <f t="shared" si="18"/>
        <v>272.73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>
        <v>1491.42</v>
      </c>
      <c r="E27" s="2"/>
      <c r="F27" s="7">
        <f t="shared" si="12"/>
        <v>3.0699757352898802E-2</v>
      </c>
      <c r="G27" s="2"/>
      <c r="H27" s="6"/>
      <c r="I27" s="2"/>
      <c r="J27" s="7">
        <f t="shared" si="13"/>
        <v>0</v>
      </c>
      <c r="K27" s="2"/>
      <c r="L27" s="6">
        <f t="shared" si="14"/>
        <v>1491.42</v>
      </c>
      <c r="M27" s="2"/>
      <c r="N27" s="7">
        <f t="shared" si="15"/>
        <v>0</v>
      </c>
      <c r="O27" s="11"/>
      <c r="P27" s="6">
        <v>3845.27</v>
      </c>
      <c r="Q27" s="2"/>
      <c r="R27" s="7">
        <f t="shared" si="16"/>
        <v>3.5873703576203182E-2</v>
      </c>
      <c r="S27" s="2"/>
      <c r="T27" s="6"/>
      <c r="U27" s="2"/>
      <c r="V27" s="7">
        <f t="shared" si="17"/>
        <v>0</v>
      </c>
      <c r="W27" s="2"/>
      <c r="X27" s="6">
        <f t="shared" si="18"/>
        <v>3845.27</v>
      </c>
      <c r="Y27" s="2"/>
      <c r="Z27" s="7">
        <f t="shared" si="19"/>
        <v>0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>
        <v>1005.42</v>
      </c>
      <c r="E28" s="2"/>
      <c r="F28" s="7">
        <f t="shared" si="12"/>
        <v>2.0695813411213147E-2</v>
      </c>
      <c r="G28" s="2"/>
      <c r="H28" s="6"/>
      <c r="I28" s="2"/>
      <c r="J28" s="7">
        <f t="shared" si="13"/>
        <v>0</v>
      </c>
      <c r="K28" s="2"/>
      <c r="L28" s="6">
        <f t="shared" si="14"/>
        <v>1005.42</v>
      </c>
      <c r="M28" s="2"/>
      <c r="N28" s="7">
        <f t="shared" si="15"/>
        <v>0</v>
      </c>
      <c r="O28" s="11"/>
      <c r="P28" s="6">
        <v>3518.97</v>
      </c>
      <c r="Q28" s="2"/>
      <c r="R28" s="7">
        <f t="shared" si="16"/>
        <v>3.2829550765889441E-2</v>
      </c>
      <c r="S28" s="2"/>
      <c r="T28" s="6"/>
      <c r="U28" s="2"/>
      <c r="V28" s="7">
        <f t="shared" si="17"/>
        <v>0</v>
      </c>
      <c r="W28" s="2"/>
      <c r="X28" s="6">
        <f t="shared" si="18"/>
        <v>3518.97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>
        <v>853.34</v>
      </c>
      <c r="E29" s="2"/>
      <c r="F29" s="7">
        <f t="shared" si="12"/>
        <v>1.7565361158843693E-2</v>
      </c>
      <c r="G29" s="2"/>
      <c r="H29" s="6"/>
      <c r="I29" s="2"/>
      <c r="J29" s="7">
        <f t="shared" si="13"/>
        <v>0</v>
      </c>
      <c r="K29" s="2"/>
      <c r="L29" s="6">
        <f t="shared" si="14"/>
        <v>853.34</v>
      </c>
      <c r="M29" s="2"/>
      <c r="N29" s="7">
        <f t="shared" si="15"/>
        <v>0</v>
      </c>
      <c r="O29" s="11"/>
      <c r="P29" s="6">
        <v>2986.69</v>
      </c>
      <c r="Q29" s="2"/>
      <c r="R29" s="7">
        <f t="shared" si="16"/>
        <v>2.7863747339981398E-2</v>
      </c>
      <c r="S29" s="2"/>
      <c r="T29" s="6"/>
      <c r="U29" s="2"/>
      <c r="V29" s="7">
        <f t="shared" si="17"/>
        <v>0</v>
      </c>
      <c r="W29" s="2"/>
      <c r="X29" s="6">
        <f t="shared" si="18"/>
        <v>2986.69</v>
      </c>
      <c r="Y29" s="2"/>
      <c r="Z29" s="7">
        <f t="shared" si="19"/>
        <v>0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22023.83</v>
      </c>
      <c r="E30" s="1"/>
      <c r="F30" s="5">
        <f t="shared" ref="F30:F34" si="20">IF(D$12=0,0,D30/D$12)</f>
        <v>0.45334395206011263</v>
      </c>
      <c r="G30" s="1"/>
      <c r="H30" s="1">
        <f>SUM(OSRRefH22_1x_0)</f>
        <v>0</v>
      </c>
      <c r="I30" s="1"/>
      <c r="J30" s="5">
        <f t="shared" ref="J30:J34" si="21">IF(H$12=0,0,H30/H$12)</f>
        <v>0</v>
      </c>
      <c r="K30" s="1"/>
      <c r="L30" s="1">
        <f t="shared" ref="L30:L34" si="22">+D30-H30</f>
        <v>22023.83</v>
      </c>
      <c r="M30" s="1"/>
      <c r="N30" s="5">
        <f t="shared" ref="N30:N34" si="23">IF(H30=0,0,L30/H30)</f>
        <v>0</v>
      </c>
      <c r="O30" s="13"/>
      <c r="P30" s="1">
        <f>SUM(OSRRefP22_1x_0)</f>
        <v>85301.47</v>
      </c>
      <c r="Q30" s="1"/>
      <c r="R30" s="5">
        <f t="shared" ref="R30:R34" si="24">IF(P$12=0,0,P30/P$12)</f>
        <v>0.79580358450626054</v>
      </c>
      <c r="S30" s="1"/>
      <c r="T30" s="1">
        <f>SUM(OSRRefT22_1x_0)</f>
        <v>0</v>
      </c>
      <c r="U30" s="1"/>
      <c r="V30" s="5">
        <f t="shared" ref="V30:V34" si="25">IF(T$12=0,0,T30/T$12)</f>
        <v>0</v>
      </c>
      <c r="W30" s="1"/>
      <c r="X30" s="1">
        <f t="shared" ref="X30:X34" si="26">+P30-T30</f>
        <v>85301.47</v>
      </c>
      <c r="Y30" s="1"/>
      <c r="Z30" s="5">
        <f t="shared" ref="Z30:Z34" si="27">IF(T30=0,0,X30/T30)</f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16234.550000000001</v>
      </c>
      <c r="E31" s="2"/>
      <c r="F31" s="7">
        <f t="shared" si="20"/>
        <v>0.33417598378290703</v>
      </c>
      <c r="G31" s="2"/>
      <c r="H31" s="6"/>
      <c r="I31" s="2"/>
      <c r="J31" s="7">
        <f t="shared" si="21"/>
        <v>0</v>
      </c>
      <c r="K31" s="2"/>
      <c r="L31" s="6">
        <f t="shared" si="22"/>
        <v>16234.550000000001</v>
      </c>
      <c r="M31" s="2"/>
      <c r="N31" s="7">
        <f t="shared" si="23"/>
        <v>0</v>
      </c>
      <c r="O31" s="11"/>
      <c r="P31" s="6">
        <v>59654.82</v>
      </c>
      <c r="Q31" s="2"/>
      <c r="R31" s="7">
        <f t="shared" si="24"/>
        <v>0.55653811814820731</v>
      </c>
      <c r="S31" s="2"/>
      <c r="T31" s="6"/>
      <c r="U31" s="2"/>
      <c r="V31" s="7">
        <f t="shared" si="25"/>
        <v>0</v>
      </c>
      <c r="W31" s="2"/>
      <c r="X31" s="6">
        <f t="shared" si="26"/>
        <v>59654.82</v>
      </c>
      <c r="Y31" s="2"/>
      <c r="Z31" s="7">
        <f t="shared" si="27"/>
        <v>0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2821.19</v>
      </c>
      <c r="E32" s="2"/>
      <c r="F32" s="7">
        <f t="shared" si="20"/>
        <v>5.8072071211613473E-2</v>
      </c>
      <c r="G32" s="2"/>
      <c r="H32" s="6"/>
      <c r="I32" s="2"/>
      <c r="J32" s="7">
        <f t="shared" si="21"/>
        <v>0</v>
      </c>
      <c r="K32" s="2"/>
      <c r="L32" s="6">
        <f t="shared" si="22"/>
        <v>2821.19</v>
      </c>
      <c r="M32" s="2"/>
      <c r="N32" s="7">
        <f t="shared" si="23"/>
        <v>0</v>
      </c>
      <c r="O32" s="11"/>
      <c r="P32" s="6">
        <v>9386.98</v>
      </c>
      <c r="Q32" s="2"/>
      <c r="R32" s="7">
        <f t="shared" si="24"/>
        <v>8.7574016387860332E-2</v>
      </c>
      <c r="S32" s="2"/>
      <c r="T32" s="6"/>
      <c r="U32" s="2"/>
      <c r="V32" s="7">
        <f t="shared" si="25"/>
        <v>0</v>
      </c>
      <c r="W32" s="2"/>
      <c r="X32" s="6">
        <f t="shared" si="26"/>
        <v>9386.98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1687.68</v>
      </c>
      <c r="E33" s="2"/>
      <c r="F33" s="7">
        <f t="shared" si="20"/>
        <v>3.4739621628609142E-2</v>
      </c>
      <c r="G33" s="2"/>
      <c r="H33" s="6"/>
      <c r="I33" s="2"/>
      <c r="J33" s="7">
        <f t="shared" si="21"/>
        <v>0</v>
      </c>
      <c r="K33" s="2"/>
      <c r="L33" s="6">
        <f t="shared" si="22"/>
        <v>1687.68</v>
      </c>
      <c r="M33" s="2"/>
      <c r="N33" s="7">
        <f t="shared" si="23"/>
        <v>0</v>
      </c>
      <c r="O33" s="11"/>
      <c r="P33" s="6">
        <v>12452.22</v>
      </c>
      <c r="Q33" s="2"/>
      <c r="R33" s="7">
        <f t="shared" si="24"/>
        <v>0.11617058077733651</v>
      </c>
      <c r="S33" s="2"/>
      <c r="T33" s="6"/>
      <c r="U33" s="2"/>
      <c r="V33" s="7">
        <f t="shared" si="25"/>
        <v>0</v>
      </c>
      <c r="W33" s="2"/>
      <c r="X33" s="6">
        <f t="shared" si="26"/>
        <v>12452.22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1280.4100000000001</v>
      </c>
      <c r="E34" s="2"/>
      <c r="F34" s="7">
        <f t="shared" si="20"/>
        <v>2.635627543698298E-2</v>
      </c>
      <c r="G34" s="2"/>
      <c r="H34" s="6"/>
      <c r="I34" s="2"/>
      <c r="J34" s="7">
        <f t="shared" si="21"/>
        <v>0</v>
      </c>
      <c r="K34" s="2"/>
      <c r="L34" s="6">
        <f t="shared" si="22"/>
        <v>1280.4100000000001</v>
      </c>
      <c r="M34" s="2"/>
      <c r="N34" s="7">
        <f t="shared" si="23"/>
        <v>0</v>
      </c>
      <c r="O34" s="11"/>
      <c r="P34" s="6">
        <v>3807.45</v>
      </c>
      <c r="Q34" s="2"/>
      <c r="R34" s="7">
        <f t="shared" si="24"/>
        <v>3.5520869192856366E-2</v>
      </c>
      <c r="S34" s="2"/>
      <c r="T34" s="6"/>
      <c r="U34" s="2"/>
      <c r="V34" s="7">
        <f t="shared" si="25"/>
        <v>0</v>
      </c>
      <c r="W34" s="2"/>
      <c r="X34" s="6">
        <f t="shared" si="26"/>
        <v>3807.45</v>
      </c>
      <c r="Y34" s="2"/>
      <c r="Z34" s="7">
        <f t="shared" si="27"/>
        <v>0</v>
      </c>
    </row>
    <row r="35" spans="1:26" s="25" customFormat="1" outlineLevel="1" collapsed="1" x14ac:dyDescent="0.25">
      <c r="A35" s="27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SUM(OSRRefD22_2x_0)</f>
        <v>43.37</v>
      </c>
      <c r="E35" s="1"/>
      <c r="F35" s="5">
        <f t="shared" ref="F35:F41" si="28">IF(D$12=0,0,D35/D$12)</f>
        <v>8.9273878343807973E-4</v>
      </c>
      <c r="G35" s="1"/>
      <c r="H35" s="1">
        <f>SUM(OSRRefH22_2x_0)</f>
        <v>0</v>
      </c>
      <c r="I35" s="1"/>
      <c r="J35" s="5">
        <f t="shared" ref="J35:J41" si="29">IF(H$12=0,0,H35/H$12)</f>
        <v>0</v>
      </c>
      <c r="K35" s="1"/>
      <c r="L35" s="1">
        <f t="shared" ref="L35:L41" si="30">+D35-H35</f>
        <v>43.37</v>
      </c>
      <c r="M35" s="1"/>
      <c r="N35" s="5">
        <f t="shared" ref="N35:N41" si="31">IF(H35=0,0,L35/H35)</f>
        <v>0</v>
      </c>
      <c r="O35" s="13"/>
      <c r="P35" s="1">
        <f>SUM(OSRRefP22_2x_0)</f>
        <v>245.96</v>
      </c>
      <c r="Q35" s="1"/>
      <c r="R35" s="5">
        <f t="shared" ref="R35:R41" si="32">IF(P$12=0,0,P35/P$12)</f>
        <v>2.2946363016388797E-3</v>
      </c>
      <c r="S35" s="1"/>
      <c r="T35" s="1">
        <f>SUM(OSRRefT22_2x_0)</f>
        <v>0</v>
      </c>
      <c r="U35" s="1"/>
      <c r="V35" s="5">
        <f t="shared" ref="V35:V41" si="33">IF(T$12=0,0,T35/T$12)</f>
        <v>0</v>
      </c>
      <c r="W35" s="1"/>
      <c r="X35" s="1">
        <f t="shared" ref="X35:X41" si="34">+P35-T35</f>
        <v>245.96</v>
      </c>
      <c r="Y35" s="1"/>
      <c r="Z35" s="5">
        <f t="shared" ref="Z35:Z41" si="35">IF(T35=0,0,X35/T35)</f>
        <v>0</v>
      </c>
    </row>
    <row r="36" spans="1:26" s="24" customFormat="1" hidden="1" outlineLevel="2" x14ac:dyDescent="0.25">
      <c r="A36" s="26"/>
      <c r="B36" s="11" t="str">
        <f>CONCATENATE("          ", "6381", " - ", "BANK/CREDIT CARD FEES")</f>
        <v xml:space="preserve">          6381 - BANK/CREDIT CARD FEES</v>
      </c>
      <c r="C36" s="11"/>
      <c r="D36" s="6">
        <v>43.37</v>
      </c>
      <c r="E36" s="2"/>
      <c r="F36" s="7">
        <f t="shared" si="28"/>
        <v>8.9273878343807973E-4</v>
      </c>
      <c r="G36" s="2"/>
      <c r="H36" s="6"/>
      <c r="I36" s="2"/>
      <c r="J36" s="7">
        <f t="shared" si="29"/>
        <v>0</v>
      </c>
      <c r="K36" s="2"/>
      <c r="L36" s="6">
        <f t="shared" si="30"/>
        <v>43.37</v>
      </c>
      <c r="M36" s="2"/>
      <c r="N36" s="7">
        <f t="shared" si="31"/>
        <v>0</v>
      </c>
      <c r="O36" s="11"/>
      <c r="P36" s="6">
        <v>245.96</v>
      </c>
      <c r="Q36" s="2"/>
      <c r="R36" s="7">
        <f t="shared" si="32"/>
        <v>2.2946363016388797E-3</v>
      </c>
      <c r="S36" s="2"/>
      <c r="T36" s="6"/>
      <c r="U36" s="2"/>
      <c r="V36" s="7">
        <f t="shared" si="33"/>
        <v>0</v>
      </c>
      <c r="W36" s="2"/>
      <c r="X36" s="6">
        <f t="shared" si="34"/>
        <v>245.96</v>
      </c>
      <c r="Y36" s="2"/>
      <c r="Z36" s="7">
        <f t="shared" si="35"/>
        <v>0</v>
      </c>
    </row>
    <row r="37" spans="1:26" s="25" customFormat="1" outlineLevel="1" collapsed="1" x14ac:dyDescent="0.25">
      <c r="A37" s="27"/>
      <c r="B37" s="13" t="str">
        <f>CONCATENATE("     ","Repair and Maintenance                            ")</f>
        <v xml:space="preserve">     Repair and Maintenance                            </v>
      </c>
      <c r="C37" s="13"/>
      <c r="D37" s="1">
        <f>SUM(OSRRefD22_3x_0)</f>
        <v>0</v>
      </c>
      <c r="E37" s="1"/>
      <c r="F37" s="5">
        <f t="shared" si="28"/>
        <v>0</v>
      </c>
      <c r="G37" s="1"/>
      <c r="H37" s="1">
        <f>SUM(OSRRefH22_3x_0)</f>
        <v>0</v>
      </c>
      <c r="I37" s="1"/>
      <c r="J37" s="5">
        <f t="shared" si="29"/>
        <v>0</v>
      </c>
      <c r="K37" s="1"/>
      <c r="L37" s="1">
        <f t="shared" si="30"/>
        <v>0</v>
      </c>
      <c r="M37" s="1"/>
      <c r="N37" s="5">
        <f t="shared" si="31"/>
        <v>0</v>
      </c>
      <c r="O37" s="13"/>
      <c r="P37" s="1">
        <f>SUM(OSRRefP22_3x_0)</f>
        <v>1151.21</v>
      </c>
      <c r="Q37" s="1"/>
      <c r="R37" s="5">
        <f t="shared" si="32"/>
        <v>1.0739991286427445E-2</v>
      </c>
      <c r="S37" s="1"/>
      <c r="T37" s="1">
        <f>SUM(OSRRefT22_3x_0)</f>
        <v>0</v>
      </c>
      <c r="U37" s="1"/>
      <c r="V37" s="5">
        <f t="shared" si="33"/>
        <v>0</v>
      </c>
      <c r="W37" s="1"/>
      <c r="X37" s="1">
        <f t="shared" si="34"/>
        <v>1151.21</v>
      </c>
      <c r="Y37" s="1"/>
      <c r="Z37" s="5">
        <f t="shared" si="35"/>
        <v>0</v>
      </c>
    </row>
    <row r="38" spans="1:26" s="24" customFormat="1" hidden="1" outlineLevel="2" x14ac:dyDescent="0.25">
      <c r="A38" s="26"/>
      <c r="B38" s="11" t="str">
        <f>CONCATENATE("          ", "6375", " - ", "OUTSIDE REPAIRS &amp; MAINTENANCE")</f>
        <v xml:space="preserve">          6375 - OUTSIDE REPAIRS &amp; MAINTENANCE</v>
      </c>
      <c r="C38" s="11"/>
      <c r="D38" s="6"/>
      <c r="E38" s="2"/>
      <c r="F38" s="7">
        <f t="shared" si="28"/>
        <v>0</v>
      </c>
      <c r="G38" s="2"/>
      <c r="H38" s="6"/>
      <c r="I38" s="2"/>
      <c r="J38" s="7">
        <f t="shared" si="29"/>
        <v>0</v>
      </c>
      <c r="K38" s="2"/>
      <c r="L38" s="6">
        <f t="shared" si="30"/>
        <v>0</v>
      </c>
      <c r="M38" s="2"/>
      <c r="N38" s="7">
        <f t="shared" si="31"/>
        <v>0</v>
      </c>
      <c r="O38" s="11"/>
      <c r="P38" s="6">
        <v>1151.21</v>
      </c>
      <c r="Q38" s="2"/>
      <c r="R38" s="7">
        <f t="shared" si="32"/>
        <v>1.0739991286427445E-2</v>
      </c>
      <c r="S38" s="2"/>
      <c r="T38" s="6"/>
      <c r="U38" s="2"/>
      <c r="V38" s="7">
        <f t="shared" si="33"/>
        <v>0</v>
      </c>
      <c r="W38" s="2"/>
      <c r="X38" s="6">
        <f t="shared" si="34"/>
        <v>1151.21</v>
      </c>
      <c r="Y38" s="2"/>
      <c r="Z38" s="7">
        <f t="shared" si="35"/>
        <v>0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SUM(OSRRefD22_4x_0)</f>
        <v>557.49</v>
      </c>
      <c r="E39" s="1"/>
      <c r="F39" s="5">
        <f t="shared" si="28"/>
        <v>1.1475511744959536E-2</v>
      </c>
      <c r="G39" s="1"/>
      <c r="H39" s="1">
        <f>SUM(OSRRefH22_4x_0)</f>
        <v>0</v>
      </c>
      <c r="I39" s="1"/>
      <c r="J39" s="5">
        <f t="shared" si="29"/>
        <v>0</v>
      </c>
      <c r="K39" s="1"/>
      <c r="L39" s="1">
        <f t="shared" si="30"/>
        <v>557.49</v>
      </c>
      <c r="M39" s="1"/>
      <c r="N39" s="5">
        <f t="shared" si="31"/>
        <v>0</v>
      </c>
      <c r="O39" s="13"/>
      <c r="P39" s="1">
        <f>SUM(OSRRefP22_4x_0)</f>
        <v>1137.47</v>
      </c>
      <c r="Q39" s="1"/>
      <c r="R39" s="5">
        <f t="shared" si="32"/>
        <v>1.0611806610933389E-2</v>
      </c>
      <c r="S39" s="1"/>
      <c r="T39" s="1">
        <f>SUM(OSRRefT22_4x_0)</f>
        <v>0</v>
      </c>
      <c r="U39" s="1"/>
      <c r="V39" s="5">
        <f t="shared" si="33"/>
        <v>0</v>
      </c>
      <c r="W39" s="1"/>
      <c r="X39" s="1">
        <f t="shared" si="34"/>
        <v>1137.47</v>
      </c>
      <c r="Y39" s="1"/>
      <c r="Z39" s="5">
        <f t="shared" si="35"/>
        <v>0</v>
      </c>
    </row>
    <row r="40" spans="1:26" s="24" customFormat="1" hidden="1" outlineLevel="2" x14ac:dyDescent="0.25">
      <c r="A40" s="26"/>
      <c r="B40" s="11" t="str">
        <f>CONCATENATE("          ", "6241", " - ", "OFFICE EXPENSE")</f>
        <v xml:space="preserve">          6241 - OFFICE EXPENSE</v>
      </c>
      <c r="C40" s="11"/>
      <c r="D40" s="6">
        <v>334.1</v>
      </c>
      <c r="E40" s="2"/>
      <c r="F40" s="7">
        <f t="shared" si="28"/>
        <v>6.8771968537390468E-3</v>
      </c>
      <c r="G40" s="2"/>
      <c r="H40" s="6"/>
      <c r="I40" s="2"/>
      <c r="J40" s="7">
        <f t="shared" si="29"/>
        <v>0</v>
      </c>
      <c r="K40" s="2"/>
      <c r="L40" s="6">
        <f t="shared" si="30"/>
        <v>334.1</v>
      </c>
      <c r="M40" s="2"/>
      <c r="N40" s="7">
        <f t="shared" si="31"/>
        <v>0</v>
      </c>
      <c r="O40" s="11"/>
      <c r="P40" s="6">
        <v>914.08</v>
      </c>
      <c r="Q40" s="2"/>
      <c r="R40" s="7">
        <f t="shared" si="32"/>
        <v>8.5277327638724476E-3</v>
      </c>
      <c r="S40" s="2"/>
      <c r="T40" s="6"/>
      <c r="U40" s="2"/>
      <c r="V40" s="7">
        <f t="shared" si="33"/>
        <v>0</v>
      </c>
      <c r="W40" s="2"/>
      <c r="X40" s="6">
        <f t="shared" si="34"/>
        <v>914.08</v>
      </c>
      <c r="Y40" s="2"/>
      <c r="Z40" s="7">
        <f t="shared" si="35"/>
        <v>0</v>
      </c>
    </row>
    <row r="41" spans="1:26" s="24" customFormat="1" hidden="1" outlineLevel="2" x14ac:dyDescent="0.25">
      <c r="A41" s="26"/>
      <c r="B41" s="11" t="str">
        <f>CONCATENATE("          ", "6247", " - ", "STORE SUPPLIES")</f>
        <v xml:space="preserve">          6247 - STORE SUPPLIES</v>
      </c>
      <c r="C41" s="11"/>
      <c r="D41" s="6">
        <v>223.39</v>
      </c>
      <c r="E41" s="2"/>
      <c r="F41" s="7">
        <f t="shared" si="28"/>
        <v>4.5983148912204898E-3</v>
      </c>
      <c r="G41" s="2"/>
      <c r="H41" s="6"/>
      <c r="I41" s="2"/>
      <c r="J41" s="7">
        <f t="shared" si="29"/>
        <v>0</v>
      </c>
      <c r="K41" s="2"/>
      <c r="L41" s="6">
        <f t="shared" si="30"/>
        <v>223.39</v>
      </c>
      <c r="M41" s="2"/>
      <c r="N41" s="7">
        <f t="shared" si="31"/>
        <v>0</v>
      </c>
      <c r="O41" s="11"/>
      <c r="P41" s="6">
        <v>223.39</v>
      </c>
      <c r="Q41" s="2"/>
      <c r="R41" s="7">
        <f t="shared" si="32"/>
        <v>2.0840738470609419E-3</v>
      </c>
      <c r="S41" s="2"/>
      <c r="T41" s="6"/>
      <c r="U41" s="2"/>
      <c r="V41" s="7">
        <f t="shared" si="33"/>
        <v>0</v>
      </c>
      <c r="W41" s="2"/>
      <c r="X41" s="6">
        <f t="shared" si="34"/>
        <v>223.39</v>
      </c>
      <c r="Y41" s="2"/>
      <c r="Z41" s="7">
        <f t="shared" si="35"/>
        <v>0</v>
      </c>
    </row>
    <row r="42" spans="1:26" s="25" customFormat="1" outlineLevel="1" collapsed="1" x14ac:dyDescent="0.25">
      <c r="A42" s="27"/>
      <c r="B42" s="13" t="str">
        <f>CONCATENATE("     ","Travel                                            ")</f>
        <v xml:space="preserve">     Travel                                            </v>
      </c>
      <c r="C42" s="13"/>
      <c r="D42" s="1">
        <f>SUM(OSRRefD22_5x_0)</f>
        <v>1269.1500000000001</v>
      </c>
      <c r="E42" s="1"/>
      <c r="F42" s="5">
        <f t="shared" ref="F42:F43" si="36">IF(D$12=0,0,D42/D$12)</f>
        <v>2.6124496818087133E-2</v>
      </c>
      <c r="G42" s="1"/>
      <c r="H42" s="1">
        <f>SUM(OSRRefH22_5x_0)</f>
        <v>0</v>
      </c>
      <c r="I42" s="1"/>
      <c r="J42" s="5">
        <f t="shared" ref="J42:J43" si="37">IF(H$12=0,0,H42/H$12)</f>
        <v>0</v>
      </c>
      <c r="K42" s="1"/>
      <c r="L42" s="1">
        <f t="shared" ref="L42:L43" si="38">+D42-H42</f>
        <v>1269.1500000000001</v>
      </c>
      <c r="M42" s="1"/>
      <c r="N42" s="5">
        <f t="shared" ref="N42:N43" si="39">IF(H42=0,0,L42/H42)</f>
        <v>0</v>
      </c>
      <c r="O42" s="13"/>
      <c r="P42" s="1">
        <f>SUM(OSRRefP22_5x_0)</f>
        <v>1269.1500000000001</v>
      </c>
      <c r="Q42" s="1"/>
      <c r="R42" s="5">
        <f t="shared" ref="R42:R43" si="40">IF(P$12=0,0,P42/P$12)</f>
        <v>1.1840289730952122E-2</v>
      </c>
      <c r="S42" s="1"/>
      <c r="T42" s="1">
        <f>SUM(OSRRefT22_5x_0)</f>
        <v>0</v>
      </c>
      <c r="U42" s="1"/>
      <c r="V42" s="5">
        <f t="shared" ref="V42:V43" si="41">IF(T$12=0,0,T42/T$12)</f>
        <v>0</v>
      </c>
      <c r="W42" s="1"/>
      <c r="X42" s="1">
        <f t="shared" ref="X42:X43" si="42">+P42-T42</f>
        <v>1269.1500000000001</v>
      </c>
      <c r="Y42" s="1"/>
      <c r="Z42" s="5">
        <f t="shared" ref="Z42:Z43" si="43">IF(T42=0,0,X42/T42)</f>
        <v>0</v>
      </c>
    </row>
    <row r="43" spans="1:26" s="24" customFormat="1" hidden="1" outlineLevel="2" x14ac:dyDescent="0.25">
      <c r="A43" s="26"/>
      <c r="B43" s="11" t="str">
        <f>CONCATENATE("          ", "6292", " - ", "TRAVEL/CONFERENCE")</f>
        <v xml:space="preserve">          6292 - TRAVEL/CONFERENCE</v>
      </c>
      <c r="C43" s="11"/>
      <c r="D43" s="6">
        <v>1269.1500000000001</v>
      </c>
      <c r="E43" s="2"/>
      <c r="F43" s="7">
        <f t="shared" si="36"/>
        <v>2.6124496818087133E-2</v>
      </c>
      <c r="G43" s="2"/>
      <c r="H43" s="6"/>
      <c r="I43" s="2"/>
      <c r="J43" s="7">
        <f t="shared" si="37"/>
        <v>0</v>
      </c>
      <c r="K43" s="2"/>
      <c r="L43" s="6">
        <f t="shared" si="38"/>
        <v>1269.1500000000001</v>
      </c>
      <c r="M43" s="2"/>
      <c r="N43" s="7">
        <f t="shared" si="39"/>
        <v>0</v>
      </c>
      <c r="O43" s="11"/>
      <c r="P43" s="6">
        <v>1269.1500000000001</v>
      </c>
      <c r="Q43" s="2"/>
      <c r="R43" s="7">
        <f t="shared" si="40"/>
        <v>1.1840289730952122E-2</v>
      </c>
      <c r="S43" s="2"/>
      <c r="T43" s="6"/>
      <c r="U43" s="2"/>
      <c r="V43" s="7">
        <f t="shared" si="41"/>
        <v>0</v>
      </c>
      <c r="W43" s="2"/>
      <c r="X43" s="6">
        <f t="shared" si="42"/>
        <v>1269.1500000000001</v>
      </c>
      <c r="Y43" s="2"/>
      <c r="Z43" s="7">
        <f t="shared" si="43"/>
        <v>0</v>
      </c>
    </row>
    <row r="44" spans="1:26" s="53" customFormat="1" x14ac:dyDescent="0.25">
      <c r="A44" s="36"/>
      <c r="B44" s="36"/>
      <c r="C44" s="36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6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8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9" t="s">
        <v>3</v>
      </c>
      <c r="C47" s="29"/>
      <c r="D47" s="22">
        <f>+D19-D21+D45</f>
        <v>17773.399999999998</v>
      </c>
      <c r="E47" s="14"/>
      <c r="F47" s="20">
        <f>IF(D$12=0,0,D47/D$12)</f>
        <v>0.36585205196122583</v>
      </c>
      <c r="G47" s="14"/>
      <c r="H47" s="22">
        <f>+H19-H21+H45</f>
        <v>0</v>
      </c>
      <c r="I47" s="14"/>
      <c r="J47" s="20">
        <f>IF(H$12=0,0,H47/H$12)</f>
        <v>0</v>
      </c>
      <c r="K47" s="16"/>
      <c r="L47" s="22">
        <f>+D47-H47</f>
        <v>17773.399999999998</v>
      </c>
      <c r="M47" s="16"/>
      <c r="N47" s="20">
        <f>IF(H47=0,0,L47/H47)</f>
        <v>0</v>
      </c>
      <c r="O47" s="28"/>
      <c r="P47" s="22">
        <f>+P19-P21+P45</f>
        <v>-3887.2800000000134</v>
      </c>
      <c r="Q47" s="14"/>
      <c r="R47" s="20">
        <f>IF(P$12=0,0,P47/P$12)</f>
        <v>-3.6265627755061043E-2</v>
      </c>
      <c r="S47" s="14"/>
      <c r="T47" s="22">
        <f>+T19-T21+T45</f>
        <v>0</v>
      </c>
      <c r="U47" s="14"/>
      <c r="V47" s="20">
        <f>IF(T$12=0,0,T47/T$12)</f>
        <v>0</v>
      </c>
      <c r="W47" s="16"/>
      <c r="X47" s="22">
        <f>+P47-T47</f>
        <v>-3887.2800000000134</v>
      </c>
      <c r="Y47" s="16"/>
      <c r="Z47" s="20">
        <f>IF(T47=0,0,X47/T47)</f>
        <v>0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2"/>
      <c r="B49" s="10" t="s">
        <v>14</v>
      </c>
      <c r="C49" s="10"/>
      <c r="D49" s="4">
        <v>5371.03</v>
      </c>
      <c r="E49" s="4"/>
      <c r="F49" s="12">
        <f>IF(D$12=0,0,D49/D$12)</f>
        <v>0.11055860705578578</v>
      </c>
      <c r="G49" s="4"/>
      <c r="H49" s="4"/>
      <c r="I49" s="4"/>
      <c r="J49" s="12">
        <f>IF(H$12=0,0,H49/H$12)</f>
        <v>0</v>
      </c>
      <c r="K49" s="4"/>
      <c r="L49" s="4">
        <f>+D49-H49</f>
        <v>5371.03</v>
      </c>
      <c r="M49" s="4"/>
      <c r="N49" s="12">
        <f>IF(H49=0,0,L49/H49)</f>
        <v>0</v>
      </c>
      <c r="O49" s="10"/>
      <c r="P49" s="4">
        <v>11577.25</v>
      </c>
      <c r="Q49" s="4"/>
      <c r="R49" s="12">
        <f>IF(P$12=0,0,P49/P$12)</f>
        <v>0.1080077172025887</v>
      </c>
      <c r="S49" s="4"/>
      <c r="T49" s="4"/>
      <c r="U49" s="4"/>
      <c r="V49" s="12">
        <f>IF(T$12=0,0,T49/T$12)</f>
        <v>0</v>
      </c>
      <c r="W49" s="4"/>
      <c r="X49" s="4">
        <f>+P49-T49</f>
        <v>11577.25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9" t="s">
        <v>4</v>
      </c>
      <c r="C51" s="29"/>
      <c r="D51" s="31">
        <f>+D47-D49</f>
        <v>12402.369999999999</v>
      </c>
      <c r="E51" s="14"/>
      <c r="F51" s="32">
        <f>IF(D$12=0,0,D51/D$12)</f>
        <v>0.25529344490544009</v>
      </c>
      <c r="G51" s="14"/>
      <c r="H51" s="31">
        <f>+H47-H49</f>
        <v>0</v>
      </c>
      <c r="I51" s="14"/>
      <c r="J51" s="32">
        <f>IF(H$12=0,0,H51/H$12)</f>
        <v>0</v>
      </c>
      <c r="K51" s="16"/>
      <c r="L51" s="31">
        <f>D51-H51</f>
        <v>12402.369999999999</v>
      </c>
      <c r="M51" s="16"/>
      <c r="N51" s="32">
        <f>IF(H51=0,0,L51/H51)</f>
        <v>0</v>
      </c>
      <c r="O51" s="28"/>
      <c r="P51" s="31">
        <f>+P47-P49</f>
        <v>-15464.530000000013</v>
      </c>
      <c r="Q51" s="14"/>
      <c r="R51" s="32">
        <f>IF(P$12=0,0,P51/P$12)</f>
        <v>-0.14427334495764974</v>
      </c>
      <c r="S51" s="14"/>
      <c r="T51" s="31">
        <f>+T47-T49</f>
        <v>0</v>
      </c>
      <c r="U51" s="14"/>
      <c r="V51" s="32">
        <f>IF(T$12=0,0,T51/T$12)</f>
        <v>0</v>
      </c>
      <c r="W51" s="16"/>
      <c r="X51" s="31">
        <f>P51-T51</f>
        <v>-15464.530000000013</v>
      </c>
      <c r="Y51" s="16"/>
      <c r="Z51" s="32">
        <f>IF(T51=0,0,X51/T51)</f>
        <v>0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5</v>
      </c>
      <c r="C54" s="29"/>
      <c r="D54" s="35">
        <f>SUM(D51:D53)</f>
        <v>12402.369999999999</v>
      </c>
      <c r="E54" s="14"/>
      <c r="F54" s="34">
        <f>IF(D$12=0,0,D54/D$12)</f>
        <v>0.25529344490544009</v>
      </c>
      <c r="G54" s="14"/>
      <c r="H54" s="35">
        <f>SUM(H51:H53)</f>
        <v>0</v>
      </c>
      <c r="I54" s="14"/>
      <c r="J54" s="34">
        <f>IF(H$12=0,0,H54/H$12)</f>
        <v>0</v>
      </c>
      <c r="K54" s="16"/>
      <c r="L54" s="35">
        <f>+D54-H54</f>
        <v>12402.369999999999</v>
      </c>
      <c r="M54" s="16"/>
      <c r="N54" s="34">
        <f>IF(H54=0,0,L54/H54)</f>
        <v>0</v>
      </c>
      <c r="O54" s="28"/>
      <c r="P54" s="35">
        <f>SUM(P51:P53)</f>
        <v>-15464.530000000013</v>
      </c>
      <c r="Q54" s="14"/>
      <c r="R54" s="34">
        <f>IF(P$12=0,0,P54/P$12)</f>
        <v>-0.14427334495764974</v>
      </c>
      <c r="S54" s="14"/>
      <c r="T54" s="35">
        <f>SUM(T51:T53)</f>
        <v>0</v>
      </c>
      <c r="U54" s="14"/>
      <c r="V54" s="34">
        <f>IF(T$12=0,0,T54/T$12)</f>
        <v>0</v>
      </c>
      <c r="W54" s="16"/>
      <c r="X54" s="35">
        <f>+P54-T54</f>
        <v>-15464.530000000013</v>
      </c>
      <c r="Y54" s="16"/>
      <c r="Z54" s="34">
        <f>IF(T54=0,0,X54/T54)</f>
        <v>0</v>
      </c>
    </row>
    <row r="55" spans="1:26" ht="15.75" thickTop="1" x14ac:dyDescent="0.25">
      <c r="A55" s="9"/>
      <c r="C55" s="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63">
        <v>43847.446316469905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5" t="s">
        <v>314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56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18544.97</v>
      </c>
      <c r="E12" s="4"/>
      <c r="F12" s="12"/>
      <c r="G12" s="4"/>
      <c r="H12" s="4">
        <f>SUM(OSRRefH13x_0)</f>
        <v>33500</v>
      </c>
      <c r="I12" s="4"/>
      <c r="J12" s="12"/>
      <c r="K12" s="4"/>
      <c r="L12" s="4">
        <f t="shared" ref="L12:L16" si="0">+D12-H12</f>
        <v>-14955.029999999999</v>
      </c>
      <c r="M12" s="4"/>
      <c r="N12" s="12">
        <f t="shared" ref="N12:N16" si="1">IF(H12=0,0,L12/H12)</f>
        <v>-0.44641880597014921</v>
      </c>
      <c r="O12" s="10"/>
      <c r="P12" s="4">
        <f>SUM(OSRRefP13x_0)</f>
        <v>180648.61</v>
      </c>
      <c r="Q12" s="4"/>
      <c r="R12" s="12"/>
      <c r="S12" s="4"/>
      <c r="T12" s="4">
        <f>SUM(OSRRefT13x_0)</f>
        <v>227289</v>
      </c>
      <c r="U12" s="4"/>
      <c r="V12" s="12"/>
      <c r="W12" s="4"/>
      <c r="X12" s="4">
        <f t="shared" ref="X12:X16" si="2">+P12-T12</f>
        <v>-46640.390000000014</v>
      </c>
      <c r="Y12" s="4"/>
      <c r="Z12" s="12">
        <f t="shared" ref="Z12:Z16" si="3">IF(T12=0,0,X12/T12)</f>
        <v>-0.20520302346352007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6500</v>
      </c>
      <c r="I13" s="2"/>
      <c r="J13" s="19"/>
      <c r="K13" s="2"/>
      <c r="L13" s="2">
        <f t="shared" si="0"/>
        <v>-6500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44109</v>
      </c>
      <c r="U13" s="2"/>
      <c r="V13" s="19"/>
      <c r="W13" s="2"/>
      <c r="X13" s="2">
        <f t="shared" si="2"/>
        <v>-44109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--3616.5</f>
        <v>3616.5</v>
      </c>
      <c r="E14" s="2"/>
      <c r="F14" s="19"/>
      <c r="G14" s="2"/>
      <c r="H14" s="2"/>
      <c r="I14" s="2"/>
      <c r="J14" s="19"/>
      <c r="K14" s="2"/>
      <c r="L14" s="2">
        <f t="shared" si="0"/>
        <v>3616.5</v>
      </c>
      <c r="M14" s="2"/>
      <c r="N14" s="19">
        <f t="shared" si="1"/>
        <v>0</v>
      </c>
      <c r="O14" s="11"/>
      <c r="P14" s="2">
        <f>--42705.2</f>
        <v>42705.2</v>
      </c>
      <c r="Q14" s="2"/>
      <c r="R14" s="19"/>
      <c r="S14" s="2"/>
      <c r="T14" s="2"/>
      <c r="U14" s="2"/>
      <c r="V14" s="19"/>
      <c r="W14" s="2"/>
      <c r="X14" s="2">
        <f t="shared" si="2"/>
        <v>42705.2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27000</v>
      </c>
      <c r="I15" s="2"/>
      <c r="J15" s="19"/>
      <c r="K15" s="2"/>
      <c r="L15" s="2">
        <f t="shared" si="0"/>
        <v>-27000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183180</v>
      </c>
      <c r="U15" s="2"/>
      <c r="V15" s="19"/>
      <c r="W15" s="2"/>
      <c r="X15" s="2">
        <f t="shared" si="2"/>
        <v>-183180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--14928.47</f>
        <v>14928.47</v>
      </c>
      <c r="E16" s="2"/>
      <c r="F16" s="19"/>
      <c r="G16" s="2"/>
      <c r="H16" s="2"/>
      <c r="I16" s="2"/>
      <c r="J16" s="19"/>
      <c r="K16" s="2"/>
      <c r="L16" s="2">
        <f t="shared" si="0"/>
        <v>14928.47</v>
      </c>
      <c r="M16" s="2"/>
      <c r="N16" s="19">
        <f t="shared" si="1"/>
        <v>0</v>
      </c>
      <c r="O16" s="11"/>
      <c r="P16" s="2">
        <f>--137943.41</f>
        <v>137943.41</v>
      </c>
      <c r="Q16" s="2"/>
      <c r="R16" s="19"/>
      <c r="S16" s="2"/>
      <c r="T16" s="2"/>
      <c r="U16" s="2"/>
      <c r="V16" s="19"/>
      <c r="W16" s="2"/>
      <c r="X16" s="2">
        <f t="shared" si="2"/>
        <v>137943.41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7100.5999999999995</v>
      </c>
      <c r="E18" s="4"/>
      <c r="F18" s="12">
        <f t="shared" ref="F18:F21" si="4">IF(D$12=0,0,D18/D$12)</f>
        <v>0.38288549401805444</v>
      </c>
      <c r="G18" s="4"/>
      <c r="H18" s="4">
        <f>SUM(OSRRefH16x_0)</f>
        <v>7500</v>
      </c>
      <c r="I18" s="4"/>
      <c r="J18" s="12">
        <f t="shared" ref="J18:J21" si="5">IF(H$12=0,0,H18/H$12)</f>
        <v>0.22388059701492538</v>
      </c>
      <c r="K18" s="4"/>
      <c r="L18" s="4">
        <f t="shared" ref="L18:L21" si="6">+D18-H18</f>
        <v>-399.40000000000055</v>
      </c>
      <c r="M18" s="4"/>
      <c r="N18" s="12">
        <f t="shared" ref="N18:N21" si="7">IF(H18=0,0,L18/H18)</f>
        <v>-5.3253333333333409E-2</v>
      </c>
      <c r="O18" s="10"/>
      <c r="P18" s="4">
        <f>SUM(OSRRefP16x_0)</f>
        <v>56369.090000000004</v>
      </c>
      <c r="Q18" s="4"/>
      <c r="R18" s="12">
        <f t="shared" ref="R18:R21" si="8">IF(P$12=0,0,P18/P$12)</f>
        <v>0.31203721966086539</v>
      </c>
      <c r="S18" s="4"/>
      <c r="T18" s="4">
        <f>SUM(OSRRefT16x_0)</f>
        <v>68800</v>
      </c>
      <c r="U18" s="4"/>
      <c r="V18" s="12">
        <f t="shared" ref="V18:V21" si="9">IF(T$12=0,0,T18/T$12)</f>
        <v>0.30269832679980113</v>
      </c>
      <c r="W18" s="4"/>
      <c r="X18" s="4">
        <f t="shared" ref="X18:X21" si="10">+P18-T18</f>
        <v>-12430.909999999996</v>
      </c>
      <c r="Y18" s="4"/>
      <c r="Z18" s="12">
        <f t="shared" ref="Z18:Z21" si="11">IF(T18=0,0,X18/T18)</f>
        <v>-0.18068183139534877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7500</v>
      </c>
      <c r="I19" s="2"/>
      <c r="J19" s="19">
        <f t="shared" si="5"/>
        <v>0.22388059701492538</v>
      </c>
      <c r="K19" s="2"/>
      <c r="L19" s="2">
        <f t="shared" si="6"/>
        <v>-7500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68800</v>
      </c>
      <c r="U19" s="2"/>
      <c r="V19" s="19">
        <f t="shared" si="9"/>
        <v>0.30269832679980113</v>
      </c>
      <c r="W19" s="2"/>
      <c r="X19" s="2">
        <f t="shared" si="10"/>
        <v>-68800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4557.4799999999996</v>
      </c>
      <c r="E20" s="2"/>
      <c r="F20" s="19">
        <f t="shared" si="4"/>
        <v>0.24575289148486082</v>
      </c>
      <c r="G20" s="2"/>
      <c r="H20" s="2"/>
      <c r="I20" s="2"/>
      <c r="J20" s="19">
        <f t="shared" si="5"/>
        <v>0</v>
      </c>
      <c r="K20" s="2"/>
      <c r="L20" s="2">
        <f t="shared" si="6"/>
        <v>4557.4799999999996</v>
      </c>
      <c r="M20" s="2"/>
      <c r="N20" s="19">
        <f t="shared" si="7"/>
        <v>0</v>
      </c>
      <c r="O20" s="11"/>
      <c r="P20" s="2">
        <v>58323.040000000001</v>
      </c>
      <c r="Q20" s="2"/>
      <c r="R20" s="19">
        <f t="shared" si="8"/>
        <v>0.32285352209463447</v>
      </c>
      <c r="S20" s="2"/>
      <c r="T20" s="2"/>
      <c r="U20" s="2"/>
      <c r="V20" s="19">
        <f t="shared" si="9"/>
        <v>0</v>
      </c>
      <c r="W20" s="2"/>
      <c r="X20" s="2">
        <f t="shared" si="10"/>
        <v>58323.040000000001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2543.12</v>
      </c>
      <c r="E21" s="2"/>
      <c r="F21" s="19">
        <f t="shared" si="4"/>
        <v>0.13713260253319362</v>
      </c>
      <c r="G21" s="2"/>
      <c r="H21" s="2"/>
      <c r="I21" s="2"/>
      <c r="J21" s="19">
        <f t="shared" si="5"/>
        <v>0</v>
      </c>
      <c r="K21" s="2"/>
      <c r="L21" s="2">
        <f t="shared" si="6"/>
        <v>2543.12</v>
      </c>
      <c r="M21" s="2"/>
      <c r="N21" s="19">
        <f t="shared" si="7"/>
        <v>0</v>
      </c>
      <c r="O21" s="11"/>
      <c r="P21" s="2">
        <v>-1953.95</v>
      </c>
      <c r="Q21" s="2"/>
      <c r="R21" s="19">
        <f t="shared" si="8"/>
        <v>-1.0816302433769074E-2</v>
      </c>
      <c r="S21" s="2"/>
      <c r="T21" s="2"/>
      <c r="U21" s="2"/>
      <c r="V21" s="19">
        <f t="shared" si="9"/>
        <v>0</v>
      </c>
      <c r="W21" s="2"/>
      <c r="X21" s="2">
        <f t="shared" si="10"/>
        <v>-1953.95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11444.370000000003</v>
      </c>
      <c r="E23" s="14"/>
      <c r="F23" s="20">
        <f>IF(D$12=0,0,D23/D$12)</f>
        <v>0.61711450598194562</v>
      </c>
      <c r="G23" s="14"/>
      <c r="H23" s="22">
        <f>H12-H18</f>
        <v>26000</v>
      </c>
      <c r="I23" s="14"/>
      <c r="J23" s="20">
        <f>IF(H$12=0,0,H23/H$12)</f>
        <v>0.77611940298507465</v>
      </c>
      <c r="K23" s="16"/>
      <c r="L23" s="22">
        <f>+D23-H23</f>
        <v>-14555.629999999997</v>
      </c>
      <c r="M23" s="16"/>
      <c r="N23" s="20">
        <f>IF(H23=0,0,L23/H23)</f>
        <v>-0.55983192307692298</v>
      </c>
      <c r="O23" s="28"/>
      <c r="P23" s="22">
        <f>P12-P18</f>
        <v>124279.51999999999</v>
      </c>
      <c r="Q23" s="14"/>
      <c r="R23" s="20">
        <f>IF(P$12=0,0,P23/P$12)</f>
        <v>0.68796278033913461</v>
      </c>
      <c r="S23" s="14"/>
      <c r="T23" s="22">
        <f>T12-T18</f>
        <v>158489</v>
      </c>
      <c r="U23" s="14"/>
      <c r="V23" s="20">
        <f>IF(T$12=0,0,T23/T$12)</f>
        <v>0.69730167320019887</v>
      </c>
      <c r="W23" s="16"/>
      <c r="X23" s="22">
        <f>+P23-T23</f>
        <v>-34209.48000000001</v>
      </c>
      <c r="Y23" s="16"/>
      <c r="Z23" s="20">
        <f>IF(T23=0,0,X23/T23)</f>
        <v>-0.21584766135189198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16260.3</v>
      </c>
      <c r="E25" s="21"/>
      <c r="F25" s="30">
        <f t="shared" ref="F25:F35" si="12">IF(D$12=0,0,D25/D$12)</f>
        <v>0.87680379100100991</v>
      </c>
      <c r="G25" s="21"/>
      <c r="H25" s="21">
        <f>SUM(OSRRefH22x_0)</f>
        <v>16965.605611700001</v>
      </c>
      <c r="I25" s="21"/>
      <c r="J25" s="30">
        <f t="shared" ref="J25:J35" si="13">IF(H$12=0,0,H25/H$12)</f>
        <v>0.50643598840895521</v>
      </c>
      <c r="K25" s="4"/>
      <c r="L25" s="21">
        <f t="shared" ref="L25:L35" si="14">+D25-H25</f>
        <v>-705.30561170000146</v>
      </c>
      <c r="M25" s="4"/>
      <c r="N25" s="30">
        <f t="shared" ref="N25:N35" si="15">IF(H25=0,0,L25/H25)</f>
        <v>-4.1572675201974586E-2</v>
      </c>
      <c r="O25" s="10"/>
      <c r="P25" s="21">
        <f>SUM(OSRRefP22x_0)</f>
        <v>121907.70000000003</v>
      </c>
      <c r="Q25" s="21"/>
      <c r="R25" s="30">
        <f t="shared" ref="R25:R35" si="16">IF(P$12=0,0,P25/P$12)</f>
        <v>0.6748333131375881</v>
      </c>
      <c r="S25" s="21"/>
      <c r="T25" s="21">
        <f>SUM(OSRRefT22x_0)</f>
        <v>109698.94806105</v>
      </c>
      <c r="U25" s="21"/>
      <c r="V25" s="30">
        <f t="shared" ref="V25:V35" si="17">IF(T$12=0,0,T25/T$12)</f>
        <v>0.48264081438630996</v>
      </c>
      <c r="W25" s="4"/>
      <c r="X25" s="21">
        <f t="shared" ref="X25:X35" si="18">+P25-T25</f>
        <v>12208.751938950023</v>
      </c>
      <c r="Y25" s="4"/>
      <c r="Z25" s="30">
        <f t="shared" ref="Z25:Z35" si="19">IF(T25=0,0,X25/T25)</f>
        <v>0.11129324532953197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3386.8799999999997</v>
      </c>
      <c r="E26" s="1"/>
      <c r="F26" s="5">
        <f t="shared" si="12"/>
        <v>0.18263065402640175</v>
      </c>
      <c r="G26" s="1"/>
      <c r="H26" s="1">
        <f>SUM(OSRRefH22_0x_0)</f>
        <v>3564.0230732384616</v>
      </c>
      <c r="I26" s="1"/>
      <c r="J26" s="5">
        <f t="shared" si="13"/>
        <v>0.10638874845487944</v>
      </c>
      <c r="K26" s="1"/>
      <c r="L26" s="1">
        <f t="shared" si="14"/>
        <v>-177.14307323846197</v>
      </c>
      <c r="M26" s="1"/>
      <c r="N26" s="5">
        <f t="shared" si="15"/>
        <v>-4.9703121892951244E-2</v>
      </c>
      <c r="O26" s="13"/>
      <c r="P26" s="1">
        <f>SUM(OSRRefP22_0x_0)</f>
        <v>20934.900000000001</v>
      </c>
      <c r="Q26" s="1"/>
      <c r="R26" s="5">
        <f t="shared" si="16"/>
        <v>0.11588741258512868</v>
      </c>
      <c r="S26" s="1"/>
      <c r="T26" s="1">
        <f>SUM(OSRRefT22_0x_0)</f>
        <v>22798.411561050005</v>
      </c>
      <c r="U26" s="1"/>
      <c r="V26" s="5">
        <f t="shared" si="17"/>
        <v>0.10030582897126568</v>
      </c>
      <c r="W26" s="1"/>
      <c r="X26" s="1">
        <f t="shared" si="18"/>
        <v>-1863.5115610500034</v>
      </c>
      <c r="Y26" s="1"/>
      <c r="Z26" s="5">
        <f t="shared" si="19"/>
        <v>-8.1738657803411344E-2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549.4</v>
      </c>
      <c r="E27" s="2"/>
      <c r="F27" s="7">
        <f t="shared" si="12"/>
        <v>2.9625283837072799E-2</v>
      </c>
      <c r="G27" s="2"/>
      <c r="H27" s="6">
        <v>616.41365185384598</v>
      </c>
      <c r="I27" s="2"/>
      <c r="J27" s="7">
        <f t="shared" si="13"/>
        <v>1.8400407518025252E-2</v>
      </c>
      <c r="K27" s="2"/>
      <c r="L27" s="6">
        <f t="shared" si="14"/>
        <v>-67.013651853846</v>
      </c>
      <c r="M27" s="2"/>
      <c r="N27" s="7">
        <f t="shared" si="15"/>
        <v>-0.10871539209474743</v>
      </c>
      <c r="O27" s="11"/>
      <c r="P27" s="6">
        <v>4351.34</v>
      </c>
      <c r="Q27" s="2"/>
      <c r="R27" s="7">
        <f t="shared" si="16"/>
        <v>2.4087315147346001E-2</v>
      </c>
      <c r="S27" s="2"/>
      <c r="T27" s="6">
        <v>4443.6367720500002</v>
      </c>
      <c r="U27" s="2"/>
      <c r="V27" s="7">
        <f t="shared" si="17"/>
        <v>1.9550601973918669E-2</v>
      </c>
      <c r="W27" s="2"/>
      <c r="X27" s="6">
        <f t="shared" si="18"/>
        <v>-92.296772050000072</v>
      </c>
      <c r="Y27" s="2"/>
      <c r="Z27" s="7">
        <f t="shared" si="19"/>
        <v>-2.0770548265901679E-2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596.79999999999995</v>
      </c>
      <c r="E28" s="2"/>
      <c r="F28" s="7">
        <f t="shared" si="12"/>
        <v>3.2181232970449662E-2</v>
      </c>
      <c r="G28" s="2"/>
      <c r="H28" s="6">
        <v>455.047802769231</v>
      </c>
      <c r="I28" s="2"/>
      <c r="J28" s="7">
        <f t="shared" si="13"/>
        <v>1.358351650057406E-2</v>
      </c>
      <c r="K28" s="2"/>
      <c r="L28" s="6">
        <f t="shared" si="14"/>
        <v>141.75219723076896</v>
      </c>
      <c r="M28" s="2"/>
      <c r="N28" s="7">
        <f t="shared" si="15"/>
        <v>0.3115105629960726</v>
      </c>
      <c r="O28" s="11"/>
      <c r="P28" s="6">
        <v>2344.12</v>
      </c>
      <c r="Q28" s="2"/>
      <c r="R28" s="7">
        <f t="shared" si="16"/>
        <v>1.2976130843187777E-2</v>
      </c>
      <c r="S28" s="2"/>
      <c r="T28" s="6">
        <v>2895.759818</v>
      </c>
      <c r="U28" s="2"/>
      <c r="V28" s="7">
        <f t="shared" si="17"/>
        <v>1.2740430984341522E-2</v>
      </c>
      <c r="W28" s="2"/>
      <c r="X28" s="6">
        <f t="shared" si="18"/>
        <v>-551.6398180000001</v>
      </c>
      <c r="Y28" s="2"/>
      <c r="Z28" s="7">
        <f t="shared" si="19"/>
        <v>-0.19049916176438916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1286.5999999999999</v>
      </c>
      <c r="E29" s="2"/>
      <c r="F29" s="7">
        <f t="shared" si="12"/>
        <v>6.937730284815774E-2</v>
      </c>
      <c r="G29" s="2"/>
      <c r="H29" s="6">
        <v>1381</v>
      </c>
      <c r="I29" s="2"/>
      <c r="J29" s="7">
        <f t="shared" si="13"/>
        <v>4.1223880597014928E-2</v>
      </c>
      <c r="K29" s="2"/>
      <c r="L29" s="6">
        <f t="shared" si="14"/>
        <v>-94.400000000000091</v>
      </c>
      <c r="M29" s="2"/>
      <c r="N29" s="7">
        <f t="shared" si="15"/>
        <v>-6.835626357711809E-2</v>
      </c>
      <c r="O29" s="11"/>
      <c r="P29" s="6">
        <v>7727.32</v>
      </c>
      <c r="Q29" s="2"/>
      <c r="R29" s="7">
        <f t="shared" si="16"/>
        <v>4.2775419085704564E-2</v>
      </c>
      <c r="S29" s="2"/>
      <c r="T29" s="6">
        <v>8286</v>
      </c>
      <c r="U29" s="2"/>
      <c r="V29" s="7">
        <f t="shared" si="17"/>
        <v>3.6455789765452794E-2</v>
      </c>
      <c r="W29" s="2"/>
      <c r="X29" s="6">
        <f t="shared" si="18"/>
        <v>-558.68000000000029</v>
      </c>
      <c r="Y29" s="2"/>
      <c r="Z29" s="7">
        <f t="shared" si="19"/>
        <v>-6.742457156649774E-2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39.99</v>
      </c>
      <c r="E30" s="2"/>
      <c r="F30" s="7">
        <f t="shared" si="12"/>
        <v>2.1563798701211166E-3</v>
      </c>
      <c r="G30" s="2"/>
      <c r="H30" s="6">
        <v>30.492894</v>
      </c>
      <c r="I30" s="2"/>
      <c r="J30" s="7">
        <f t="shared" si="13"/>
        <v>9.102356417910448E-4</v>
      </c>
      <c r="K30" s="2"/>
      <c r="L30" s="6">
        <f t="shared" si="14"/>
        <v>9.4971060000000023</v>
      </c>
      <c r="M30" s="2"/>
      <c r="N30" s="7">
        <f t="shared" si="15"/>
        <v>0.31145308805389221</v>
      </c>
      <c r="O30" s="11"/>
      <c r="P30" s="6">
        <v>206.91</v>
      </c>
      <c r="Q30" s="2"/>
      <c r="R30" s="7">
        <f t="shared" si="16"/>
        <v>1.1453727764636551E-3</v>
      </c>
      <c r="S30" s="2"/>
      <c r="T30" s="6">
        <v>194.045761</v>
      </c>
      <c r="U30" s="2"/>
      <c r="V30" s="7">
        <f t="shared" si="17"/>
        <v>8.5374022060020506E-4</v>
      </c>
      <c r="W30" s="2"/>
      <c r="X30" s="6">
        <f t="shared" si="18"/>
        <v>12.864238999999998</v>
      </c>
      <c r="Y30" s="2"/>
      <c r="Z30" s="7">
        <f t="shared" si="19"/>
        <v>6.6294872579051076E-2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326.52</v>
      </c>
      <c r="E31" s="2"/>
      <c r="F31" s="7">
        <f t="shared" si="12"/>
        <v>1.7606930612451784E-2</v>
      </c>
      <c r="G31" s="2"/>
      <c r="H31" s="6">
        <v>402.01010923076899</v>
      </c>
      <c r="I31" s="2"/>
      <c r="J31" s="7">
        <f t="shared" si="13"/>
        <v>1.2000301768082656E-2</v>
      </c>
      <c r="K31" s="2"/>
      <c r="L31" s="6">
        <f t="shared" si="14"/>
        <v>-75.490109230769008</v>
      </c>
      <c r="M31" s="2"/>
      <c r="N31" s="7">
        <f t="shared" si="15"/>
        <v>-0.18778161916180777</v>
      </c>
      <c r="O31" s="11"/>
      <c r="P31" s="6">
        <v>1959.12</v>
      </c>
      <c r="Q31" s="2"/>
      <c r="R31" s="7">
        <f t="shared" si="16"/>
        <v>1.0844921530257E-2</v>
      </c>
      <c r="S31" s="2"/>
      <c r="T31" s="6">
        <v>2613.0657100000003</v>
      </c>
      <c r="U31" s="2"/>
      <c r="V31" s="7">
        <f t="shared" si="17"/>
        <v>1.1496665962717071E-2</v>
      </c>
      <c r="W31" s="2"/>
      <c r="X31" s="6">
        <f t="shared" si="18"/>
        <v>-653.94571000000042</v>
      </c>
      <c r="Y31" s="2"/>
      <c r="Z31" s="7">
        <f t="shared" si="19"/>
        <v>-0.25025995614936158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269.38</v>
      </c>
      <c r="E33" s="2"/>
      <c r="F33" s="7">
        <f t="shared" si="12"/>
        <v>1.452577167825022E-2</v>
      </c>
      <c r="G33" s="2"/>
      <c r="H33" s="6">
        <v>233.72680769230803</v>
      </c>
      <c r="I33" s="2"/>
      <c r="J33" s="7">
        <f t="shared" si="13"/>
        <v>6.9769196326062094E-3</v>
      </c>
      <c r="K33" s="2"/>
      <c r="L33" s="6">
        <f t="shared" si="14"/>
        <v>35.653192307691967</v>
      </c>
      <c r="M33" s="2"/>
      <c r="N33" s="7">
        <f t="shared" si="15"/>
        <v>0.15254216090876474</v>
      </c>
      <c r="O33" s="11"/>
      <c r="P33" s="6">
        <v>1835.06</v>
      </c>
      <c r="Q33" s="2"/>
      <c r="R33" s="7">
        <f t="shared" si="16"/>
        <v>1.0158173926718838E-2</v>
      </c>
      <c r="S33" s="2"/>
      <c r="T33" s="6">
        <v>1519.224250000002</v>
      </c>
      <c r="U33" s="2"/>
      <c r="V33" s="7">
        <f t="shared" si="17"/>
        <v>6.6841081178587699E-3</v>
      </c>
      <c r="W33" s="2"/>
      <c r="X33" s="6">
        <f t="shared" si="18"/>
        <v>315.83574999999792</v>
      </c>
      <c r="Y33" s="2"/>
      <c r="Z33" s="7">
        <f t="shared" si="19"/>
        <v>0.20789277817280596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215.62</v>
      </c>
      <c r="E34" s="2"/>
      <c r="F34" s="7">
        <f t="shared" si="12"/>
        <v>1.1626872407989874E-2</v>
      </c>
      <c r="G34" s="2"/>
      <c r="H34" s="6">
        <v>445.33180769230802</v>
      </c>
      <c r="I34" s="2"/>
      <c r="J34" s="7">
        <f t="shared" si="13"/>
        <v>1.3293486796785313E-2</v>
      </c>
      <c r="K34" s="2"/>
      <c r="L34" s="6">
        <f t="shared" si="14"/>
        <v>-229.71180769230801</v>
      </c>
      <c r="M34" s="2"/>
      <c r="N34" s="7">
        <f t="shared" si="15"/>
        <v>-0.51582169457570437</v>
      </c>
      <c r="O34" s="11"/>
      <c r="P34" s="6">
        <v>1735.42</v>
      </c>
      <c r="Q34" s="2"/>
      <c r="R34" s="7">
        <f t="shared" si="16"/>
        <v>9.6066058853151448E-3</v>
      </c>
      <c r="S34" s="2"/>
      <c r="T34" s="6">
        <v>2846.6792500000024</v>
      </c>
      <c r="U34" s="2"/>
      <c r="V34" s="7">
        <f t="shared" si="17"/>
        <v>1.2524491946376649E-2</v>
      </c>
      <c r="W34" s="2"/>
      <c r="X34" s="6">
        <f t="shared" si="18"/>
        <v>-1111.2592500000023</v>
      </c>
      <c r="Y34" s="2"/>
      <c r="Z34" s="7">
        <f t="shared" si="19"/>
        <v>-0.39037037629019899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102.57</v>
      </c>
      <c r="E35" s="2"/>
      <c r="F35" s="7">
        <f t="shared" si="12"/>
        <v>5.5308798019085489E-3</v>
      </c>
      <c r="G35" s="2"/>
      <c r="H35" s="6"/>
      <c r="I35" s="2"/>
      <c r="J35" s="7">
        <f t="shared" si="13"/>
        <v>0</v>
      </c>
      <c r="K35" s="2"/>
      <c r="L35" s="6">
        <f t="shared" si="14"/>
        <v>102.57</v>
      </c>
      <c r="M35" s="2"/>
      <c r="N35" s="7">
        <f t="shared" si="15"/>
        <v>0</v>
      </c>
      <c r="O35" s="11"/>
      <c r="P35" s="6">
        <v>775.61</v>
      </c>
      <c r="Q35" s="2"/>
      <c r="R35" s="7">
        <f t="shared" si="16"/>
        <v>4.2934733901356902E-3</v>
      </c>
      <c r="S35" s="2"/>
      <c r="T35" s="6"/>
      <c r="U35" s="2"/>
      <c r="V35" s="7">
        <f t="shared" si="17"/>
        <v>0</v>
      </c>
      <c r="W35" s="2"/>
      <c r="X35" s="6">
        <f t="shared" si="18"/>
        <v>775.61</v>
      </c>
      <c r="Y35" s="2"/>
      <c r="Z35" s="7">
        <f t="shared" si="19"/>
        <v>0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9360.41</v>
      </c>
      <c r="E36" s="1"/>
      <c r="F36" s="5">
        <f t="shared" ref="F36:F46" si="20">IF(D$12=0,0,D36/D$12)</f>
        <v>0.50474117779645911</v>
      </c>
      <c r="G36" s="1"/>
      <c r="H36" s="1">
        <f>SUM(OSRRefH22_1x_0)</f>
        <v>11260.58253846154</v>
      </c>
      <c r="I36" s="1"/>
      <c r="J36" s="5">
        <f t="shared" ref="J36:J46" si="21">IF(H$12=0,0,H36/H$12)</f>
        <v>0.33613679219288178</v>
      </c>
      <c r="K36" s="1"/>
      <c r="L36" s="1">
        <f t="shared" ref="L36:L46" si="22">+D36-H36</f>
        <v>-1900.1725384615402</v>
      </c>
      <c r="M36" s="1"/>
      <c r="N36" s="5">
        <f t="shared" ref="N36:N46" si="23">IF(H36=0,0,L36/H36)</f>
        <v>-0.16874549180482704</v>
      </c>
      <c r="O36" s="13"/>
      <c r="P36" s="1">
        <f>SUM(OSRRefP22_1x_0)</f>
        <v>75035.42</v>
      </c>
      <c r="Q36" s="1"/>
      <c r="R36" s="5">
        <f t="shared" ref="R36:R46" si="24">IF(P$12=0,0,P36/P$12)</f>
        <v>0.41536671663291513</v>
      </c>
      <c r="S36" s="1"/>
      <c r="T36" s="1">
        <f>SUM(OSRRefT22_1x_0)</f>
        <v>71594.536500000002</v>
      </c>
      <c r="U36" s="1"/>
      <c r="V36" s="5">
        <f t="shared" ref="V36:V46" si="25">IF(T$12=0,0,T36/T$12)</f>
        <v>0.31499340707205364</v>
      </c>
      <c r="W36" s="1"/>
      <c r="X36" s="1">
        <f t="shared" ref="X36:X46" si="26">+P36-T36</f>
        <v>3440.8834999999963</v>
      </c>
      <c r="Y36" s="1"/>
      <c r="Z36" s="5">
        <f t="shared" ref="Z36:Z46" si="27">IF(T36=0,0,X36/T36)</f>
        <v>4.8060699436192261E-2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4440.8900000000003</v>
      </c>
      <c r="E38" s="2"/>
      <c r="F38" s="7">
        <f t="shared" si="20"/>
        <v>0.23946601153843872</v>
      </c>
      <c r="G38" s="2"/>
      <c r="H38" s="6">
        <v>4207.08253846154</v>
      </c>
      <c r="I38" s="2"/>
      <c r="J38" s="7">
        <f t="shared" si="21"/>
        <v>0.12558455338691163</v>
      </c>
      <c r="K38" s="2"/>
      <c r="L38" s="6">
        <f t="shared" si="22"/>
        <v>233.8074615384603</v>
      </c>
      <c r="M38" s="2"/>
      <c r="N38" s="7">
        <f t="shared" si="23"/>
        <v>5.5574726523896487E-2</v>
      </c>
      <c r="O38" s="11"/>
      <c r="P38" s="6">
        <v>28982.649999999998</v>
      </c>
      <c r="Q38" s="2"/>
      <c r="R38" s="7">
        <f t="shared" si="24"/>
        <v>0.16043660673613819</v>
      </c>
      <c r="S38" s="2"/>
      <c r="T38" s="6">
        <v>27346.036500000002</v>
      </c>
      <c r="U38" s="2"/>
      <c r="V38" s="7">
        <f t="shared" si="25"/>
        <v>0.12031394612145771</v>
      </c>
      <c r="W38" s="2"/>
      <c r="X38" s="6">
        <f t="shared" si="26"/>
        <v>1636.6134999999958</v>
      </c>
      <c r="Y38" s="2"/>
      <c r="Z38" s="7">
        <f t="shared" si="27"/>
        <v>5.9848289166146464E-2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3380</v>
      </c>
      <c r="I40" s="2"/>
      <c r="J40" s="7">
        <f t="shared" si="21"/>
        <v>0.1008955223880597</v>
      </c>
      <c r="K40" s="2"/>
      <c r="L40" s="6">
        <f t="shared" si="22"/>
        <v>-3380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23959.5</v>
      </c>
      <c r="U40" s="2"/>
      <c r="V40" s="7">
        <f t="shared" si="25"/>
        <v>0.10541425233953249</v>
      </c>
      <c r="W40" s="2"/>
      <c r="X40" s="6">
        <f t="shared" si="26"/>
        <v>-23959.5</v>
      </c>
      <c r="Y40" s="2"/>
      <c r="Z40" s="7">
        <f t="shared" si="27"/>
        <v>-1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2495.52</v>
      </c>
      <c r="E41" s="2"/>
      <c r="F41" s="7">
        <f t="shared" si="20"/>
        <v>0.13456586880431728</v>
      </c>
      <c r="G41" s="2"/>
      <c r="H41" s="6">
        <v>637.5</v>
      </c>
      <c r="I41" s="2"/>
      <c r="J41" s="7">
        <f t="shared" si="21"/>
        <v>1.9029850746268655E-2</v>
      </c>
      <c r="K41" s="2"/>
      <c r="L41" s="6">
        <f t="shared" si="22"/>
        <v>1858.02</v>
      </c>
      <c r="M41" s="2"/>
      <c r="N41" s="7">
        <f t="shared" si="23"/>
        <v>2.9145411764705882</v>
      </c>
      <c r="O41" s="11"/>
      <c r="P41" s="6">
        <v>20389.46</v>
      </c>
      <c r="Q41" s="2"/>
      <c r="R41" s="7">
        <f t="shared" si="24"/>
        <v>0.11286807022760928</v>
      </c>
      <c r="S41" s="2"/>
      <c r="T41" s="6">
        <v>3009</v>
      </c>
      <c r="U41" s="2"/>
      <c r="V41" s="7">
        <f t="shared" si="25"/>
        <v>1.3238652112508744E-2</v>
      </c>
      <c r="W41" s="2"/>
      <c r="X41" s="6">
        <f t="shared" si="26"/>
        <v>17380.46</v>
      </c>
      <c r="Y41" s="2"/>
      <c r="Z41" s="7">
        <f t="shared" si="27"/>
        <v>5.7761581920903948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2184</v>
      </c>
      <c r="E43" s="2"/>
      <c r="F43" s="7">
        <f t="shared" si="20"/>
        <v>0.11776778285432653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2184</v>
      </c>
      <c r="M43" s="2"/>
      <c r="N43" s="7">
        <f t="shared" si="23"/>
        <v>0</v>
      </c>
      <c r="O43" s="11"/>
      <c r="P43" s="6">
        <v>23119.31</v>
      </c>
      <c r="Q43" s="2"/>
      <c r="R43" s="7">
        <f t="shared" si="24"/>
        <v>0.12797945137800951</v>
      </c>
      <c r="S43" s="2"/>
      <c r="T43" s="6">
        <v>3720</v>
      </c>
      <c r="U43" s="2"/>
      <c r="V43" s="7">
        <f t="shared" si="25"/>
        <v>1.6366828135105527E-2</v>
      </c>
      <c r="W43" s="2"/>
      <c r="X43" s="6">
        <f t="shared" si="26"/>
        <v>19399.310000000001</v>
      </c>
      <c r="Y43" s="2"/>
      <c r="Z43" s="7">
        <f t="shared" si="27"/>
        <v>5.2148682795698926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240</v>
      </c>
      <c r="E44" s="2"/>
      <c r="F44" s="7">
        <f t="shared" si="20"/>
        <v>1.2941514599376541E-2</v>
      </c>
      <c r="G44" s="2"/>
      <c r="H44" s="6">
        <v>3036</v>
      </c>
      <c r="I44" s="2"/>
      <c r="J44" s="7">
        <f t="shared" si="21"/>
        <v>9.0626865671641785E-2</v>
      </c>
      <c r="K44" s="2"/>
      <c r="L44" s="6">
        <f t="shared" si="22"/>
        <v>-2796</v>
      </c>
      <c r="M44" s="2"/>
      <c r="N44" s="7">
        <f t="shared" si="23"/>
        <v>-0.92094861660079053</v>
      </c>
      <c r="O44" s="11"/>
      <c r="P44" s="6">
        <v>2544</v>
      </c>
      <c r="Q44" s="2"/>
      <c r="R44" s="7">
        <f t="shared" si="24"/>
        <v>1.4082588291158177E-2</v>
      </c>
      <c r="S44" s="2"/>
      <c r="T44" s="6">
        <v>13560</v>
      </c>
      <c r="U44" s="2"/>
      <c r="V44" s="7">
        <f t="shared" si="25"/>
        <v>5.9659728363449176E-2</v>
      </c>
      <c r="W44" s="2"/>
      <c r="X44" s="6">
        <f t="shared" si="26"/>
        <v>-11016</v>
      </c>
      <c r="Y44" s="2"/>
      <c r="Z44" s="7">
        <f t="shared" si="27"/>
        <v>-0.81238938053097343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350</v>
      </c>
      <c r="E47" s="1"/>
      <c r="F47" s="5">
        <f t="shared" ref="F47:F62" si="28">IF(D$12=0,0,D47/D$12)</f>
        <v>1.8873042124090789E-2</v>
      </c>
      <c r="G47" s="1"/>
      <c r="H47" s="1">
        <f>SUM(OSRRefH22_2x_0)</f>
        <v>75</v>
      </c>
      <c r="I47" s="1"/>
      <c r="J47" s="5">
        <f t="shared" ref="J47:J62" si="29">IF(H$12=0,0,H47/H$12)</f>
        <v>2.2388059701492539E-3</v>
      </c>
      <c r="K47" s="1"/>
      <c r="L47" s="1">
        <f t="shared" ref="L47:L62" si="30">+D47-H47</f>
        <v>275</v>
      </c>
      <c r="M47" s="1"/>
      <c r="N47" s="5">
        <f t="shared" ref="N47:N62" si="31">IF(H47=0,0,L47/H47)</f>
        <v>3.6666666666666665</v>
      </c>
      <c r="O47" s="13"/>
      <c r="P47" s="1">
        <f>SUM(OSRRefP22_2x_0)</f>
        <v>1815</v>
      </c>
      <c r="Q47" s="1"/>
      <c r="R47" s="5">
        <f t="shared" ref="R47:R62" si="32">IF(P$12=0,0,P47/P$12)</f>
        <v>1.0047129618102238E-2</v>
      </c>
      <c r="S47" s="1"/>
      <c r="T47" s="1">
        <f>SUM(OSRRefT22_2x_0)</f>
        <v>625</v>
      </c>
      <c r="U47" s="1"/>
      <c r="V47" s="5">
        <f t="shared" ref="V47:V62" si="33">IF(T$12=0,0,T47/T$12)</f>
        <v>2.7498031140970308E-3</v>
      </c>
      <c r="W47" s="1"/>
      <c r="X47" s="1">
        <f t="shared" ref="X47:X62" si="34">+P47-T47</f>
        <v>1190</v>
      </c>
      <c r="Y47" s="1"/>
      <c r="Z47" s="5">
        <f t="shared" ref="Z47:Z62" si="35">IF(T47=0,0,X47/T47)</f>
        <v>1.9039999999999999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350</v>
      </c>
      <c r="E48" s="2"/>
      <c r="F48" s="7">
        <f t="shared" si="28"/>
        <v>1.8873042124090789E-2</v>
      </c>
      <c r="G48" s="2"/>
      <c r="H48" s="6">
        <v>75</v>
      </c>
      <c r="I48" s="2"/>
      <c r="J48" s="7">
        <f t="shared" si="29"/>
        <v>2.2388059701492539E-3</v>
      </c>
      <c r="K48" s="2"/>
      <c r="L48" s="6">
        <f t="shared" si="30"/>
        <v>275</v>
      </c>
      <c r="M48" s="2"/>
      <c r="N48" s="7">
        <f t="shared" si="31"/>
        <v>3.6666666666666665</v>
      </c>
      <c r="O48" s="11"/>
      <c r="P48" s="6">
        <v>1815</v>
      </c>
      <c r="Q48" s="2"/>
      <c r="R48" s="7">
        <f t="shared" si="32"/>
        <v>1.0047129618102238E-2</v>
      </c>
      <c r="S48" s="2"/>
      <c r="T48" s="6">
        <v>625</v>
      </c>
      <c r="U48" s="2"/>
      <c r="V48" s="7">
        <f t="shared" si="33"/>
        <v>2.7498031140970308E-3</v>
      </c>
      <c r="W48" s="2"/>
      <c r="X48" s="6">
        <f t="shared" si="34"/>
        <v>1190</v>
      </c>
      <c r="Y48" s="2"/>
      <c r="Z48" s="7">
        <f t="shared" si="35"/>
        <v>1.9039999999999999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-12.95</v>
      </c>
      <c r="E49" s="1"/>
      <c r="F49" s="5">
        <f t="shared" si="28"/>
        <v>-6.9830255859135919E-4</v>
      </c>
      <c r="G49" s="1"/>
      <c r="H49" s="1">
        <f>SUM(OSRRefH22_3x_0)</f>
        <v>20</v>
      </c>
      <c r="I49" s="1"/>
      <c r="J49" s="5">
        <f t="shared" si="29"/>
        <v>5.9701492537313433E-4</v>
      </c>
      <c r="K49" s="1"/>
      <c r="L49" s="1">
        <f t="shared" si="30"/>
        <v>-32.950000000000003</v>
      </c>
      <c r="M49" s="1"/>
      <c r="N49" s="5">
        <f t="shared" si="31"/>
        <v>-1.6475000000000002</v>
      </c>
      <c r="O49" s="13"/>
      <c r="P49" s="1">
        <f>SUM(OSRRefP22_3x_0)</f>
        <v>-37.47</v>
      </c>
      <c r="Q49" s="1"/>
      <c r="R49" s="5">
        <f t="shared" si="32"/>
        <v>-2.0741925442991231E-4</v>
      </c>
      <c r="S49" s="1"/>
      <c r="T49" s="1">
        <f>SUM(OSRRefT22_3x_0)</f>
        <v>120</v>
      </c>
      <c r="U49" s="1"/>
      <c r="V49" s="5">
        <f t="shared" si="33"/>
        <v>5.2796219790662987E-4</v>
      </c>
      <c r="W49" s="1"/>
      <c r="X49" s="1">
        <f t="shared" si="34"/>
        <v>-157.47</v>
      </c>
      <c r="Y49" s="1"/>
      <c r="Z49" s="5">
        <f t="shared" si="35"/>
        <v>-1.3122499999999999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-12.95</v>
      </c>
      <c r="E50" s="2"/>
      <c r="F50" s="7">
        <f t="shared" si="28"/>
        <v>-6.9830255859135919E-4</v>
      </c>
      <c r="G50" s="2"/>
      <c r="H50" s="6">
        <v>20</v>
      </c>
      <c r="I50" s="2"/>
      <c r="J50" s="7">
        <f t="shared" si="29"/>
        <v>5.9701492537313433E-4</v>
      </c>
      <c r="K50" s="2"/>
      <c r="L50" s="6">
        <f t="shared" si="30"/>
        <v>-32.950000000000003</v>
      </c>
      <c r="M50" s="2"/>
      <c r="N50" s="7">
        <f t="shared" si="31"/>
        <v>-1.6475000000000002</v>
      </c>
      <c r="O50" s="11"/>
      <c r="P50" s="6">
        <v>-37.47</v>
      </c>
      <c r="Q50" s="2"/>
      <c r="R50" s="7">
        <f t="shared" si="32"/>
        <v>-2.0741925442991231E-4</v>
      </c>
      <c r="S50" s="2"/>
      <c r="T50" s="6">
        <v>120</v>
      </c>
      <c r="U50" s="2"/>
      <c r="V50" s="7">
        <f t="shared" si="33"/>
        <v>5.2796219790662987E-4</v>
      </c>
      <c r="W50" s="2"/>
      <c r="X50" s="6">
        <f t="shared" si="34"/>
        <v>-157.47</v>
      </c>
      <c r="Y50" s="2"/>
      <c r="Z50" s="7">
        <f t="shared" si="35"/>
        <v>-1.3122499999999999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1574.71</v>
      </c>
      <c r="E51" s="1"/>
      <c r="F51" s="5">
        <f t="shared" si="28"/>
        <v>8.491305189493431E-2</v>
      </c>
      <c r="G51" s="1"/>
      <c r="H51" s="1">
        <f>SUM(OSRRefH22_4x_0)</f>
        <v>750</v>
      </c>
      <c r="I51" s="1"/>
      <c r="J51" s="5">
        <f t="shared" si="29"/>
        <v>2.2388059701492536E-2</v>
      </c>
      <c r="K51" s="1"/>
      <c r="L51" s="1">
        <f t="shared" si="30"/>
        <v>824.71</v>
      </c>
      <c r="M51" s="1"/>
      <c r="N51" s="5">
        <f t="shared" si="31"/>
        <v>1.0996133333333333</v>
      </c>
      <c r="O51" s="13"/>
      <c r="P51" s="1">
        <f>SUM(OSRRefP22_4x_0)</f>
        <v>7238.08</v>
      </c>
      <c r="Q51" s="1"/>
      <c r="R51" s="5">
        <f t="shared" si="32"/>
        <v>4.0067177931787025E-2</v>
      </c>
      <c r="S51" s="1"/>
      <c r="T51" s="1">
        <f>SUM(OSRRefT22_4x_0)</f>
        <v>5700</v>
      </c>
      <c r="U51" s="1"/>
      <c r="V51" s="5">
        <f t="shared" si="33"/>
        <v>2.5078204400564921E-2</v>
      </c>
      <c r="W51" s="1"/>
      <c r="X51" s="1">
        <f t="shared" si="34"/>
        <v>1538.08</v>
      </c>
      <c r="Y51" s="1"/>
      <c r="Z51" s="5">
        <f t="shared" si="35"/>
        <v>0.26983859649122804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1574.71</v>
      </c>
      <c r="E52" s="2"/>
      <c r="F52" s="7">
        <f t="shared" si="28"/>
        <v>8.491305189493431E-2</v>
      </c>
      <c r="G52" s="2"/>
      <c r="H52" s="6">
        <v>750</v>
      </c>
      <c r="I52" s="2"/>
      <c r="J52" s="7">
        <f t="shared" si="29"/>
        <v>2.2388059701492536E-2</v>
      </c>
      <c r="K52" s="2"/>
      <c r="L52" s="6">
        <f t="shared" si="30"/>
        <v>824.71</v>
      </c>
      <c r="M52" s="2"/>
      <c r="N52" s="7">
        <f t="shared" si="31"/>
        <v>1.0996133333333333</v>
      </c>
      <c r="O52" s="11"/>
      <c r="P52" s="6">
        <v>7238.08</v>
      </c>
      <c r="Q52" s="2"/>
      <c r="R52" s="7">
        <f t="shared" si="32"/>
        <v>4.0067177931787025E-2</v>
      </c>
      <c r="S52" s="2"/>
      <c r="T52" s="6">
        <v>5700</v>
      </c>
      <c r="U52" s="2"/>
      <c r="V52" s="7">
        <f t="shared" si="33"/>
        <v>2.5078204400564921E-2</v>
      </c>
      <c r="W52" s="2"/>
      <c r="X52" s="6">
        <f t="shared" si="34"/>
        <v>1538.08</v>
      </c>
      <c r="Y52" s="2"/>
      <c r="Z52" s="7">
        <f t="shared" si="35"/>
        <v>0.26983859649122804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3.3982799648637881E-2</v>
      </c>
      <c r="G53" s="1"/>
      <c r="H53" s="1">
        <f>SUM(OSRRefH22_5x_0)</f>
        <v>636</v>
      </c>
      <c r="I53" s="1"/>
      <c r="J53" s="5">
        <f t="shared" si="29"/>
        <v>1.8985074626865672E-2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3781.26</v>
      </c>
      <c r="Q53" s="1"/>
      <c r="R53" s="5">
        <f t="shared" si="32"/>
        <v>2.0931575393799046E-2</v>
      </c>
      <c r="S53" s="1"/>
      <c r="T53" s="1">
        <f>SUM(OSRRefT22_5x_0)</f>
        <v>3816</v>
      </c>
      <c r="U53" s="1"/>
      <c r="V53" s="5">
        <f t="shared" si="33"/>
        <v>1.6789197893430832E-2</v>
      </c>
      <c r="W53" s="1"/>
      <c r="X53" s="1">
        <f t="shared" si="34"/>
        <v>-34.739999999999782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3.3982799648637881E-2</v>
      </c>
      <c r="G54" s="2"/>
      <c r="H54" s="6">
        <v>636</v>
      </c>
      <c r="I54" s="2"/>
      <c r="J54" s="7">
        <f t="shared" si="29"/>
        <v>1.8985074626865672E-2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3781.26</v>
      </c>
      <c r="Q54" s="2"/>
      <c r="R54" s="7">
        <f t="shared" si="32"/>
        <v>2.0931575393799046E-2</v>
      </c>
      <c r="S54" s="2"/>
      <c r="T54" s="6">
        <v>3816</v>
      </c>
      <c r="U54" s="2"/>
      <c r="V54" s="7">
        <f t="shared" si="33"/>
        <v>1.6789197893430832E-2</v>
      </c>
      <c r="W54" s="2"/>
      <c r="X54" s="6">
        <f t="shared" si="34"/>
        <v>-34.739999999999782</v>
      </c>
      <c r="Y54" s="2"/>
      <c r="Z54" s="7">
        <f t="shared" si="35"/>
        <v>-9.1037735849056039E-3</v>
      </c>
    </row>
    <row r="55" spans="1:26" s="25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250</v>
      </c>
      <c r="I55" s="1"/>
      <c r="J55" s="5">
        <f t="shared" si="29"/>
        <v>7.462686567164179E-3</v>
      </c>
      <c r="K55" s="1"/>
      <c r="L55" s="1">
        <f t="shared" si="30"/>
        <v>-250</v>
      </c>
      <c r="M55" s="1"/>
      <c r="N55" s="5">
        <f t="shared" si="31"/>
        <v>-1</v>
      </c>
      <c r="O55" s="13"/>
      <c r="P55" s="1">
        <f>SUM(OSRRefP22_6x_0)</f>
        <v>0</v>
      </c>
      <c r="Q55" s="1"/>
      <c r="R55" s="5">
        <f t="shared" si="32"/>
        <v>0</v>
      </c>
      <c r="S55" s="1"/>
      <c r="T55" s="1">
        <f>SUM(OSRRefT22_6x_0)</f>
        <v>250</v>
      </c>
      <c r="U55" s="1"/>
      <c r="V55" s="5">
        <f t="shared" si="33"/>
        <v>1.0999212456388123E-3</v>
      </c>
      <c r="W55" s="1"/>
      <c r="X55" s="1">
        <f t="shared" si="34"/>
        <v>-250</v>
      </c>
      <c r="Y55" s="1"/>
      <c r="Z55" s="5">
        <f t="shared" si="35"/>
        <v>-1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8"/>
        <v>0</v>
      </c>
      <c r="G56" s="2"/>
      <c r="H56" s="6">
        <v>250</v>
      </c>
      <c r="I56" s="2"/>
      <c r="J56" s="7">
        <f t="shared" si="29"/>
        <v>7.462686567164179E-3</v>
      </c>
      <c r="K56" s="2"/>
      <c r="L56" s="6">
        <f t="shared" si="30"/>
        <v>-250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250</v>
      </c>
      <c r="U56" s="2"/>
      <c r="V56" s="7">
        <f t="shared" si="33"/>
        <v>1.0999212456388123E-3</v>
      </c>
      <c r="W56" s="2"/>
      <c r="X56" s="6">
        <f t="shared" si="34"/>
        <v>-250</v>
      </c>
      <c r="Y56" s="2"/>
      <c r="Z56" s="7">
        <f t="shared" si="35"/>
        <v>-1</v>
      </c>
    </row>
    <row r="57" spans="1:26" s="25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SUM(OSRRefP22_7x_0)</f>
        <v>851.35</v>
      </c>
      <c r="Q57" s="1"/>
      <c r="R57" s="5">
        <f t="shared" si="32"/>
        <v>4.7127403858795262E-3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851.35</v>
      </c>
      <c r="Y57" s="1"/>
      <c r="Z57" s="5">
        <f t="shared" si="35"/>
        <v>0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851.35</v>
      </c>
      <c r="Q58" s="2"/>
      <c r="R58" s="7">
        <f t="shared" si="32"/>
        <v>4.7127403858795262E-3</v>
      </c>
      <c r="S58" s="2"/>
      <c r="T58" s="6"/>
      <c r="U58" s="2"/>
      <c r="V58" s="7">
        <f t="shared" si="33"/>
        <v>0</v>
      </c>
      <c r="W58" s="2"/>
      <c r="X58" s="6">
        <f t="shared" si="34"/>
        <v>851.35</v>
      </c>
      <c r="Y58" s="2"/>
      <c r="Z58" s="7">
        <f t="shared" si="35"/>
        <v>0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771.55</v>
      </c>
      <c r="E59" s="1"/>
      <c r="F59" s="5">
        <f t="shared" si="28"/>
        <v>4.1604273288120712E-2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771.55</v>
      </c>
      <c r="M59" s="1"/>
      <c r="N59" s="5">
        <f t="shared" si="31"/>
        <v>0</v>
      </c>
      <c r="O59" s="13"/>
      <c r="P59" s="1">
        <f>SUM(OSRRefP22_8x_0)</f>
        <v>8449.36</v>
      </c>
      <c r="Q59" s="1"/>
      <c r="R59" s="5">
        <f t="shared" si="32"/>
        <v>4.6772349922869605E-2</v>
      </c>
      <c r="S59" s="1"/>
      <c r="T59" s="1">
        <f>SUM(OSRRefT22_8x_0)</f>
        <v>0</v>
      </c>
      <c r="U59" s="1"/>
      <c r="V59" s="5">
        <f t="shared" si="33"/>
        <v>0</v>
      </c>
      <c r="W59" s="1"/>
      <c r="X59" s="1">
        <f t="shared" si="34"/>
        <v>8449.36</v>
      </c>
      <c r="Y59" s="1"/>
      <c r="Z59" s="5">
        <f t="shared" si="35"/>
        <v>0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874.62</v>
      </c>
      <c r="Q60" s="2"/>
      <c r="R60" s="7">
        <f t="shared" si="32"/>
        <v>4.8415539981182254E-3</v>
      </c>
      <c r="S60" s="2"/>
      <c r="T60" s="6"/>
      <c r="U60" s="2"/>
      <c r="V60" s="7">
        <f t="shared" si="33"/>
        <v>0</v>
      </c>
      <c r="W60" s="2"/>
      <c r="X60" s="6">
        <f t="shared" si="34"/>
        <v>874.62</v>
      </c>
      <c r="Y60" s="2"/>
      <c r="Z60" s="7">
        <f t="shared" si="35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708.93</v>
      </c>
      <c r="E61" s="2"/>
      <c r="F61" s="7">
        <f t="shared" si="28"/>
        <v>3.822761643723338E-2</v>
      </c>
      <c r="G61" s="2"/>
      <c r="H61" s="6"/>
      <c r="I61" s="2"/>
      <c r="J61" s="7">
        <f t="shared" si="29"/>
        <v>0</v>
      </c>
      <c r="K61" s="2"/>
      <c r="L61" s="6">
        <f t="shared" si="30"/>
        <v>708.93</v>
      </c>
      <c r="M61" s="2"/>
      <c r="N61" s="7">
        <f t="shared" si="31"/>
        <v>0</v>
      </c>
      <c r="O61" s="11"/>
      <c r="P61" s="6">
        <v>866.22</v>
      </c>
      <c r="Q61" s="2"/>
      <c r="R61" s="7">
        <f t="shared" si="32"/>
        <v>4.7950548858360998E-3</v>
      </c>
      <c r="S61" s="2"/>
      <c r="T61" s="6"/>
      <c r="U61" s="2"/>
      <c r="V61" s="7">
        <f t="shared" si="33"/>
        <v>0</v>
      </c>
      <c r="W61" s="2"/>
      <c r="X61" s="6">
        <f t="shared" si="34"/>
        <v>866.22</v>
      </c>
      <c r="Y61" s="2"/>
      <c r="Z61" s="7">
        <f t="shared" si="35"/>
        <v>0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62.62</v>
      </c>
      <c r="E62" s="2"/>
      <c r="F62" s="7">
        <f t="shared" si="28"/>
        <v>3.3766568508873294E-3</v>
      </c>
      <c r="G62" s="2"/>
      <c r="H62" s="6"/>
      <c r="I62" s="2"/>
      <c r="J62" s="7">
        <f t="shared" si="29"/>
        <v>0</v>
      </c>
      <c r="K62" s="2"/>
      <c r="L62" s="6">
        <f t="shared" si="30"/>
        <v>62.62</v>
      </c>
      <c r="M62" s="2"/>
      <c r="N62" s="7">
        <f t="shared" si="31"/>
        <v>0</v>
      </c>
      <c r="O62" s="11"/>
      <c r="P62" s="6">
        <v>6708.52</v>
      </c>
      <c r="Q62" s="2"/>
      <c r="R62" s="7">
        <f t="shared" si="32"/>
        <v>3.7135741038915281E-2</v>
      </c>
      <c r="S62" s="2"/>
      <c r="T62" s="6"/>
      <c r="U62" s="2"/>
      <c r="V62" s="7">
        <f t="shared" si="33"/>
        <v>0</v>
      </c>
      <c r="W62" s="2"/>
      <c r="X62" s="6">
        <f t="shared" si="34"/>
        <v>6708.52</v>
      </c>
      <c r="Y62" s="2"/>
      <c r="Z62" s="7">
        <f t="shared" si="35"/>
        <v>0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78.900000000000006</v>
      </c>
      <c r="E63" s="1"/>
      <c r="F63" s="5">
        <f t="shared" ref="F63:F71" si="36">IF(D$12=0,0,D63/D$12)</f>
        <v>4.2545229245450388E-3</v>
      </c>
      <c r="G63" s="1"/>
      <c r="H63" s="1">
        <f>SUM(OSRRefH22_9x_0)</f>
        <v>0</v>
      </c>
      <c r="I63" s="1"/>
      <c r="J63" s="5">
        <f t="shared" ref="J63:J71" si="37">IF(H$12=0,0,H63/H$12)</f>
        <v>0</v>
      </c>
      <c r="K63" s="1"/>
      <c r="L63" s="1">
        <f t="shared" ref="L63:L71" si="38">+D63-H63</f>
        <v>78.900000000000006</v>
      </c>
      <c r="M63" s="1"/>
      <c r="N63" s="5">
        <f t="shared" ref="N63:N71" si="39">IF(H63=0,0,L63/H63)</f>
        <v>0</v>
      </c>
      <c r="O63" s="13"/>
      <c r="P63" s="1">
        <f>SUM(OSRRefP22_9x_0)</f>
        <v>431.57</v>
      </c>
      <c r="Q63" s="1"/>
      <c r="R63" s="5">
        <f t="shared" ref="R63:R71" si="40">IF(P$12=0,0,P63/P$12)</f>
        <v>2.3890026056663264E-3</v>
      </c>
      <c r="S63" s="1"/>
      <c r="T63" s="1">
        <f>SUM(OSRRefT22_9x_0)</f>
        <v>90</v>
      </c>
      <c r="U63" s="1"/>
      <c r="V63" s="5">
        <f t="shared" ref="V63:V71" si="41">IF(T$12=0,0,T63/T$12)</f>
        <v>3.9597164842997243E-4</v>
      </c>
      <c r="W63" s="1"/>
      <c r="X63" s="1">
        <f t="shared" ref="X63:X71" si="42">+P63-T63</f>
        <v>341.57</v>
      </c>
      <c r="Y63" s="1"/>
      <c r="Z63" s="5">
        <f t="shared" ref="Z63:Z71" si="43">IF(T63=0,0,X63/T63)</f>
        <v>3.7952222222222223</v>
      </c>
    </row>
    <row r="64" spans="1:26" s="24" customFormat="1" hidden="1" outlineLevel="2" x14ac:dyDescent="0.25">
      <c r="A64" s="26"/>
      <c r="B64" s="11" t="str">
        <f>CONCATENATE("          ", "6286", " - ", "LAUNDRY EXPENSE")</f>
        <v xml:space="preserve">          6286 - LAUNDRY EXPENSE</v>
      </c>
      <c r="C64" s="11"/>
      <c r="D64" s="6">
        <v>78.900000000000006</v>
      </c>
      <c r="E64" s="2"/>
      <c r="F64" s="7">
        <f t="shared" si="36"/>
        <v>4.2545229245450388E-3</v>
      </c>
      <c r="G64" s="2"/>
      <c r="H64" s="6"/>
      <c r="I64" s="2"/>
      <c r="J64" s="7">
        <f t="shared" si="37"/>
        <v>0</v>
      </c>
      <c r="K64" s="2"/>
      <c r="L64" s="6">
        <f t="shared" si="38"/>
        <v>78.900000000000006</v>
      </c>
      <c r="M64" s="2"/>
      <c r="N64" s="7">
        <f t="shared" si="39"/>
        <v>0</v>
      </c>
      <c r="O64" s="11"/>
      <c r="P64" s="6">
        <v>431.57</v>
      </c>
      <c r="Q64" s="2"/>
      <c r="R64" s="7">
        <f t="shared" si="40"/>
        <v>2.3890026056663264E-3</v>
      </c>
      <c r="S64" s="2"/>
      <c r="T64" s="6">
        <v>90</v>
      </c>
      <c r="U64" s="2"/>
      <c r="V64" s="7">
        <f t="shared" si="41"/>
        <v>3.9597164842997243E-4</v>
      </c>
      <c r="W64" s="2"/>
      <c r="X64" s="6">
        <f t="shared" si="42"/>
        <v>341.57</v>
      </c>
      <c r="Y64" s="2"/>
      <c r="Z64" s="7">
        <f t="shared" si="43"/>
        <v>3.7952222222222223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49.59</v>
      </c>
      <c r="E65" s="1"/>
      <c r="F65" s="5">
        <f t="shared" si="36"/>
        <v>2.6740404540961781E-3</v>
      </c>
      <c r="G65" s="1"/>
      <c r="H65" s="1">
        <f>SUM(OSRRefH22_10x_0)</f>
        <v>315</v>
      </c>
      <c r="I65" s="1"/>
      <c r="J65" s="5">
        <f t="shared" si="37"/>
        <v>9.4029850746268663E-3</v>
      </c>
      <c r="K65" s="1"/>
      <c r="L65" s="1">
        <f t="shared" si="38"/>
        <v>-265.40999999999997</v>
      </c>
      <c r="M65" s="1"/>
      <c r="N65" s="5">
        <f t="shared" si="39"/>
        <v>-0.84257142857142842</v>
      </c>
      <c r="O65" s="13"/>
      <c r="P65" s="1">
        <f>SUM(OSRRefP22_10x_0)</f>
        <v>2982.2300000000005</v>
      </c>
      <c r="Q65" s="1"/>
      <c r="R65" s="5">
        <f t="shared" si="40"/>
        <v>1.6508458050133908E-2</v>
      </c>
      <c r="S65" s="1"/>
      <c r="T65" s="1">
        <f>SUM(OSRRefT22_10x_0)</f>
        <v>3835</v>
      </c>
      <c r="U65" s="1"/>
      <c r="V65" s="5">
        <f t="shared" si="41"/>
        <v>1.6872791908099379E-2</v>
      </c>
      <c r="W65" s="1"/>
      <c r="X65" s="1">
        <f t="shared" si="42"/>
        <v>-852.76999999999953</v>
      </c>
      <c r="Y65" s="1"/>
      <c r="Z65" s="5">
        <f t="shared" si="43"/>
        <v>-0.22236505867014331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36"/>
        <v>0</v>
      </c>
      <c r="G66" s="2"/>
      <c r="H66" s="6">
        <v>160</v>
      </c>
      <c r="I66" s="2"/>
      <c r="J66" s="7">
        <f t="shared" si="37"/>
        <v>4.7761194029850747E-3</v>
      </c>
      <c r="K66" s="2"/>
      <c r="L66" s="6">
        <f t="shared" si="38"/>
        <v>-160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240</v>
      </c>
      <c r="U66" s="2"/>
      <c r="V66" s="7">
        <f t="shared" si="41"/>
        <v>1.0559243958132597E-3</v>
      </c>
      <c r="W66" s="2"/>
      <c r="X66" s="6">
        <f t="shared" si="42"/>
        <v>-240</v>
      </c>
      <c r="Y66" s="2"/>
      <c r="Z66" s="7">
        <f t="shared" si="43"/>
        <v>-1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540.89</v>
      </c>
      <c r="Q67" s="2"/>
      <c r="R67" s="7">
        <f t="shared" si="40"/>
        <v>2.9941553383665671E-3</v>
      </c>
      <c r="S67" s="2"/>
      <c r="T67" s="6">
        <v>660</v>
      </c>
      <c r="U67" s="2"/>
      <c r="V67" s="7">
        <f t="shared" si="41"/>
        <v>2.9037920884864643E-3</v>
      </c>
      <c r="W67" s="2"/>
      <c r="X67" s="6">
        <f t="shared" si="42"/>
        <v>-119.11000000000001</v>
      </c>
      <c r="Y67" s="2"/>
      <c r="Z67" s="7">
        <f t="shared" si="43"/>
        <v>-0.180469696969697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910.32</v>
      </c>
      <c r="Q68" s="2"/>
      <c r="R68" s="7">
        <f t="shared" si="40"/>
        <v>5.0391752253172613E-3</v>
      </c>
      <c r="S68" s="2"/>
      <c r="T68" s="6">
        <v>60</v>
      </c>
      <c r="U68" s="2"/>
      <c r="V68" s="7">
        <f t="shared" si="41"/>
        <v>2.6398109895331494E-4</v>
      </c>
      <c r="W68" s="2"/>
      <c r="X68" s="6">
        <f t="shared" si="42"/>
        <v>850.32</v>
      </c>
      <c r="Y68" s="2"/>
      <c r="Z68" s="7">
        <f t="shared" si="43"/>
        <v>14.172000000000001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49.59</v>
      </c>
      <c r="E69" s="2"/>
      <c r="F69" s="7">
        <f t="shared" si="36"/>
        <v>2.6740404540961781E-3</v>
      </c>
      <c r="G69" s="2"/>
      <c r="H69" s="6">
        <v>140</v>
      </c>
      <c r="I69" s="2"/>
      <c r="J69" s="7">
        <f t="shared" si="37"/>
        <v>4.1791044776119399E-3</v>
      </c>
      <c r="K69" s="2"/>
      <c r="L69" s="6">
        <f t="shared" si="38"/>
        <v>-90.41</v>
      </c>
      <c r="M69" s="2"/>
      <c r="N69" s="7">
        <f t="shared" si="39"/>
        <v>-0.6457857142857143</v>
      </c>
      <c r="O69" s="11"/>
      <c r="P69" s="6">
        <v>792.8</v>
      </c>
      <c r="Q69" s="2"/>
      <c r="R69" s="7">
        <f t="shared" si="40"/>
        <v>4.3886305020558979E-3</v>
      </c>
      <c r="S69" s="2"/>
      <c r="T69" s="6">
        <v>1460</v>
      </c>
      <c r="U69" s="2"/>
      <c r="V69" s="7">
        <f t="shared" si="41"/>
        <v>6.4235400745306639E-3</v>
      </c>
      <c r="W69" s="2"/>
      <c r="X69" s="6">
        <f t="shared" si="42"/>
        <v>-667.2</v>
      </c>
      <c r="Y69" s="2"/>
      <c r="Z69" s="7">
        <f t="shared" si="43"/>
        <v>-0.45698630136986307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/>
      <c r="E70" s="2"/>
      <c r="F70" s="7">
        <f t="shared" si="36"/>
        <v>0</v>
      </c>
      <c r="G70" s="2"/>
      <c r="H70" s="6">
        <v>15</v>
      </c>
      <c r="I70" s="2"/>
      <c r="J70" s="7">
        <f t="shared" si="37"/>
        <v>4.4776119402985075E-4</v>
      </c>
      <c r="K70" s="2"/>
      <c r="L70" s="6">
        <f t="shared" si="38"/>
        <v>-15</v>
      </c>
      <c r="M70" s="2"/>
      <c r="N70" s="7">
        <f t="shared" si="39"/>
        <v>-1</v>
      </c>
      <c r="O70" s="11"/>
      <c r="P70" s="6">
        <v>42.98</v>
      </c>
      <c r="Q70" s="2"/>
      <c r="R70" s="7">
        <f t="shared" si="40"/>
        <v>2.37920457843545E-4</v>
      </c>
      <c r="S70" s="2"/>
      <c r="T70" s="6">
        <v>915</v>
      </c>
      <c r="U70" s="2"/>
      <c r="V70" s="7">
        <f t="shared" si="41"/>
        <v>4.0257117590380533E-3</v>
      </c>
      <c r="W70" s="2"/>
      <c r="X70" s="6">
        <f t="shared" si="42"/>
        <v>-872.02</v>
      </c>
      <c r="Y70" s="2"/>
      <c r="Z70" s="7">
        <f t="shared" si="43"/>
        <v>-0.9530273224043716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695.24</v>
      </c>
      <c r="Q71" s="2"/>
      <c r="R71" s="7">
        <f t="shared" si="40"/>
        <v>3.8485765265506336E-3</v>
      </c>
      <c r="S71" s="2"/>
      <c r="T71" s="6">
        <v>500</v>
      </c>
      <c r="U71" s="2"/>
      <c r="V71" s="7">
        <f t="shared" si="41"/>
        <v>2.1998424912776245E-3</v>
      </c>
      <c r="W71" s="2"/>
      <c r="X71" s="6">
        <f t="shared" si="42"/>
        <v>195.24</v>
      </c>
      <c r="Y71" s="2"/>
      <c r="Z71" s="7">
        <f t="shared" si="43"/>
        <v>0.39047999999999999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71</v>
      </c>
      <c r="E72" s="1"/>
      <c r="F72" s="5">
        <f t="shared" ref="F72:F74" si="44">IF(D$12=0,0,D72/D$12)</f>
        <v>3.8285314023155602E-3</v>
      </c>
      <c r="G72" s="1"/>
      <c r="H72" s="1">
        <f>SUM(OSRRefH22_11x_0)</f>
        <v>95</v>
      </c>
      <c r="I72" s="1"/>
      <c r="J72" s="5">
        <f t="shared" ref="J72:J74" si="45">IF(H$12=0,0,H72/H$12)</f>
        <v>2.8358208955223882E-3</v>
      </c>
      <c r="K72" s="1"/>
      <c r="L72" s="1">
        <f t="shared" ref="L72:L74" si="46">+D72-H72</f>
        <v>-24</v>
      </c>
      <c r="M72" s="1"/>
      <c r="N72" s="5">
        <f t="shared" ref="N72:N74" si="47">IF(H72=0,0,L72/H72)</f>
        <v>-0.25263157894736843</v>
      </c>
      <c r="O72" s="13"/>
      <c r="P72" s="1">
        <f>SUM(OSRRefP22_11x_0)</f>
        <v>426</v>
      </c>
      <c r="Q72" s="1"/>
      <c r="R72" s="5">
        <f t="shared" ref="R72:R74" si="48">IF(P$12=0,0,P72/P$12)</f>
        <v>2.3581692657363932E-3</v>
      </c>
      <c r="S72" s="1"/>
      <c r="T72" s="1">
        <f>SUM(OSRRefT22_11x_0)</f>
        <v>570</v>
      </c>
      <c r="U72" s="1"/>
      <c r="V72" s="5">
        <f t="shared" ref="V72:V74" si="49">IF(T$12=0,0,T72/T$12)</f>
        <v>2.5078204400564921E-3</v>
      </c>
      <c r="W72" s="1"/>
      <c r="X72" s="1">
        <f t="shared" ref="X72:X74" si="50">+P72-T72</f>
        <v>-144</v>
      </c>
      <c r="Y72" s="1"/>
      <c r="Z72" s="5">
        <f t="shared" ref="Z72:Z74" si="51">IF(T72=0,0,X72/T72)</f>
        <v>-0.25263157894736843</v>
      </c>
    </row>
    <row r="73" spans="1:26" s="24" customFormat="1" hidden="1" outlineLevel="2" x14ac:dyDescent="0.25">
      <c r="A73" s="26"/>
      <c r="B73" s="11" t="str">
        <f>CONCATENATE("          ", "6303", " - ", "DATA PHONE LINES")</f>
        <v xml:space="preserve">          6303 - DATA PHONE LINES</v>
      </c>
      <c r="C73" s="11"/>
      <c r="D73" s="6"/>
      <c r="E73" s="2"/>
      <c r="F73" s="7">
        <f t="shared" si="44"/>
        <v>0</v>
      </c>
      <c r="G73" s="2"/>
      <c r="H73" s="6">
        <v>50</v>
      </c>
      <c r="I73" s="2"/>
      <c r="J73" s="7">
        <f t="shared" si="45"/>
        <v>1.4925373134328358E-3</v>
      </c>
      <c r="K73" s="2"/>
      <c r="L73" s="6">
        <f t="shared" si="46"/>
        <v>-50</v>
      </c>
      <c r="M73" s="2"/>
      <c r="N73" s="7">
        <f t="shared" si="47"/>
        <v>-1</v>
      </c>
      <c r="O73" s="11"/>
      <c r="P73" s="6"/>
      <c r="Q73" s="2"/>
      <c r="R73" s="7">
        <f t="shared" si="48"/>
        <v>0</v>
      </c>
      <c r="S73" s="2"/>
      <c r="T73" s="6">
        <v>300</v>
      </c>
      <c r="U73" s="2"/>
      <c r="V73" s="7">
        <f t="shared" si="49"/>
        <v>1.3199054947665746E-3</v>
      </c>
      <c r="W73" s="2"/>
      <c r="X73" s="6">
        <f t="shared" si="50"/>
        <v>-300</v>
      </c>
      <c r="Y73" s="2"/>
      <c r="Z73" s="7">
        <f t="shared" si="51"/>
        <v>-1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71</v>
      </c>
      <c r="E74" s="2"/>
      <c r="F74" s="7">
        <f t="shared" si="44"/>
        <v>3.8285314023155602E-3</v>
      </c>
      <c r="G74" s="2"/>
      <c r="H74" s="6">
        <v>45</v>
      </c>
      <c r="I74" s="2"/>
      <c r="J74" s="7">
        <f t="shared" si="45"/>
        <v>1.3432835820895521E-3</v>
      </c>
      <c r="K74" s="2"/>
      <c r="L74" s="6">
        <f t="shared" si="46"/>
        <v>26</v>
      </c>
      <c r="M74" s="2"/>
      <c r="N74" s="7">
        <f t="shared" si="47"/>
        <v>0.57777777777777772</v>
      </c>
      <c r="O74" s="11"/>
      <c r="P74" s="6">
        <v>426</v>
      </c>
      <c r="Q74" s="2"/>
      <c r="R74" s="7">
        <f t="shared" si="48"/>
        <v>2.3581692657363932E-3</v>
      </c>
      <c r="S74" s="2"/>
      <c r="T74" s="6">
        <v>270</v>
      </c>
      <c r="U74" s="2"/>
      <c r="V74" s="7">
        <f t="shared" si="49"/>
        <v>1.1879149452899173E-3</v>
      </c>
      <c r="W74" s="2"/>
      <c r="X74" s="6">
        <f t="shared" si="50"/>
        <v>156</v>
      </c>
      <c r="Y74" s="2"/>
      <c r="Z74" s="7">
        <f t="shared" si="51"/>
        <v>0.57777777777777772</v>
      </c>
    </row>
    <row r="75" spans="1:26" s="25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SUM(OSRRefD22_12x_0)</f>
        <v>0</v>
      </c>
      <c r="E75" s="1"/>
      <c r="F75" s="5">
        <f t="shared" ref="F75:F76" si="52">IF(D$12=0,0,D75/D$12)</f>
        <v>0</v>
      </c>
      <c r="G75" s="1"/>
      <c r="H75" s="1">
        <f>SUM(OSRRefH22_12x_0)</f>
        <v>0</v>
      </c>
      <c r="I75" s="1"/>
      <c r="J75" s="5">
        <f t="shared" ref="J75:J76" si="53">IF(H$12=0,0,H75/H$12)</f>
        <v>0</v>
      </c>
      <c r="K75" s="1"/>
      <c r="L75" s="1">
        <f t="shared" ref="L75:L76" si="54">+D75-H75</f>
        <v>0</v>
      </c>
      <c r="M75" s="1"/>
      <c r="N75" s="5">
        <f t="shared" ref="N75:N76" si="55">IF(H75=0,0,L75/H75)</f>
        <v>0</v>
      </c>
      <c r="O75" s="13"/>
      <c r="P75" s="1">
        <f>SUM(OSRRefP22_12x_0)</f>
        <v>0</v>
      </c>
      <c r="Q75" s="1"/>
      <c r="R75" s="5">
        <f t="shared" ref="R75:R76" si="56">IF(P$12=0,0,P75/P$12)</f>
        <v>0</v>
      </c>
      <c r="S75" s="1"/>
      <c r="T75" s="1">
        <f>SUM(OSRRefT22_12x_0)</f>
        <v>300</v>
      </c>
      <c r="U75" s="1"/>
      <c r="V75" s="5">
        <f t="shared" ref="V75:V76" si="57">IF(T$12=0,0,T75/T$12)</f>
        <v>1.3199054947665746E-3</v>
      </c>
      <c r="W75" s="1"/>
      <c r="X75" s="1">
        <f t="shared" ref="X75:X76" si="58">+P75-T75</f>
        <v>-300</v>
      </c>
      <c r="Y75" s="1"/>
      <c r="Z75" s="5">
        <f t="shared" ref="Z75:Z76" si="59">IF(T75=0,0,X75/T75)</f>
        <v>-1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/>
      <c r="Q76" s="2"/>
      <c r="R76" s="7">
        <f t="shared" si="56"/>
        <v>0</v>
      </c>
      <c r="S76" s="2"/>
      <c r="T76" s="6">
        <v>300</v>
      </c>
      <c r="U76" s="2"/>
      <c r="V76" s="7">
        <f t="shared" si="57"/>
        <v>1.3199054947665746E-3</v>
      </c>
      <c r="W76" s="2"/>
      <c r="X76" s="6">
        <f t="shared" si="58"/>
        <v>-300</v>
      </c>
      <c r="Y76" s="2"/>
      <c r="Z76" s="7">
        <f t="shared" si="59"/>
        <v>-1</v>
      </c>
    </row>
    <row r="77" spans="1:26" s="5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8" t="s">
        <v>0</v>
      </c>
      <c r="C78" s="10"/>
      <c r="D78" s="4">
        <f>SUM(OSRRefD25x_0)</f>
        <v>36</v>
      </c>
      <c r="E78" s="4"/>
      <c r="F78" s="12">
        <f t="shared" ref="F78:F79" si="60">IF(D$12=0,0,D78/D$12)</f>
        <v>1.9412271899064812E-3</v>
      </c>
      <c r="G78" s="4"/>
      <c r="H78" s="4">
        <f>SUM(OSRRefH25x_0)</f>
        <v>0</v>
      </c>
      <c r="I78" s="4"/>
      <c r="J78" s="12">
        <f t="shared" ref="J78:J79" si="61">IF(H$12=0,0,H78/H$12)</f>
        <v>0</v>
      </c>
      <c r="K78" s="4"/>
      <c r="L78" s="4">
        <f t="shared" ref="L78:L79" si="62">+D78-H78</f>
        <v>36</v>
      </c>
      <c r="M78" s="4"/>
      <c r="N78" s="12">
        <f t="shared" ref="N78:N79" si="63">IF(H78=0,0,L78/H78)</f>
        <v>0</v>
      </c>
      <c r="O78" s="10"/>
      <c r="P78" s="4">
        <f>SUM(OSRRefP25x_0)</f>
        <v>392</v>
      </c>
      <c r="Q78" s="4"/>
      <c r="R78" s="12">
        <f t="shared" ref="R78:R79" si="64">IF(P$12=0,0,P78/P$12)</f>
        <v>2.1699585731658829E-3</v>
      </c>
      <c r="S78" s="4"/>
      <c r="T78" s="4">
        <f>SUM(OSRRefT25x_0)</f>
        <v>0</v>
      </c>
      <c r="U78" s="4"/>
      <c r="V78" s="12">
        <f t="shared" ref="V78:V79" si="65">IF(T$12=0,0,T78/T$12)</f>
        <v>0</v>
      </c>
      <c r="W78" s="4"/>
      <c r="X78" s="4">
        <f t="shared" ref="X78:X79" si="66">+P78-T78</f>
        <v>392</v>
      </c>
      <c r="Y78" s="4"/>
      <c r="Z78" s="12">
        <f t="shared" ref="Z78:Z79" si="67">IF(T78=0,0,X78/T78)</f>
        <v>0</v>
      </c>
    </row>
    <row r="79" spans="1:26" s="24" customFormat="1" hidden="1" outlineLevel="1" x14ac:dyDescent="0.25">
      <c r="A79" s="44"/>
      <c r="B79" s="11" t="str">
        <f>CONCATENATE("          ", "9150", " - ", "MISC. INCOME")</f>
        <v xml:space="preserve">          9150 - MISC. INCOME</v>
      </c>
      <c r="C79" s="11"/>
      <c r="D79" s="2">
        <f>--36</f>
        <v>36</v>
      </c>
      <c r="E79" s="2"/>
      <c r="F79" s="19">
        <f t="shared" si="60"/>
        <v>1.9412271899064812E-3</v>
      </c>
      <c r="G79" s="2"/>
      <c r="H79" s="2"/>
      <c r="I79" s="2"/>
      <c r="J79" s="19">
        <f t="shared" si="61"/>
        <v>0</v>
      </c>
      <c r="K79" s="2"/>
      <c r="L79" s="2">
        <f t="shared" si="62"/>
        <v>36</v>
      </c>
      <c r="M79" s="2"/>
      <c r="N79" s="19">
        <f t="shared" si="63"/>
        <v>0</v>
      </c>
      <c r="O79" s="11"/>
      <c r="P79" s="2">
        <f>--392</f>
        <v>392</v>
      </c>
      <c r="Q79" s="2"/>
      <c r="R79" s="19">
        <f t="shared" si="64"/>
        <v>2.1699585731658829E-3</v>
      </c>
      <c r="S79" s="2"/>
      <c r="T79" s="2"/>
      <c r="U79" s="2"/>
      <c r="V79" s="19">
        <f t="shared" si="65"/>
        <v>0</v>
      </c>
      <c r="W79" s="2"/>
      <c r="X79" s="2">
        <f t="shared" si="66"/>
        <v>392</v>
      </c>
      <c r="Y79" s="2"/>
      <c r="Z79" s="19">
        <f t="shared" si="67"/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2">
        <f>+D23-D25+D78</f>
        <v>-4779.9299999999967</v>
      </c>
      <c r="E81" s="14"/>
      <c r="F81" s="20">
        <f>IF(D$12=0,0,D81/D$12)</f>
        <v>-0.25774805782915777</v>
      </c>
      <c r="G81" s="14"/>
      <c r="H81" s="22">
        <f>+H23-H25+H78</f>
        <v>9034.3943882999993</v>
      </c>
      <c r="I81" s="14"/>
      <c r="J81" s="20">
        <f>IF(H$12=0,0,H81/H$12)</f>
        <v>0.26968341457611938</v>
      </c>
      <c r="K81" s="16"/>
      <c r="L81" s="22">
        <f>+D81-H81</f>
        <v>-13814.324388299996</v>
      </c>
      <c r="M81" s="16"/>
      <c r="N81" s="20">
        <f>IF(H81=0,0,L81/H81)</f>
        <v>-1.5290813965560601</v>
      </c>
      <c r="O81" s="28"/>
      <c r="P81" s="22">
        <f>+P23-P25+P78</f>
        <v>2763.8199999999633</v>
      </c>
      <c r="Q81" s="14"/>
      <c r="R81" s="20">
        <f>IF(P$12=0,0,P81/P$12)</f>
        <v>1.5299425774712374E-2</v>
      </c>
      <c r="S81" s="14"/>
      <c r="T81" s="22">
        <f>+T23-T25+T78</f>
        <v>48790.051938949997</v>
      </c>
      <c r="U81" s="14"/>
      <c r="V81" s="20">
        <f>IF(T$12=0,0,T81/T$12)</f>
        <v>0.21466085881388891</v>
      </c>
      <c r="W81" s="16"/>
      <c r="X81" s="22">
        <f>+P81-T81</f>
        <v>-46026.231938950034</v>
      </c>
      <c r="Y81" s="16"/>
      <c r="Z81" s="20">
        <f>IF(T81=0,0,X81/T81)</f>
        <v>-0.94335279651970294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2345.7600000000002</v>
      </c>
      <c r="E83" s="4"/>
      <c r="F83" s="12">
        <f>IF(D$12=0,0,D83/D$12)</f>
        <v>0.12649036369430633</v>
      </c>
      <c r="G83" s="4"/>
      <c r="H83" s="4">
        <v>4719</v>
      </c>
      <c r="I83" s="4"/>
      <c r="J83" s="12">
        <f>IF(H$12=0,0,H83/H$12)</f>
        <v>0.14086567164179103</v>
      </c>
      <c r="K83" s="4"/>
      <c r="L83" s="4">
        <f>+D83-H83</f>
        <v>-2373.2399999999998</v>
      </c>
      <c r="M83" s="4"/>
      <c r="N83" s="12">
        <f>IF(H83=0,0,L83/H83)</f>
        <v>-0.50291163382072468</v>
      </c>
      <c r="O83" s="10"/>
      <c r="P83" s="4">
        <v>19511.439999999999</v>
      </c>
      <c r="Q83" s="4"/>
      <c r="R83" s="12">
        <f>IF(P$12=0,0,P83/P$12)</f>
        <v>0.10800769516023401</v>
      </c>
      <c r="S83" s="4"/>
      <c r="T83" s="4">
        <v>29278</v>
      </c>
      <c r="U83" s="4"/>
      <c r="V83" s="12">
        <f>IF(T$12=0,0,T83/T$12)</f>
        <v>0.12881397691925259</v>
      </c>
      <c r="W83" s="4"/>
      <c r="X83" s="4">
        <f>+P83-T83</f>
        <v>-9766.5600000000013</v>
      </c>
      <c r="Y83" s="4"/>
      <c r="Z83" s="12">
        <f>IF(T83=0,0,X83/T83)</f>
        <v>-0.3335801625794112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1">
        <f>+D81-D83</f>
        <v>-7125.6899999999969</v>
      </c>
      <c r="E85" s="14"/>
      <c r="F85" s="32">
        <f>IF(D$12=0,0,D85/D$12)</f>
        <v>-0.3842384215234641</v>
      </c>
      <c r="G85" s="14"/>
      <c r="H85" s="31">
        <f>+H81-H83</f>
        <v>4315.3943882999993</v>
      </c>
      <c r="I85" s="14"/>
      <c r="J85" s="32">
        <f>IF(H$12=0,0,H85/H$12)</f>
        <v>0.12881774293432835</v>
      </c>
      <c r="K85" s="16"/>
      <c r="L85" s="31">
        <f>D85-H85</f>
        <v>-11441.084388299996</v>
      </c>
      <c r="M85" s="16"/>
      <c r="N85" s="32">
        <f>IF(H85=0,0,L85/H85)</f>
        <v>-2.651225672286023</v>
      </c>
      <c r="O85" s="28"/>
      <c r="P85" s="31">
        <f>+P81-P83</f>
        <v>-16747.620000000035</v>
      </c>
      <c r="Q85" s="14"/>
      <c r="R85" s="32">
        <f>IF(P$12=0,0,P85/P$12)</f>
        <v>-9.2708269385521624E-2</v>
      </c>
      <c r="S85" s="14"/>
      <c r="T85" s="31">
        <f>+T81-T83</f>
        <v>19512.051938949997</v>
      </c>
      <c r="U85" s="14"/>
      <c r="V85" s="32">
        <f>IF(T$12=0,0,T85/T$12)</f>
        <v>8.5846881894636323E-2</v>
      </c>
      <c r="W85" s="16"/>
      <c r="X85" s="31">
        <f>P85-T85</f>
        <v>-36259.671938950036</v>
      </c>
      <c r="Y85" s="16"/>
      <c r="Z85" s="32">
        <f>IF(T85=0,0,X85/T85)</f>
        <v>-1.8583218234761054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5">
        <f>SUM(D85:D87)</f>
        <v>-7125.6899999999969</v>
      </c>
      <c r="E88" s="14"/>
      <c r="F88" s="34">
        <f>IF(D$12=0,0,D88/D$12)</f>
        <v>-0.3842384215234641</v>
      </c>
      <c r="G88" s="14"/>
      <c r="H88" s="35">
        <f>SUM(H85:H87)</f>
        <v>4315.3943882999993</v>
      </c>
      <c r="I88" s="14"/>
      <c r="J88" s="34">
        <f>IF(H$12=0,0,H88/H$12)</f>
        <v>0.12881774293432835</v>
      </c>
      <c r="K88" s="16"/>
      <c r="L88" s="35">
        <f>+D88-H88</f>
        <v>-11441.084388299996</v>
      </c>
      <c r="M88" s="16"/>
      <c r="N88" s="34">
        <f>IF(H88=0,0,L88/H88)</f>
        <v>-2.651225672286023</v>
      </c>
      <c r="O88" s="28"/>
      <c r="P88" s="35">
        <f>SUM(P85:P87)</f>
        <v>-16747.620000000035</v>
      </c>
      <c r="Q88" s="14"/>
      <c r="R88" s="34">
        <f>IF(P$12=0,0,P88/P$12)</f>
        <v>-9.2708269385521624E-2</v>
      </c>
      <c r="S88" s="14"/>
      <c r="T88" s="35">
        <f>SUM(T85:T87)</f>
        <v>19512.051938949997</v>
      </c>
      <c r="U88" s="14"/>
      <c r="V88" s="34">
        <f>IF(T$12=0,0,T88/T$12)</f>
        <v>8.5846881894636323E-2</v>
      </c>
      <c r="W88" s="16"/>
      <c r="X88" s="35">
        <f>+P88-T88</f>
        <v>-36259.671938950036</v>
      </c>
      <c r="Y88" s="16"/>
      <c r="Z88" s="34">
        <f>IF(T88=0,0,X88/T88)</f>
        <v>-1.8583218234761054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3">
        <v>43847.446241053243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5" t="s">
        <v>314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6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54825.479999999996</v>
      </c>
      <c r="E12" s="4"/>
      <c r="F12" s="12"/>
      <c r="G12" s="4"/>
      <c r="H12" s="4">
        <f>SUM(OSRRefH13x_0)</f>
        <v>86000</v>
      </c>
      <c r="I12" s="4"/>
      <c r="J12" s="12"/>
      <c r="K12" s="4"/>
      <c r="L12" s="4">
        <f t="shared" ref="L12:L16" si="0">+D12-H12</f>
        <v>-31174.520000000004</v>
      </c>
      <c r="M12" s="4"/>
      <c r="N12" s="12">
        <f t="shared" ref="N12:N16" si="1">IF(H12=0,0,L12/H12)</f>
        <v>-0.3624944186046512</v>
      </c>
      <c r="O12" s="10"/>
      <c r="P12" s="4">
        <f>SUM(OSRRefP13x_0)</f>
        <v>406515.15</v>
      </c>
      <c r="Q12" s="4"/>
      <c r="R12" s="12"/>
      <c r="S12" s="4"/>
      <c r="T12" s="4">
        <f>SUM(OSRRefT13x_0)</f>
        <v>470800</v>
      </c>
      <c r="U12" s="4"/>
      <c r="V12" s="12"/>
      <c r="W12" s="4"/>
      <c r="X12" s="4">
        <f t="shared" ref="X12:X16" si="2">+P12-T12</f>
        <v>-64284.849999999977</v>
      </c>
      <c r="Y12" s="4"/>
      <c r="Z12" s="12">
        <f t="shared" ref="Z12:Z16" si="3">IF(T12=0,0,X12/T12)</f>
        <v>-0.1365438615123194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28000</v>
      </c>
      <c r="I13" s="2"/>
      <c r="J13" s="19"/>
      <c r="K13" s="2"/>
      <c r="L13" s="2">
        <f t="shared" si="0"/>
        <v>-28000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184200</v>
      </c>
      <c r="U13" s="2"/>
      <c r="V13" s="19"/>
      <c r="W13" s="2"/>
      <c r="X13" s="2">
        <f t="shared" si="2"/>
        <v>-184200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--9096.8</f>
        <v>9096.7999999999993</v>
      </c>
      <c r="E14" s="2"/>
      <c r="F14" s="19"/>
      <c r="G14" s="2"/>
      <c r="H14" s="2"/>
      <c r="I14" s="2"/>
      <c r="J14" s="19"/>
      <c r="K14" s="2"/>
      <c r="L14" s="2">
        <f t="shared" si="0"/>
        <v>9096.7999999999993</v>
      </c>
      <c r="M14" s="2"/>
      <c r="N14" s="19">
        <f t="shared" si="1"/>
        <v>0</v>
      </c>
      <c r="O14" s="11"/>
      <c r="P14" s="2">
        <f>--87899.21</f>
        <v>87899.21</v>
      </c>
      <c r="Q14" s="2"/>
      <c r="R14" s="19"/>
      <c r="S14" s="2"/>
      <c r="T14" s="2"/>
      <c r="U14" s="2"/>
      <c r="V14" s="19"/>
      <c r="W14" s="2"/>
      <c r="X14" s="2">
        <f t="shared" si="2"/>
        <v>87899.21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58000</v>
      </c>
      <c r="I15" s="2"/>
      <c r="J15" s="19"/>
      <c r="K15" s="2"/>
      <c r="L15" s="2">
        <f t="shared" si="0"/>
        <v>-58000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286600</v>
      </c>
      <c r="U15" s="2"/>
      <c r="V15" s="19"/>
      <c r="W15" s="2"/>
      <c r="X15" s="2">
        <f t="shared" si="2"/>
        <v>-286600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--45728.68</f>
        <v>45728.68</v>
      </c>
      <c r="E16" s="2"/>
      <c r="F16" s="19"/>
      <c r="G16" s="2"/>
      <c r="H16" s="2"/>
      <c r="I16" s="2"/>
      <c r="J16" s="19"/>
      <c r="K16" s="2"/>
      <c r="L16" s="2">
        <f t="shared" si="0"/>
        <v>45728.68</v>
      </c>
      <c r="M16" s="2"/>
      <c r="N16" s="19">
        <f t="shared" si="1"/>
        <v>0</v>
      </c>
      <c r="O16" s="11"/>
      <c r="P16" s="2">
        <f>--318615.94</f>
        <v>318615.94</v>
      </c>
      <c r="Q16" s="2"/>
      <c r="R16" s="19"/>
      <c r="S16" s="2"/>
      <c r="T16" s="2"/>
      <c r="U16" s="2"/>
      <c r="V16" s="19"/>
      <c r="W16" s="2"/>
      <c r="X16" s="2">
        <f t="shared" si="2"/>
        <v>318615.94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13944.96</v>
      </c>
      <c r="E18" s="4"/>
      <c r="F18" s="12">
        <f t="shared" ref="F18:F21" si="4">IF(D$12=0,0,D18/D$12)</f>
        <v>0.25435180868457513</v>
      </c>
      <c r="G18" s="4"/>
      <c r="H18" s="4">
        <f>SUM(OSRRefH16x_0)</f>
        <v>25000</v>
      </c>
      <c r="I18" s="4"/>
      <c r="J18" s="12">
        <f t="shared" ref="J18:J21" si="5">IF(H$12=0,0,H18/H$12)</f>
        <v>0.29069767441860467</v>
      </c>
      <c r="K18" s="4"/>
      <c r="L18" s="4">
        <f t="shared" ref="L18:L21" si="6">+D18-H18</f>
        <v>-11055.04</v>
      </c>
      <c r="M18" s="4"/>
      <c r="N18" s="12">
        <f t="shared" ref="N18:N21" si="7">IF(H18=0,0,L18/H18)</f>
        <v>-0.44220160000000003</v>
      </c>
      <c r="O18" s="10"/>
      <c r="P18" s="4">
        <f>SUM(OSRRefP16x_0)</f>
        <v>128036.51000000001</v>
      </c>
      <c r="Q18" s="4"/>
      <c r="R18" s="12">
        <f t="shared" ref="R18:R21" si="8">IF(P$12=0,0,P18/P$12)</f>
        <v>0.31496122592233033</v>
      </c>
      <c r="S18" s="4"/>
      <c r="T18" s="4">
        <f>SUM(OSRRefT16x_0)</f>
        <v>147300</v>
      </c>
      <c r="U18" s="4"/>
      <c r="V18" s="12">
        <f t="shared" ref="V18:V21" si="9">IF(T$12=0,0,T18/T$12)</f>
        <v>0.31287170773152084</v>
      </c>
      <c r="W18" s="4"/>
      <c r="X18" s="4">
        <f t="shared" ref="X18:X21" si="10">+P18-T18</f>
        <v>-19263.489999999991</v>
      </c>
      <c r="Y18" s="4"/>
      <c r="Z18" s="12">
        <f t="shared" ref="Z18:Z21" si="11">IF(T18=0,0,X18/T18)</f>
        <v>-0.13077725729803116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25000</v>
      </c>
      <c r="I19" s="2"/>
      <c r="J19" s="19">
        <f t="shared" si="5"/>
        <v>0.29069767441860467</v>
      </c>
      <c r="K19" s="2"/>
      <c r="L19" s="2">
        <f t="shared" si="6"/>
        <v>-25000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147300</v>
      </c>
      <c r="U19" s="2"/>
      <c r="V19" s="19">
        <f t="shared" si="9"/>
        <v>0.31287170773152084</v>
      </c>
      <c r="W19" s="2"/>
      <c r="X19" s="2">
        <f t="shared" si="10"/>
        <v>-147300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14960.96</v>
      </c>
      <c r="E20" s="2"/>
      <c r="F20" s="19">
        <f t="shared" si="4"/>
        <v>0.27288333818509203</v>
      </c>
      <c r="G20" s="2"/>
      <c r="H20" s="2"/>
      <c r="I20" s="2"/>
      <c r="J20" s="19">
        <f t="shared" si="5"/>
        <v>0</v>
      </c>
      <c r="K20" s="2"/>
      <c r="L20" s="2">
        <f t="shared" si="6"/>
        <v>14960.96</v>
      </c>
      <c r="M20" s="2"/>
      <c r="N20" s="19">
        <f t="shared" si="7"/>
        <v>0</v>
      </c>
      <c r="O20" s="11"/>
      <c r="P20" s="2">
        <v>128616.51000000001</v>
      </c>
      <c r="Q20" s="2"/>
      <c r="R20" s="19">
        <f t="shared" si="8"/>
        <v>0.31638798701598209</v>
      </c>
      <c r="S20" s="2"/>
      <c r="T20" s="2"/>
      <c r="U20" s="2"/>
      <c r="V20" s="19">
        <f t="shared" si="9"/>
        <v>0</v>
      </c>
      <c r="W20" s="2"/>
      <c r="X20" s="2">
        <f t="shared" si="10"/>
        <v>128616.51000000001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-1016</v>
      </c>
      <c r="E21" s="2"/>
      <c r="F21" s="19">
        <f t="shared" si="4"/>
        <v>-1.8531529500516914E-2</v>
      </c>
      <c r="G21" s="2"/>
      <c r="H21" s="2"/>
      <c r="I21" s="2"/>
      <c r="J21" s="19">
        <f t="shared" si="5"/>
        <v>0</v>
      </c>
      <c r="K21" s="2"/>
      <c r="L21" s="2">
        <f t="shared" si="6"/>
        <v>-1016</v>
      </c>
      <c r="M21" s="2"/>
      <c r="N21" s="19">
        <f t="shared" si="7"/>
        <v>0</v>
      </c>
      <c r="O21" s="11"/>
      <c r="P21" s="2">
        <v>-580</v>
      </c>
      <c r="Q21" s="2"/>
      <c r="R21" s="19">
        <f t="shared" si="8"/>
        <v>-1.4267610936517371E-3</v>
      </c>
      <c r="S21" s="2"/>
      <c r="T21" s="2"/>
      <c r="U21" s="2"/>
      <c r="V21" s="19">
        <f t="shared" si="9"/>
        <v>0</v>
      </c>
      <c r="W21" s="2"/>
      <c r="X21" s="2">
        <f t="shared" si="10"/>
        <v>-580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40880.519999999997</v>
      </c>
      <c r="E23" s="14"/>
      <c r="F23" s="20">
        <f>IF(D$12=0,0,D23/D$12)</f>
        <v>0.74564819131542492</v>
      </c>
      <c r="G23" s="14"/>
      <c r="H23" s="22">
        <f>H12-H18</f>
        <v>61000</v>
      </c>
      <c r="I23" s="14"/>
      <c r="J23" s="20">
        <f>IF(H$12=0,0,H23/H$12)</f>
        <v>0.70930232558139539</v>
      </c>
      <c r="K23" s="16"/>
      <c r="L23" s="22">
        <f>+D23-H23</f>
        <v>-20119.480000000003</v>
      </c>
      <c r="M23" s="16"/>
      <c r="N23" s="20">
        <f>IF(H23=0,0,L23/H23)</f>
        <v>-0.32982754098360662</v>
      </c>
      <c r="O23" s="28"/>
      <c r="P23" s="22">
        <f>P12-P18</f>
        <v>278478.64</v>
      </c>
      <c r="Q23" s="14"/>
      <c r="R23" s="20">
        <f>IF(P$12=0,0,P23/P$12)</f>
        <v>0.68503877407766967</v>
      </c>
      <c r="S23" s="14"/>
      <c r="T23" s="22">
        <f>T12-T18</f>
        <v>323500</v>
      </c>
      <c r="U23" s="14"/>
      <c r="V23" s="20">
        <f>IF(T$12=0,0,T23/T$12)</f>
        <v>0.68712829226847916</v>
      </c>
      <c r="W23" s="16"/>
      <c r="X23" s="22">
        <f>+P23-T23</f>
        <v>-45021.359999999986</v>
      </c>
      <c r="Y23" s="16"/>
      <c r="Z23" s="20">
        <f>IF(T23=0,0,X23/T23)</f>
        <v>-0.13916958268933535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30605.080000000005</v>
      </c>
      <c r="E25" s="21"/>
      <c r="F25" s="30">
        <f t="shared" ref="F25:F35" si="12">IF(D$12=0,0,D25/D$12)</f>
        <v>0.55822730598984283</v>
      </c>
      <c r="G25" s="21"/>
      <c r="H25" s="21">
        <f>SUM(OSRRefH22x_0)</f>
        <v>29175.763387200001</v>
      </c>
      <c r="I25" s="21"/>
      <c r="J25" s="30">
        <f t="shared" ref="J25:J35" si="13">IF(H$12=0,0,H25/H$12)</f>
        <v>0.33925306264186045</v>
      </c>
      <c r="K25" s="4"/>
      <c r="L25" s="21">
        <f t="shared" ref="L25:L35" si="14">+D25-H25</f>
        <v>1429.3166128000048</v>
      </c>
      <c r="M25" s="4"/>
      <c r="N25" s="30">
        <f t="shared" ref="N25:N35" si="15">IF(H25=0,0,L25/H25)</f>
        <v>4.8989861681805212E-2</v>
      </c>
      <c r="O25" s="10"/>
      <c r="P25" s="21">
        <f>SUM(OSRRefP22x_0)</f>
        <v>203075.63000000006</v>
      </c>
      <c r="Q25" s="21"/>
      <c r="R25" s="30">
        <f t="shared" ref="R25:R35" si="16">IF(P$12=0,0,P25/P$12)</f>
        <v>0.49955242750485451</v>
      </c>
      <c r="S25" s="21"/>
      <c r="T25" s="21">
        <f>SUM(OSRRefT22x_0)</f>
        <v>210575.40564680001</v>
      </c>
      <c r="U25" s="21"/>
      <c r="V25" s="30">
        <f t="shared" ref="V25:V35" si="17">IF(T$12=0,0,T25/T$12)</f>
        <v>0.44727146484027192</v>
      </c>
      <c r="W25" s="4"/>
      <c r="X25" s="21">
        <f t="shared" ref="X25:X35" si="18">+P25-T25</f>
        <v>-7499.7756467999425</v>
      </c>
      <c r="Y25" s="4"/>
      <c r="Z25" s="30">
        <f t="shared" ref="Z25:Z35" si="19">IF(T25=0,0,X25/T25)</f>
        <v>-3.5615629582969356E-2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2666.2799999999997</v>
      </c>
      <c r="E26" s="1"/>
      <c r="F26" s="5">
        <f t="shared" si="12"/>
        <v>4.8632132358895901E-2</v>
      </c>
      <c r="G26" s="1"/>
      <c r="H26" s="1">
        <f>SUM(OSRRefH22_0x_0)</f>
        <v>3894.8273872</v>
      </c>
      <c r="I26" s="1"/>
      <c r="J26" s="5">
        <f t="shared" si="13"/>
        <v>4.5288690548837211E-2</v>
      </c>
      <c r="K26" s="1"/>
      <c r="L26" s="1">
        <f t="shared" si="14"/>
        <v>-1228.5473872000002</v>
      </c>
      <c r="M26" s="1"/>
      <c r="N26" s="5">
        <f t="shared" si="15"/>
        <v>-0.31543050951051405</v>
      </c>
      <c r="O26" s="13"/>
      <c r="P26" s="1">
        <f>SUM(OSRRefP22_0x_0)</f>
        <v>14923.890000000001</v>
      </c>
      <c r="Q26" s="1"/>
      <c r="R26" s="5">
        <f t="shared" si="16"/>
        <v>3.6711768306790044E-2</v>
      </c>
      <c r="S26" s="1"/>
      <c r="T26" s="1">
        <f>SUM(OSRRefT22_0x_0)</f>
        <v>26595.821646799996</v>
      </c>
      <c r="U26" s="1"/>
      <c r="V26" s="5">
        <f t="shared" si="17"/>
        <v>5.6490700184367026E-2</v>
      </c>
      <c r="W26" s="1"/>
      <c r="X26" s="1">
        <f t="shared" si="18"/>
        <v>-11671.931646799994</v>
      </c>
      <c r="Y26" s="1"/>
      <c r="Z26" s="5">
        <f t="shared" si="19"/>
        <v>-0.43886335988436587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398.74</v>
      </c>
      <c r="E27" s="2"/>
      <c r="F27" s="7">
        <f t="shared" si="12"/>
        <v>7.2728957411772781E-3</v>
      </c>
      <c r="G27" s="2"/>
      <c r="H27" s="6">
        <v>628.39089120000006</v>
      </c>
      <c r="I27" s="2"/>
      <c r="J27" s="7">
        <f t="shared" si="13"/>
        <v>7.3068708279069774E-3</v>
      </c>
      <c r="K27" s="2"/>
      <c r="L27" s="6">
        <f t="shared" si="14"/>
        <v>-229.65089120000005</v>
      </c>
      <c r="M27" s="2"/>
      <c r="N27" s="7">
        <f t="shared" si="15"/>
        <v>-0.36545865704935609</v>
      </c>
      <c r="O27" s="11"/>
      <c r="P27" s="6">
        <v>3702.28</v>
      </c>
      <c r="Q27" s="2"/>
      <c r="R27" s="7">
        <f t="shared" si="16"/>
        <v>9.1073604513878508E-3</v>
      </c>
      <c r="S27" s="2"/>
      <c r="T27" s="6">
        <v>4910.3760228000001</v>
      </c>
      <c r="U27" s="2"/>
      <c r="V27" s="7">
        <f t="shared" si="17"/>
        <v>1.0429855613423959E-2</v>
      </c>
      <c r="W27" s="2"/>
      <c r="X27" s="6">
        <f t="shared" si="18"/>
        <v>-1208.0960227999999</v>
      </c>
      <c r="Y27" s="2"/>
      <c r="Z27" s="7">
        <f t="shared" si="19"/>
        <v>-0.24602922814679232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955.03</v>
      </c>
      <c r="E28" s="2"/>
      <c r="F28" s="7">
        <f t="shared" si="12"/>
        <v>1.7419455333541996E-2</v>
      </c>
      <c r="G28" s="2"/>
      <c r="H28" s="6">
        <v>551.38835200000005</v>
      </c>
      <c r="I28" s="2"/>
      <c r="J28" s="7">
        <f t="shared" si="13"/>
        <v>6.4114924651162801E-3</v>
      </c>
      <c r="K28" s="2"/>
      <c r="L28" s="6">
        <f t="shared" si="14"/>
        <v>403.64164799999992</v>
      </c>
      <c r="M28" s="2"/>
      <c r="N28" s="7">
        <f t="shared" si="15"/>
        <v>0.7320460189917104</v>
      </c>
      <c r="O28" s="11"/>
      <c r="P28" s="6">
        <v>3278.57</v>
      </c>
      <c r="Q28" s="2"/>
      <c r="R28" s="7">
        <f t="shared" si="16"/>
        <v>8.0650622738168559E-3</v>
      </c>
      <c r="S28" s="2"/>
      <c r="T28" s="6">
        <v>4235.5150880000001</v>
      </c>
      <c r="U28" s="2"/>
      <c r="V28" s="7">
        <f t="shared" si="17"/>
        <v>8.996421172472388E-3</v>
      </c>
      <c r="W28" s="2"/>
      <c r="X28" s="6">
        <f t="shared" si="18"/>
        <v>-956.94508799999994</v>
      </c>
      <c r="Y28" s="2"/>
      <c r="Z28" s="7">
        <f t="shared" si="19"/>
        <v>-0.22593358024179938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650.39</v>
      </c>
      <c r="E29" s="2"/>
      <c r="F29" s="7">
        <f t="shared" si="12"/>
        <v>1.1862914834489365E-2</v>
      </c>
      <c r="G29" s="2"/>
      <c r="H29" s="6">
        <v>1381</v>
      </c>
      <c r="I29" s="2"/>
      <c r="J29" s="7">
        <f t="shared" si="13"/>
        <v>1.605813953488372E-2</v>
      </c>
      <c r="K29" s="2"/>
      <c r="L29" s="6">
        <f t="shared" si="14"/>
        <v>-730.61</v>
      </c>
      <c r="M29" s="2"/>
      <c r="N29" s="7">
        <f t="shared" si="15"/>
        <v>-0.52904417089065892</v>
      </c>
      <c r="O29" s="11"/>
      <c r="P29" s="6">
        <v>3902.34</v>
      </c>
      <c r="Q29" s="2"/>
      <c r="R29" s="7">
        <f t="shared" si="16"/>
        <v>9.5994946313808973E-3</v>
      </c>
      <c r="S29" s="2"/>
      <c r="T29" s="6">
        <v>8286</v>
      </c>
      <c r="U29" s="2"/>
      <c r="V29" s="7">
        <f t="shared" si="17"/>
        <v>1.7599830076465591E-2</v>
      </c>
      <c r="W29" s="2"/>
      <c r="X29" s="6">
        <f t="shared" si="18"/>
        <v>-4383.66</v>
      </c>
      <c r="Y29" s="2"/>
      <c r="Z29" s="7">
        <f t="shared" si="19"/>
        <v>-0.52904417089065892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64</v>
      </c>
      <c r="E30" s="2"/>
      <c r="F30" s="7">
        <f t="shared" si="12"/>
        <v>1.1673404409774434E-3</v>
      </c>
      <c r="G30" s="2"/>
      <c r="H30" s="6">
        <v>45.294704000000003</v>
      </c>
      <c r="I30" s="2"/>
      <c r="J30" s="7">
        <f t="shared" si="13"/>
        <v>5.2668260465116279E-4</v>
      </c>
      <c r="K30" s="2"/>
      <c r="L30" s="6">
        <f t="shared" si="14"/>
        <v>18.705295999999997</v>
      </c>
      <c r="M30" s="2"/>
      <c r="N30" s="7">
        <f t="shared" si="15"/>
        <v>0.41296872146465502</v>
      </c>
      <c r="O30" s="11"/>
      <c r="P30" s="6">
        <v>303.83999999999997</v>
      </c>
      <c r="Q30" s="2"/>
      <c r="R30" s="7">
        <f t="shared" si="16"/>
        <v>7.4742601843990307E-4</v>
      </c>
      <c r="S30" s="2"/>
      <c r="T30" s="6">
        <v>343.753176</v>
      </c>
      <c r="U30" s="2"/>
      <c r="V30" s="7">
        <f t="shared" si="17"/>
        <v>7.3014693288020395E-4</v>
      </c>
      <c r="W30" s="2"/>
      <c r="X30" s="6">
        <f t="shared" si="18"/>
        <v>-39.913176000000021</v>
      </c>
      <c r="Y30" s="2"/>
      <c r="Z30" s="7">
        <f t="shared" si="19"/>
        <v>-0.11610998468273068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422.34944000000002</v>
      </c>
      <c r="I31" s="2"/>
      <c r="J31" s="7">
        <f t="shared" si="13"/>
        <v>4.9110400000000002E-3</v>
      </c>
      <c r="K31" s="2"/>
      <c r="L31" s="6">
        <f t="shared" si="14"/>
        <v>-422.34944000000002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2745.2713600000002</v>
      </c>
      <c r="U31" s="2"/>
      <c r="V31" s="7">
        <f t="shared" si="17"/>
        <v>5.8310776550552258E-3</v>
      </c>
      <c r="W31" s="2"/>
      <c r="X31" s="6">
        <f t="shared" si="18"/>
        <v>-2745.2713600000002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192.5</v>
      </c>
      <c r="E33" s="2"/>
      <c r="F33" s="7">
        <f t="shared" si="12"/>
        <v>3.5111411701274665E-3</v>
      </c>
      <c r="G33" s="2"/>
      <c r="H33" s="6">
        <v>245.55199999999999</v>
      </c>
      <c r="I33" s="2"/>
      <c r="J33" s="7">
        <f t="shared" si="13"/>
        <v>2.8552558139534885E-3</v>
      </c>
      <c r="K33" s="2"/>
      <c r="L33" s="6">
        <f t="shared" si="14"/>
        <v>-53.051999999999992</v>
      </c>
      <c r="M33" s="2"/>
      <c r="N33" s="7">
        <f t="shared" si="15"/>
        <v>-0.21605199713299014</v>
      </c>
      <c r="O33" s="11"/>
      <c r="P33" s="6">
        <v>1251.25</v>
      </c>
      <c r="Q33" s="2"/>
      <c r="R33" s="7">
        <f t="shared" si="16"/>
        <v>3.0779910662616138E-3</v>
      </c>
      <c r="S33" s="2"/>
      <c r="T33" s="6">
        <v>1596.088</v>
      </c>
      <c r="U33" s="2"/>
      <c r="V33" s="7">
        <f t="shared" si="17"/>
        <v>3.3901614273576888E-3</v>
      </c>
      <c r="W33" s="2"/>
      <c r="X33" s="6">
        <f t="shared" si="18"/>
        <v>-344.83799999999997</v>
      </c>
      <c r="Y33" s="2"/>
      <c r="Z33" s="7">
        <f t="shared" si="19"/>
        <v>-0.21605199713299014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230.62</v>
      </c>
      <c r="E34" s="2"/>
      <c r="F34" s="7">
        <f t="shared" si="12"/>
        <v>4.2064383202846563E-3</v>
      </c>
      <c r="G34" s="2"/>
      <c r="H34" s="6">
        <v>620.85199999999998</v>
      </c>
      <c r="I34" s="2"/>
      <c r="J34" s="7">
        <f t="shared" si="13"/>
        <v>7.2192093023255811E-3</v>
      </c>
      <c r="K34" s="2"/>
      <c r="L34" s="6">
        <f t="shared" si="14"/>
        <v>-390.23199999999997</v>
      </c>
      <c r="M34" s="2"/>
      <c r="N34" s="7">
        <f t="shared" si="15"/>
        <v>-0.62854271227281222</v>
      </c>
      <c r="O34" s="11"/>
      <c r="P34" s="6">
        <v>1499.03</v>
      </c>
      <c r="Q34" s="2"/>
      <c r="R34" s="7">
        <f t="shared" si="16"/>
        <v>3.6875132452013162E-3</v>
      </c>
      <c r="S34" s="2"/>
      <c r="T34" s="6">
        <v>4478.8180000000002</v>
      </c>
      <c r="U34" s="2"/>
      <c r="V34" s="7">
        <f t="shared" si="17"/>
        <v>9.5132073067119797E-3</v>
      </c>
      <c r="W34" s="2"/>
      <c r="X34" s="6">
        <f t="shared" si="18"/>
        <v>-2979.7880000000005</v>
      </c>
      <c r="Y34" s="2"/>
      <c r="Z34" s="7">
        <f t="shared" si="19"/>
        <v>-0.66530678406668908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175</v>
      </c>
      <c r="E35" s="2"/>
      <c r="F35" s="7">
        <f t="shared" si="12"/>
        <v>3.1919465182976971E-3</v>
      </c>
      <c r="G35" s="2"/>
      <c r="H35" s="6"/>
      <c r="I35" s="2"/>
      <c r="J35" s="7">
        <f t="shared" si="13"/>
        <v>0</v>
      </c>
      <c r="K35" s="2"/>
      <c r="L35" s="6">
        <f t="shared" si="14"/>
        <v>175</v>
      </c>
      <c r="M35" s="2"/>
      <c r="N35" s="7">
        <f t="shared" si="15"/>
        <v>0</v>
      </c>
      <c r="O35" s="11"/>
      <c r="P35" s="6">
        <v>986.58</v>
      </c>
      <c r="Q35" s="2"/>
      <c r="R35" s="7">
        <f t="shared" si="16"/>
        <v>2.4269206203016052E-3</v>
      </c>
      <c r="S35" s="2"/>
      <c r="T35" s="6"/>
      <c r="U35" s="2"/>
      <c r="V35" s="7">
        <f t="shared" si="17"/>
        <v>0</v>
      </c>
      <c r="W35" s="2"/>
      <c r="X35" s="6">
        <f t="shared" si="18"/>
        <v>986.58</v>
      </c>
      <c r="Y35" s="2"/>
      <c r="Z35" s="7">
        <f t="shared" si="19"/>
        <v>0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15492.16</v>
      </c>
      <c r="E36" s="1"/>
      <c r="F36" s="5">
        <f t="shared" ref="F36:F46" si="20">IF(D$12=0,0,D36/D$12)</f>
        <v>0.28257226384520484</v>
      </c>
      <c r="G36" s="1"/>
      <c r="H36" s="1">
        <f>SUM(OSRRefH22_1x_0)</f>
        <v>13719.936</v>
      </c>
      <c r="I36" s="1"/>
      <c r="J36" s="5">
        <f t="shared" ref="J36:J46" si="21">IF(H$12=0,0,H36/H$12)</f>
        <v>0.15953413953488371</v>
      </c>
      <c r="K36" s="1"/>
      <c r="L36" s="1">
        <f t="shared" ref="L36:L46" si="22">+D36-H36</f>
        <v>1772.2240000000002</v>
      </c>
      <c r="M36" s="1"/>
      <c r="N36" s="5">
        <f t="shared" ref="N36:N46" si="23">IF(H36=0,0,L36/H36)</f>
        <v>0.1291714480300783</v>
      </c>
      <c r="O36" s="13"/>
      <c r="P36" s="1">
        <f>SUM(OSRRefP22_1x_0)</f>
        <v>115337.42</v>
      </c>
      <c r="Q36" s="1"/>
      <c r="R36" s="5">
        <f t="shared" ref="R36:R46" si="24">IF(P$12=0,0,P36/P$12)</f>
        <v>0.28372231637615469</v>
      </c>
      <c r="S36" s="1"/>
      <c r="T36" s="1">
        <f>SUM(OSRRefT22_1x_0)</f>
        <v>105970.584</v>
      </c>
      <c r="U36" s="1"/>
      <c r="V36" s="5">
        <f t="shared" ref="V36:V46" si="25">IF(T$12=0,0,T36/T$12)</f>
        <v>0.22508620220900596</v>
      </c>
      <c r="W36" s="1"/>
      <c r="X36" s="1">
        <f t="shared" ref="X36:X46" si="26">+P36-T36</f>
        <v>9366.8359999999957</v>
      </c>
      <c r="Y36" s="1"/>
      <c r="Z36" s="5">
        <f t="shared" ref="Z36:Z46" si="27">IF(T36=0,0,X36/T36)</f>
        <v>8.8390906668967636E-2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4419.9359999999997</v>
      </c>
      <c r="I38" s="2"/>
      <c r="J38" s="7">
        <f t="shared" si="21"/>
        <v>5.1394604651162787E-2</v>
      </c>
      <c r="K38" s="2"/>
      <c r="L38" s="6">
        <f t="shared" si="22"/>
        <v>-4419.9359999999997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28729.583999999999</v>
      </c>
      <c r="U38" s="2"/>
      <c r="V38" s="7">
        <f t="shared" si="25"/>
        <v>6.1022905692438401E-2</v>
      </c>
      <c r="W38" s="2"/>
      <c r="X38" s="6">
        <f t="shared" si="26"/>
        <v>-28729.583999999999</v>
      </c>
      <c r="Y38" s="2"/>
      <c r="Z38" s="7">
        <f t="shared" si="27"/>
        <v>-1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4761.72</v>
      </c>
      <c r="E40" s="2"/>
      <c r="F40" s="7">
        <f t="shared" si="20"/>
        <v>8.6852317572048629E-2</v>
      </c>
      <c r="G40" s="2"/>
      <c r="H40" s="6">
        <v>3300</v>
      </c>
      <c r="I40" s="2"/>
      <c r="J40" s="7">
        <f t="shared" si="21"/>
        <v>3.8372093023255817E-2</v>
      </c>
      <c r="K40" s="2"/>
      <c r="L40" s="6">
        <f t="shared" si="22"/>
        <v>1461.7200000000003</v>
      </c>
      <c r="M40" s="2"/>
      <c r="N40" s="7">
        <f t="shared" si="23"/>
        <v>0.44294545454545464</v>
      </c>
      <c r="O40" s="11"/>
      <c r="P40" s="6">
        <v>34875</v>
      </c>
      <c r="Q40" s="2"/>
      <c r="R40" s="7">
        <f t="shared" si="24"/>
        <v>8.5790160588110911E-2</v>
      </c>
      <c r="S40" s="2"/>
      <c r="T40" s="6">
        <v>24321</v>
      </c>
      <c r="U40" s="2"/>
      <c r="V40" s="7">
        <f t="shared" si="25"/>
        <v>5.1658878504672899E-2</v>
      </c>
      <c r="W40" s="2"/>
      <c r="X40" s="6">
        <f t="shared" si="26"/>
        <v>10554</v>
      </c>
      <c r="Y40" s="2"/>
      <c r="Z40" s="7">
        <f t="shared" si="27"/>
        <v>0.43394597261625756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1997.5</v>
      </c>
      <c r="Q41" s="2"/>
      <c r="R41" s="7">
        <f t="shared" si="24"/>
        <v>4.913716007878181E-3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1997.5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7.1953037912609162E-5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10730.44</v>
      </c>
      <c r="E43" s="2"/>
      <c r="F43" s="7">
        <f t="shared" si="20"/>
        <v>0.19571994627315623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10730.44</v>
      </c>
      <c r="M43" s="2"/>
      <c r="N43" s="7">
        <f t="shared" si="23"/>
        <v>0</v>
      </c>
      <c r="O43" s="11"/>
      <c r="P43" s="6">
        <v>78435.67</v>
      </c>
      <c r="Q43" s="2"/>
      <c r="R43" s="7">
        <f t="shared" si="24"/>
        <v>0.19294648674225301</v>
      </c>
      <c r="S43" s="2"/>
      <c r="T43" s="6">
        <v>3720</v>
      </c>
      <c r="U43" s="2"/>
      <c r="V43" s="7">
        <f t="shared" si="25"/>
        <v>7.9014443500424816E-3</v>
      </c>
      <c r="W43" s="2"/>
      <c r="X43" s="6">
        <f t="shared" si="26"/>
        <v>74715.67</v>
      </c>
      <c r="Y43" s="2"/>
      <c r="Z43" s="7">
        <f t="shared" si="27"/>
        <v>20.08485752688172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6000</v>
      </c>
      <c r="I44" s="2"/>
      <c r="J44" s="7">
        <f t="shared" si="21"/>
        <v>6.9767441860465115E-2</v>
      </c>
      <c r="K44" s="2"/>
      <c r="L44" s="6">
        <f t="shared" si="22"/>
        <v>-6000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49200</v>
      </c>
      <c r="U44" s="2"/>
      <c r="V44" s="7">
        <f t="shared" si="25"/>
        <v>0.10450297366185217</v>
      </c>
      <c r="W44" s="2"/>
      <c r="X44" s="6">
        <f t="shared" si="26"/>
        <v>-49200</v>
      </c>
      <c r="Y44" s="2"/>
      <c r="Z44" s="7">
        <f t="shared" si="27"/>
        <v>-1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30.68</v>
      </c>
      <c r="E47" s="1"/>
      <c r="F47" s="5">
        <f t="shared" ref="F47:F55" si="28">IF(D$12=0,0,D47/D$12)</f>
        <v>5.5959382389356193E-4</v>
      </c>
      <c r="G47" s="1"/>
      <c r="H47" s="1">
        <f>SUM(OSRRefH22_2x_0)</f>
        <v>600</v>
      </c>
      <c r="I47" s="1"/>
      <c r="J47" s="5">
        <f t="shared" ref="J47:J55" si="29">IF(H$12=0,0,H47/H$12)</f>
        <v>6.9767441860465115E-3</v>
      </c>
      <c r="K47" s="1"/>
      <c r="L47" s="1">
        <f t="shared" ref="L47:L55" si="30">+D47-H47</f>
        <v>-569.32000000000005</v>
      </c>
      <c r="M47" s="1"/>
      <c r="N47" s="5">
        <f t="shared" ref="N47:N55" si="31">IF(H47=0,0,L47/H47)</f>
        <v>-0.94886666666666675</v>
      </c>
      <c r="O47" s="13"/>
      <c r="P47" s="1">
        <f>SUM(OSRRefP22_2x_0)</f>
        <v>610.57000000000005</v>
      </c>
      <c r="Q47" s="1"/>
      <c r="R47" s="5">
        <f t="shared" ref="R47:R55" si="32">IF(P$12=0,0,P47/P$12)</f>
        <v>1.5019612430188642E-3</v>
      </c>
      <c r="S47" s="1"/>
      <c r="T47" s="1">
        <f>SUM(OSRRefT22_2x_0)</f>
        <v>1235</v>
      </c>
      <c r="U47" s="1"/>
      <c r="V47" s="5">
        <f t="shared" ref="V47:V55" si="33">IF(T$12=0,0,T47/T$12)</f>
        <v>2.6231945624468991E-3</v>
      </c>
      <c r="W47" s="1"/>
      <c r="X47" s="1">
        <f t="shared" ref="X47:X55" si="34">+P47-T47</f>
        <v>-624.42999999999995</v>
      </c>
      <c r="Y47" s="1"/>
      <c r="Z47" s="5">
        <f t="shared" ref="Z47:Z55" si="35">IF(T47=0,0,X47/T47)</f>
        <v>-0.50561133603238861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30.68</v>
      </c>
      <c r="E48" s="2"/>
      <c r="F48" s="7">
        <f t="shared" si="28"/>
        <v>5.5959382389356193E-4</v>
      </c>
      <c r="G48" s="2"/>
      <c r="H48" s="6">
        <v>600</v>
      </c>
      <c r="I48" s="2"/>
      <c r="J48" s="7">
        <f t="shared" si="29"/>
        <v>6.9767441860465115E-3</v>
      </c>
      <c r="K48" s="2"/>
      <c r="L48" s="6">
        <f t="shared" si="30"/>
        <v>-569.32000000000005</v>
      </c>
      <c r="M48" s="2"/>
      <c r="N48" s="7">
        <f t="shared" si="31"/>
        <v>-0.94886666666666675</v>
      </c>
      <c r="O48" s="11"/>
      <c r="P48" s="6">
        <v>610.57000000000005</v>
      </c>
      <c r="Q48" s="2"/>
      <c r="R48" s="7">
        <f t="shared" si="32"/>
        <v>1.5019612430188642E-3</v>
      </c>
      <c r="S48" s="2"/>
      <c r="T48" s="6">
        <v>1235</v>
      </c>
      <c r="U48" s="2"/>
      <c r="V48" s="7">
        <f t="shared" si="33"/>
        <v>2.6231945624468991E-3</v>
      </c>
      <c r="W48" s="2"/>
      <c r="X48" s="6">
        <f t="shared" si="34"/>
        <v>-624.42999999999995</v>
      </c>
      <c r="Y48" s="2"/>
      <c r="Z48" s="7">
        <f t="shared" si="35"/>
        <v>-0.50561133603238861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2.83</v>
      </c>
      <c r="E49" s="1"/>
      <c r="F49" s="5">
        <f t="shared" si="28"/>
        <v>5.1618335124471325E-5</v>
      </c>
      <c r="G49" s="1"/>
      <c r="H49" s="1">
        <f>SUM(OSRRefH22_3x_0)</f>
        <v>10</v>
      </c>
      <c r="I49" s="1"/>
      <c r="J49" s="5">
        <f t="shared" si="29"/>
        <v>1.1627906976744187E-4</v>
      </c>
      <c r="K49" s="1"/>
      <c r="L49" s="1">
        <f t="shared" si="30"/>
        <v>-7.17</v>
      </c>
      <c r="M49" s="1"/>
      <c r="N49" s="5">
        <f t="shared" si="31"/>
        <v>-0.71699999999999997</v>
      </c>
      <c r="O49" s="13"/>
      <c r="P49" s="1">
        <f>SUM(OSRRefP22_3x_0)</f>
        <v>9.92</v>
      </c>
      <c r="Q49" s="1"/>
      <c r="R49" s="5">
        <f t="shared" si="32"/>
        <v>2.4402534567284882E-5</v>
      </c>
      <c r="S49" s="1"/>
      <c r="T49" s="1">
        <f>SUM(OSRRefT22_3x_0)</f>
        <v>40</v>
      </c>
      <c r="U49" s="1"/>
      <c r="V49" s="5">
        <f t="shared" si="33"/>
        <v>8.4961767204757855E-5</v>
      </c>
      <c r="W49" s="1"/>
      <c r="X49" s="1">
        <f t="shared" si="34"/>
        <v>-30.08</v>
      </c>
      <c r="Y49" s="1"/>
      <c r="Z49" s="5">
        <f t="shared" si="35"/>
        <v>-0.752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2.83</v>
      </c>
      <c r="E50" s="2"/>
      <c r="F50" s="7">
        <f t="shared" si="28"/>
        <v>5.1618335124471325E-5</v>
      </c>
      <c r="G50" s="2"/>
      <c r="H50" s="6">
        <v>10</v>
      </c>
      <c r="I50" s="2"/>
      <c r="J50" s="7">
        <f t="shared" si="29"/>
        <v>1.1627906976744187E-4</v>
      </c>
      <c r="K50" s="2"/>
      <c r="L50" s="6">
        <f t="shared" si="30"/>
        <v>-7.17</v>
      </c>
      <c r="M50" s="2"/>
      <c r="N50" s="7">
        <f t="shared" si="31"/>
        <v>-0.71699999999999997</v>
      </c>
      <c r="O50" s="11"/>
      <c r="P50" s="6">
        <v>9.92</v>
      </c>
      <c r="Q50" s="2"/>
      <c r="R50" s="7">
        <f t="shared" si="32"/>
        <v>2.4402534567284882E-5</v>
      </c>
      <c r="S50" s="2"/>
      <c r="T50" s="6">
        <v>40</v>
      </c>
      <c r="U50" s="2"/>
      <c r="V50" s="7">
        <f t="shared" si="33"/>
        <v>8.4961767204757855E-5</v>
      </c>
      <c r="W50" s="2"/>
      <c r="X50" s="6">
        <f t="shared" si="34"/>
        <v>-30.08</v>
      </c>
      <c r="Y50" s="2"/>
      <c r="Z50" s="7">
        <f t="shared" si="35"/>
        <v>-0.752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3746.23</v>
      </c>
      <c r="E51" s="1"/>
      <c r="F51" s="5">
        <f t="shared" si="28"/>
        <v>6.833009031567075E-2</v>
      </c>
      <c r="G51" s="1"/>
      <c r="H51" s="1">
        <f>SUM(OSRRefH22_4x_0)</f>
        <v>1280</v>
      </c>
      <c r="I51" s="1"/>
      <c r="J51" s="5">
        <f t="shared" si="29"/>
        <v>1.4883720930232559E-2</v>
      </c>
      <c r="K51" s="1"/>
      <c r="L51" s="1">
        <f t="shared" si="30"/>
        <v>2466.23</v>
      </c>
      <c r="M51" s="1"/>
      <c r="N51" s="5">
        <f t="shared" si="31"/>
        <v>1.9267421874999999</v>
      </c>
      <c r="O51" s="13"/>
      <c r="P51" s="1">
        <f>SUM(OSRRefP22_4x_0)</f>
        <v>13087.01</v>
      </c>
      <c r="Q51" s="1"/>
      <c r="R51" s="5">
        <f t="shared" si="32"/>
        <v>3.2193166724536586E-2</v>
      </c>
      <c r="S51" s="1"/>
      <c r="T51" s="1">
        <f>SUM(OSRRefT22_4x_0)</f>
        <v>10326</v>
      </c>
      <c r="U51" s="1"/>
      <c r="V51" s="5">
        <f t="shared" si="33"/>
        <v>2.1932880203908243E-2</v>
      </c>
      <c r="W51" s="1"/>
      <c r="X51" s="1">
        <f t="shared" si="34"/>
        <v>2761.01</v>
      </c>
      <c r="Y51" s="1"/>
      <c r="Z51" s="5">
        <f t="shared" si="35"/>
        <v>0.26738427270966497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3746.23</v>
      </c>
      <c r="E52" s="2"/>
      <c r="F52" s="7">
        <f t="shared" si="28"/>
        <v>6.833009031567075E-2</v>
      </c>
      <c r="G52" s="2"/>
      <c r="H52" s="6">
        <v>1280</v>
      </c>
      <c r="I52" s="2"/>
      <c r="J52" s="7">
        <f t="shared" si="29"/>
        <v>1.4883720930232559E-2</v>
      </c>
      <c r="K52" s="2"/>
      <c r="L52" s="6">
        <f t="shared" si="30"/>
        <v>2466.23</v>
      </c>
      <c r="M52" s="2"/>
      <c r="N52" s="7">
        <f t="shared" si="31"/>
        <v>1.9267421874999999</v>
      </c>
      <c r="O52" s="11"/>
      <c r="P52" s="6">
        <v>13087.01</v>
      </c>
      <c r="Q52" s="2"/>
      <c r="R52" s="7">
        <f t="shared" si="32"/>
        <v>3.2193166724536586E-2</v>
      </c>
      <c r="S52" s="2"/>
      <c r="T52" s="6">
        <v>10326</v>
      </c>
      <c r="U52" s="2"/>
      <c r="V52" s="7">
        <f t="shared" si="33"/>
        <v>2.1932880203908243E-2</v>
      </c>
      <c r="W52" s="2"/>
      <c r="X52" s="6">
        <f t="shared" si="34"/>
        <v>2761.01</v>
      </c>
      <c r="Y52" s="2"/>
      <c r="Z52" s="7">
        <f t="shared" si="35"/>
        <v>0.26738427270966497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2067.34</v>
      </c>
      <c r="E53" s="1"/>
      <c r="F53" s="5">
        <f t="shared" si="28"/>
        <v>3.7707649800786065E-2</v>
      </c>
      <c r="G53" s="1"/>
      <c r="H53" s="1">
        <f>SUM(OSRRefH22_5x_0)</f>
        <v>2401</v>
      </c>
      <c r="I53" s="1"/>
      <c r="J53" s="5">
        <f t="shared" si="29"/>
        <v>2.791860465116279E-2</v>
      </c>
      <c r="K53" s="1"/>
      <c r="L53" s="1">
        <f t="shared" si="30"/>
        <v>-333.65999999999985</v>
      </c>
      <c r="M53" s="1"/>
      <c r="N53" s="5">
        <f t="shared" si="31"/>
        <v>-0.13896709704289872</v>
      </c>
      <c r="O53" s="13"/>
      <c r="P53" s="1">
        <f>SUM(OSRRefP22_5x_0)</f>
        <v>10305.290000000001</v>
      </c>
      <c r="Q53" s="1"/>
      <c r="R53" s="5">
        <f t="shared" si="32"/>
        <v>2.5350322122066053E-2</v>
      </c>
      <c r="S53" s="1"/>
      <c r="T53" s="1">
        <f>SUM(OSRRefT22_5x_0)</f>
        <v>13072</v>
      </c>
      <c r="U53" s="1"/>
      <c r="V53" s="5">
        <f t="shared" si="33"/>
        <v>2.7765505522514868E-2</v>
      </c>
      <c r="W53" s="1"/>
      <c r="X53" s="1">
        <f t="shared" si="34"/>
        <v>-2766.7099999999991</v>
      </c>
      <c r="Y53" s="1"/>
      <c r="Z53" s="5">
        <f t="shared" si="35"/>
        <v>-0.21165162178702562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2067.34</v>
      </c>
      <c r="E54" s="2"/>
      <c r="F54" s="7">
        <f t="shared" si="28"/>
        <v>3.7707649800786065E-2</v>
      </c>
      <c r="G54" s="2"/>
      <c r="H54" s="6">
        <v>1674</v>
      </c>
      <c r="I54" s="2"/>
      <c r="J54" s="7">
        <f t="shared" si="29"/>
        <v>1.9465116279069768E-2</v>
      </c>
      <c r="K54" s="2"/>
      <c r="L54" s="6">
        <f t="shared" si="30"/>
        <v>393.34000000000015</v>
      </c>
      <c r="M54" s="2"/>
      <c r="N54" s="7">
        <f t="shared" si="31"/>
        <v>0.23497013142174442</v>
      </c>
      <c r="O54" s="11"/>
      <c r="P54" s="6">
        <v>10305.290000000001</v>
      </c>
      <c r="Q54" s="2"/>
      <c r="R54" s="7">
        <f t="shared" si="32"/>
        <v>2.5350322122066053E-2</v>
      </c>
      <c r="S54" s="2"/>
      <c r="T54" s="6">
        <v>10044</v>
      </c>
      <c r="U54" s="2"/>
      <c r="V54" s="7">
        <f t="shared" si="33"/>
        <v>2.1333899745114699E-2</v>
      </c>
      <c r="W54" s="2"/>
      <c r="X54" s="6">
        <f t="shared" si="34"/>
        <v>261.29000000000087</v>
      </c>
      <c r="Y54" s="2"/>
      <c r="Z54" s="7">
        <f t="shared" si="35"/>
        <v>2.601453604141785E-2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727</v>
      </c>
      <c r="I55" s="2"/>
      <c r="J55" s="7">
        <f t="shared" si="29"/>
        <v>8.4534883720930234E-3</v>
      </c>
      <c r="K55" s="2"/>
      <c r="L55" s="6">
        <f t="shared" si="30"/>
        <v>-727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3028</v>
      </c>
      <c r="U55" s="2"/>
      <c r="V55" s="7">
        <f t="shared" si="33"/>
        <v>6.4316057774001702E-3</v>
      </c>
      <c r="W55" s="2"/>
      <c r="X55" s="6">
        <f t="shared" si="34"/>
        <v>-3028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200</v>
      </c>
      <c r="I56" s="1"/>
      <c r="J56" s="5">
        <f t="shared" ref="J56:J64" si="37">IF(H$12=0,0,H56/H$12)</f>
        <v>2.3255813953488372E-3</v>
      </c>
      <c r="K56" s="1"/>
      <c r="L56" s="1">
        <f t="shared" ref="L56:L64" si="38">+D56-H56</f>
        <v>-200</v>
      </c>
      <c r="M56" s="1"/>
      <c r="N56" s="5">
        <f t="shared" ref="N56:N64" si="39">IF(H56=0,0,L56/H56)</f>
        <v>-1</v>
      </c>
      <c r="O56" s="13"/>
      <c r="P56" s="1">
        <f>SUM(OSRRefP22_6x_0)</f>
        <v>151.86000000000001</v>
      </c>
      <c r="Q56" s="1"/>
      <c r="R56" s="5">
        <f t="shared" ref="R56:R64" si="40">IF(P$12=0,0,P56/P$12)</f>
        <v>3.7356541324474622E-4</v>
      </c>
      <c r="S56" s="1"/>
      <c r="T56" s="1">
        <f>SUM(OSRRefT22_6x_0)</f>
        <v>240</v>
      </c>
      <c r="U56" s="1"/>
      <c r="V56" s="5">
        <f t="shared" ref="V56:V64" si="41">IF(T$12=0,0,T56/T$12)</f>
        <v>5.0977060322854718E-4</v>
      </c>
      <c r="W56" s="1"/>
      <c r="X56" s="1">
        <f t="shared" ref="X56:X64" si="42">+P56-T56</f>
        <v>-88.139999999999986</v>
      </c>
      <c r="Y56" s="1"/>
      <c r="Z56" s="5">
        <f t="shared" ref="Z56:Z64" si="43">IF(T56=0,0,X56/T56)</f>
        <v>-0.36724999999999997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200</v>
      </c>
      <c r="I57" s="2"/>
      <c r="J57" s="7">
        <f t="shared" si="37"/>
        <v>2.3255813953488372E-3</v>
      </c>
      <c r="K57" s="2"/>
      <c r="L57" s="6">
        <f t="shared" si="38"/>
        <v>-200</v>
      </c>
      <c r="M57" s="2"/>
      <c r="N57" s="7">
        <f t="shared" si="39"/>
        <v>-1</v>
      </c>
      <c r="O57" s="11"/>
      <c r="P57" s="6">
        <v>151.86000000000001</v>
      </c>
      <c r="Q57" s="2"/>
      <c r="R57" s="7">
        <f t="shared" si="40"/>
        <v>3.7356541324474622E-4</v>
      </c>
      <c r="S57" s="2"/>
      <c r="T57" s="6">
        <v>240</v>
      </c>
      <c r="U57" s="2"/>
      <c r="V57" s="7">
        <f t="shared" si="41"/>
        <v>5.0977060322854718E-4</v>
      </c>
      <c r="W57" s="2"/>
      <c r="X57" s="6">
        <f t="shared" si="42"/>
        <v>-88.139999999999986</v>
      </c>
      <c r="Y57" s="2"/>
      <c r="Z57" s="7">
        <f t="shared" si="43"/>
        <v>-0.36724999999999997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2.1688820599473093E-3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713.46</v>
      </c>
      <c r="Q58" s="1"/>
      <c r="R58" s="5">
        <f t="shared" si="40"/>
        <v>1.7550637411668422E-3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713.46</v>
      </c>
      <c r="Y58" s="1"/>
      <c r="Z58" s="5">
        <f t="shared" si="43"/>
        <v>0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118.91</v>
      </c>
      <c r="E59" s="2"/>
      <c r="F59" s="7">
        <f t="shared" si="36"/>
        <v>2.1688820599473093E-3</v>
      </c>
      <c r="G59" s="2"/>
      <c r="H59" s="6"/>
      <c r="I59" s="2"/>
      <c r="J59" s="7">
        <f t="shared" si="37"/>
        <v>0</v>
      </c>
      <c r="K59" s="2"/>
      <c r="L59" s="6">
        <f t="shared" si="38"/>
        <v>118.91</v>
      </c>
      <c r="M59" s="2"/>
      <c r="N59" s="7">
        <f t="shared" si="39"/>
        <v>0</v>
      </c>
      <c r="O59" s="11"/>
      <c r="P59" s="6">
        <v>713.46</v>
      </c>
      <c r="Q59" s="2"/>
      <c r="R59" s="7">
        <f t="shared" si="40"/>
        <v>1.7550637411668422E-3</v>
      </c>
      <c r="S59" s="2"/>
      <c r="T59" s="6"/>
      <c r="U59" s="2"/>
      <c r="V59" s="7">
        <f t="shared" si="41"/>
        <v>0</v>
      </c>
      <c r="W59" s="2"/>
      <c r="X59" s="6">
        <f t="shared" si="42"/>
        <v>713.46</v>
      </c>
      <c r="Y59" s="2"/>
      <c r="Z59" s="7">
        <f t="shared" si="43"/>
        <v>0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902.79</v>
      </c>
      <c r="E60" s="1"/>
      <c r="F60" s="5">
        <f t="shared" si="36"/>
        <v>1.6466613698594156E-2</v>
      </c>
      <c r="G60" s="1"/>
      <c r="H60" s="1">
        <f>SUM(OSRRefH22_8x_0)</f>
        <v>900</v>
      </c>
      <c r="I60" s="1"/>
      <c r="J60" s="5">
        <f t="shared" si="37"/>
        <v>1.0465116279069767E-2</v>
      </c>
      <c r="K60" s="1"/>
      <c r="L60" s="1">
        <f t="shared" si="38"/>
        <v>2.7899999999999636</v>
      </c>
      <c r="M60" s="1"/>
      <c r="N60" s="5">
        <f t="shared" si="39"/>
        <v>3.0999999999999596E-3</v>
      </c>
      <c r="O60" s="13"/>
      <c r="P60" s="1">
        <f>SUM(OSRRefP22_8x_0)</f>
        <v>6138.51</v>
      </c>
      <c r="Q60" s="1"/>
      <c r="R60" s="5">
        <f t="shared" si="40"/>
        <v>1.5100322829296768E-2</v>
      </c>
      <c r="S60" s="1"/>
      <c r="T60" s="1">
        <f>SUM(OSRRefT22_8x_0)</f>
        <v>6700</v>
      </c>
      <c r="U60" s="1"/>
      <c r="V60" s="5">
        <f t="shared" si="41"/>
        <v>1.4231096006796942E-2</v>
      </c>
      <c r="W60" s="1"/>
      <c r="X60" s="1">
        <f t="shared" si="42"/>
        <v>-561.48999999999978</v>
      </c>
      <c r="Y60" s="1"/>
      <c r="Z60" s="5">
        <f t="shared" si="43"/>
        <v>-8.3804477611940265E-2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902.79</v>
      </c>
      <c r="E61" s="2"/>
      <c r="F61" s="7">
        <f t="shared" si="36"/>
        <v>1.6466613698594156E-2</v>
      </c>
      <c r="G61" s="2"/>
      <c r="H61" s="6">
        <v>900</v>
      </c>
      <c r="I61" s="2"/>
      <c r="J61" s="7">
        <f t="shared" si="37"/>
        <v>1.0465116279069767E-2</v>
      </c>
      <c r="K61" s="2"/>
      <c r="L61" s="6">
        <f t="shared" si="38"/>
        <v>2.7899999999999636</v>
      </c>
      <c r="M61" s="2"/>
      <c r="N61" s="7">
        <f t="shared" si="39"/>
        <v>3.0999999999999596E-3</v>
      </c>
      <c r="O61" s="11"/>
      <c r="P61" s="6">
        <v>6138.51</v>
      </c>
      <c r="Q61" s="2"/>
      <c r="R61" s="7">
        <f t="shared" si="40"/>
        <v>1.5100322829296768E-2</v>
      </c>
      <c r="S61" s="2"/>
      <c r="T61" s="6">
        <v>6700</v>
      </c>
      <c r="U61" s="2"/>
      <c r="V61" s="7">
        <f t="shared" si="41"/>
        <v>1.4231096006796942E-2</v>
      </c>
      <c r="W61" s="2"/>
      <c r="X61" s="6">
        <f t="shared" si="42"/>
        <v>-561.48999999999978</v>
      </c>
      <c r="Y61" s="2"/>
      <c r="Z61" s="7">
        <f t="shared" si="43"/>
        <v>-8.3804477611940265E-2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224.64</v>
      </c>
      <c r="E62" s="1"/>
      <c r="F62" s="5">
        <f t="shared" si="36"/>
        <v>4.097364947830826E-3</v>
      </c>
      <c r="G62" s="1"/>
      <c r="H62" s="1">
        <f>SUM(OSRRefH22_9x_0)</f>
        <v>500</v>
      </c>
      <c r="I62" s="1"/>
      <c r="J62" s="5">
        <f t="shared" si="37"/>
        <v>5.8139534883720929E-3</v>
      </c>
      <c r="K62" s="1"/>
      <c r="L62" s="1">
        <f t="shared" si="38"/>
        <v>-275.36</v>
      </c>
      <c r="M62" s="1"/>
      <c r="N62" s="5">
        <f t="shared" si="39"/>
        <v>-0.55071999999999999</v>
      </c>
      <c r="O62" s="13"/>
      <c r="P62" s="1">
        <f>SUM(OSRRefP22_9x_0)</f>
        <v>4404.9100000000008</v>
      </c>
      <c r="Q62" s="1"/>
      <c r="R62" s="5">
        <f t="shared" si="40"/>
        <v>1.0835783119030128E-2</v>
      </c>
      <c r="S62" s="1"/>
      <c r="T62" s="1">
        <f>SUM(OSRRefT22_9x_0)</f>
        <v>2600</v>
      </c>
      <c r="U62" s="1"/>
      <c r="V62" s="5">
        <f t="shared" si="41"/>
        <v>5.5225148683092605E-3</v>
      </c>
      <c r="W62" s="1"/>
      <c r="X62" s="1">
        <f t="shared" si="42"/>
        <v>1804.9100000000008</v>
      </c>
      <c r="Y62" s="1"/>
      <c r="Z62" s="5">
        <f t="shared" si="43"/>
        <v>0.69419615384615418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>
        <v>128.75</v>
      </c>
      <c r="E63" s="2"/>
      <c r="F63" s="7">
        <f t="shared" si="36"/>
        <v>2.3483606527475911E-3</v>
      </c>
      <c r="G63" s="2"/>
      <c r="H63" s="6"/>
      <c r="I63" s="2"/>
      <c r="J63" s="7">
        <f t="shared" si="37"/>
        <v>0</v>
      </c>
      <c r="K63" s="2"/>
      <c r="L63" s="6">
        <f t="shared" si="38"/>
        <v>128.75</v>
      </c>
      <c r="M63" s="2"/>
      <c r="N63" s="7">
        <f t="shared" si="39"/>
        <v>0</v>
      </c>
      <c r="O63" s="11"/>
      <c r="P63" s="6">
        <v>240.39</v>
      </c>
      <c r="Q63" s="2"/>
      <c r="R63" s="7">
        <f t="shared" si="40"/>
        <v>5.9134327466024326E-4</v>
      </c>
      <c r="S63" s="2"/>
      <c r="T63" s="6"/>
      <c r="U63" s="2"/>
      <c r="V63" s="7">
        <f t="shared" si="41"/>
        <v>0</v>
      </c>
      <c r="W63" s="2"/>
      <c r="X63" s="6">
        <f t="shared" si="42"/>
        <v>240.39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95.89</v>
      </c>
      <c r="E64" s="2"/>
      <c r="F64" s="7">
        <f t="shared" si="36"/>
        <v>1.7490042950832352E-3</v>
      </c>
      <c r="G64" s="2"/>
      <c r="H64" s="6">
        <v>500</v>
      </c>
      <c r="I64" s="2"/>
      <c r="J64" s="7">
        <f t="shared" si="37"/>
        <v>5.8139534883720929E-3</v>
      </c>
      <c r="K64" s="2"/>
      <c r="L64" s="6">
        <f t="shared" si="38"/>
        <v>-404.11</v>
      </c>
      <c r="M64" s="2"/>
      <c r="N64" s="7">
        <f t="shared" si="39"/>
        <v>-0.80822000000000005</v>
      </c>
      <c r="O64" s="11"/>
      <c r="P64" s="6">
        <v>4164.5200000000004</v>
      </c>
      <c r="Q64" s="2"/>
      <c r="R64" s="7">
        <f t="shared" si="40"/>
        <v>1.0244439844369884E-2</v>
      </c>
      <c r="S64" s="2"/>
      <c r="T64" s="6">
        <v>2600</v>
      </c>
      <c r="U64" s="2"/>
      <c r="V64" s="7">
        <f t="shared" si="41"/>
        <v>5.5225148683092605E-3</v>
      </c>
      <c r="W64" s="2"/>
      <c r="X64" s="6">
        <f t="shared" si="42"/>
        <v>1564.5200000000004</v>
      </c>
      <c r="Y64" s="2"/>
      <c r="Z64" s="7">
        <f t="shared" si="43"/>
        <v>0.60173846153846167</v>
      </c>
    </row>
    <row r="65" spans="1:26" s="25" customFormat="1" outlineLevel="1" collapsed="1" x14ac:dyDescent="0.25">
      <c r="A65" s="27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4386</v>
      </c>
      <c r="E65" s="1"/>
      <c r="F65" s="5">
        <f t="shared" ref="F65:F78" si="44">IF(D$12=0,0,D65/D$12)</f>
        <v>7.9999299595735415E-2</v>
      </c>
      <c r="G65" s="1"/>
      <c r="H65" s="1">
        <f>SUM(OSRRefH22_10x_0)</f>
        <v>5120</v>
      </c>
      <c r="I65" s="1"/>
      <c r="J65" s="5">
        <f t="shared" ref="J65:J78" si="45">IF(H$12=0,0,H65/H$12)</f>
        <v>5.9534883720930236E-2</v>
      </c>
      <c r="K65" s="1"/>
      <c r="L65" s="1">
        <f t="shared" ref="L65:L78" si="46">+D65-H65</f>
        <v>-734</v>
      </c>
      <c r="M65" s="1"/>
      <c r="N65" s="5">
        <f t="shared" ref="N65:N78" si="47">IF(H65=0,0,L65/H65)</f>
        <v>-0.14335937500000001</v>
      </c>
      <c r="O65" s="13"/>
      <c r="P65" s="1">
        <f>SUM(OSRRefP22_10x_0)</f>
        <v>29301.360000000001</v>
      </c>
      <c r="Q65" s="1"/>
      <c r="R65" s="5">
        <f t="shared" ref="R65:R78" si="48">IF(P$12=0,0,P65/P$12)</f>
        <v>7.2079380067384943E-2</v>
      </c>
      <c r="S65" s="1"/>
      <c r="T65" s="1">
        <f>SUM(OSRRefT22_10x_0)</f>
        <v>35680</v>
      </c>
      <c r="U65" s="1"/>
      <c r="V65" s="5">
        <f t="shared" ref="V65:V78" si="49">IF(T$12=0,0,T65/T$12)</f>
        <v>7.5785896346644011E-2</v>
      </c>
      <c r="W65" s="1"/>
      <c r="X65" s="1">
        <f t="shared" ref="X65:X78" si="50">+P65-T65</f>
        <v>-6378.6399999999994</v>
      </c>
      <c r="Y65" s="1"/>
      <c r="Z65" s="5">
        <f t="shared" ref="Z65:Z78" si="51">IF(T65=0,0,X65/T65)</f>
        <v>-0.17877354260089684</v>
      </c>
    </row>
    <row r="66" spans="1:26" s="24" customFormat="1" hidden="1" outlineLevel="2" x14ac:dyDescent="0.25">
      <c r="A66" s="26"/>
      <c r="B66" s="11" t="str">
        <f>CONCATENATE("          ", "6259", " - ", "ROYALTY &amp; COMMISSIONS")</f>
        <v xml:space="preserve">          6259 - ROYALTY &amp; COMMISSIONS</v>
      </c>
      <c r="C66" s="11"/>
      <c r="D66" s="6">
        <v>4386</v>
      </c>
      <c r="E66" s="2"/>
      <c r="F66" s="7">
        <f t="shared" si="44"/>
        <v>7.9999299595735415E-2</v>
      </c>
      <c r="G66" s="2"/>
      <c r="H66" s="6">
        <v>5120</v>
      </c>
      <c r="I66" s="2"/>
      <c r="J66" s="7">
        <f t="shared" si="45"/>
        <v>5.9534883720930236E-2</v>
      </c>
      <c r="K66" s="2"/>
      <c r="L66" s="6">
        <f t="shared" si="46"/>
        <v>-734</v>
      </c>
      <c r="M66" s="2"/>
      <c r="N66" s="7">
        <f t="shared" si="47"/>
        <v>-0.14335937500000001</v>
      </c>
      <c r="O66" s="11"/>
      <c r="P66" s="6">
        <v>29301.360000000001</v>
      </c>
      <c r="Q66" s="2"/>
      <c r="R66" s="7">
        <f t="shared" si="48"/>
        <v>7.2079380067384943E-2</v>
      </c>
      <c r="S66" s="2"/>
      <c r="T66" s="6">
        <v>35680</v>
      </c>
      <c r="U66" s="2"/>
      <c r="V66" s="7">
        <f t="shared" si="49"/>
        <v>7.5785896346644011E-2</v>
      </c>
      <c r="W66" s="2"/>
      <c r="X66" s="6">
        <f t="shared" si="50"/>
        <v>-6378.6399999999994</v>
      </c>
      <c r="Y66" s="2"/>
      <c r="Z66" s="7">
        <f t="shared" si="51"/>
        <v>-0.17877354260089684</v>
      </c>
    </row>
    <row r="67" spans="1:26" s="25" customFormat="1" outlineLevel="1" collapsed="1" x14ac:dyDescent="0.25">
      <c r="A67" s="27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48.75</v>
      </c>
      <c r="E67" s="1"/>
      <c r="F67" s="5">
        <f t="shared" si="44"/>
        <v>8.8918510152578693E-4</v>
      </c>
      <c r="G67" s="1"/>
      <c r="H67" s="1">
        <f>SUM(OSRRefH22_11x_0)</f>
        <v>120</v>
      </c>
      <c r="I67" s="1"/>
      <c r="J67" s="5">
        <f t="shared" si="45"/>
        <v>1.3953488372093023E-3</v>
      </c>
      <c r="K67" s="1"/>
      <c r="L67" s="1">
        <f t="shared" si="46"/>
        <v>-71.25</v>
      </c>
      <c r="M67" s="1"/>
      <c r="N67" s="5">
        <f t="shared" si="47"/>
        <v>-0.59375</v>
      </c>
      <c r="O67" s="13"/>
      <c r="P67" s="1">
        <f>SUM(OSRRefP22_11x_0)</f>
        <v>329.85</v>
      </c>
      <c r="Q67" s="1"/>
      <c r="R67" s="5">
        <f t="shared" si="48"/>
        <v>8.1140887369142336E-4</v>
      </c>
      <c r="S67" s="1"/>
      <c r="T67" s="1">
        <f>SUM(OSRRefT22_11x_0)</f>
        <v>720</v>
      </c>
      <c r="U67" s="1"/>
      <c r="V67" s="5">
        <f t="shared" si="49"/>
        <v>1.5293118096856414E-3</v>
      </c>
      <c r="W67" s="1"/>
      <c r="X67" s="1">
        <f t="shared" si="50"/>
        <v>-390.15</v>
      </c>
      <c r="Y67" s="1"/>
      <c r="Z67" s="5">
        <f t="shared" si="51"/>
        <v>-0.541875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>
        <v>48.75</v>
      </c>
      <c r="E68" s="2"/>
      <c r="F68" s="7">
        <f t="shared" si="44"/>
        <v>8.8918510152578693E-4</v>
      </c>
      <c r="G68" s="2"/>
      <c r="H68" s="6">
        <v>120</v>
      </c>
      <c r="I68" s="2"/>
      <c r="J68" s="7">
        <f t="shared" si="45"/>
        <v>1.3953488372093023E-3</v>
      </c>
      <c r="K68" s="2"/>
      <c r="L68" s="6">
        <f t="shared" si="46"/>
        <v>-71.25</v>
      </c>
      <c r="M68" s="2"/>
      <c r="N68" s="7">
        <f t="shared" si="47"/>
        <v>-0.59375</v>
      </c>
      <c r="O68" s="11"/>
      <c r="P68" s="6">
        <v>329.85</v>
      </c>
      <c r="Q68" s="2"/>
      <c r="R68" s="7">
        <f t="shared" si="48"/>
        <v>8.1140887369142336E-4</v>
      </c>
      <c r="S68" s="2"/>
      <c r="T68" s="6">
        <v>720</v>
      </c>
      <c r="U68" s="2"/>
      <c r="V68" s="7">
        <f t="shared" si="49"/>
        <v>1.5293118096856414E-3</v>
      </c>
      <c r="W68" s="2"/>
      <c r="X68" s="6">
        <f t="shared" si="50"/>
        <v>-390.15</v>
      </c>
      <c r="Y68" s="2"/>
      <c r="Z68" s="7">
        <f t="shared" si="51"/>
        <v>-0.541875</v>
      </c>
    </row>
    <row r="69" spans="1:26" s="25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SUM(OSRRefP22_12x_0)</f>
        <v>92.04</v>
      </c>
      <c r="Q69" s="1"/>
      <c r="R69" s="5">
        <f t="shared" si="48"/>
        <v>2.2641222596501016E-4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92.04</v>
      </c>
      <c r="Y69" s="1"/>
      <c r="Z69" s="5">
        <f t="shared" si="51"/>
        <v>0</v>
      </c>
    </row>
    <row r="70" spans="1:26" s="24" customFormat="1" hidden="1" outlineLevel="2" x14ac:dyDescent="0.25">
      <c r="A70" s="26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92.04</v>
      </c>
      <c r="Q70" s="2"/>
      <c r="R70" s="7">
        <f t="shared" si="48"/>
        <v>2.2641222596501016E-4</v>
      </c>
      <c r="S70" s="2"/>
      <c r="T70" s="6"/>
      <c r="U70" s="2"/>
      <c r="V70" s="7">
        <f t="shared" si="49"/>
        <v>0</v>
      </c>
      <c r="W70" s="2"/>
      <c r="X70" s="6">
        <f t="shared" si="50"/>
        <v>92.04</v>
      </c>
      <c r="Y70" s="2"/>
      <c r="Z70" s="7">
        <f t="shared" si="51"/>
        <v>0</v>
      </c>
    </row>
    <row r="71" spans="1:26" s="25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918.47</v>
      </c>
      <c r="E71" s="1"/>
      <c r="F71" s="5">
        <f t="shared" si="44"/>
        <v>1.6752612106633633E-2</v>
      </c>
      <c r="G71" s="1"/>
      <c r="H71" s="1">
        <f>SUM(OSRRefH22_13x_0)</f>
        <v>380</v>
      </c>
      <c r="I71" s="1"/>
      <c r="J71" s="5">
        <f t="shared" si="45"/>
        <v>4.4186046511627908E-3</v>
      </c>
      <c r="K71" s="1"/>
      <c r="L71" s="1">
        <f t="shared" si="46"/>
        <v>538.47</v>
      </c>
      <c r="M71" s="1"/>
      <c r="N71" s="5">
        <f t="shared" si="47"/>
        <v>1.4170263157894738</v>
      </c>
      <c r="O71" s="13"/>
      <c r="P71" s="1">
        <f>SUM(OSRRefP22_13x_0)</f>
        <v>7618.54</v>
      </c>
      <c r="Q71" s="1"/>
      <c r="R71" s="5">
        <f t="shared" si="48"/>
        <v>1.8741097349016387E-2</v>
      </c>
      <c r="S71" s="1"/>
      <c r="T71" s="1">
        <f>SUM(OSRRefT22_13x_0)</f>
        <v>6976</v>
      </c>
      <c r="U71" s="1"/>
      <c r="V71" s="5">
        <f t="shared" si="49"/>
        <v>1.4817332200509771E-2</v>
      </c>
      <c r="W71" s="1"/>
      <c r="X71" s="1">
        <f t="shared" si="50"/>
        <v>642.54</v>
      </c>
      <c r="Y71" s="1"/>
      <c r="Z71" s="5">
        <f t="shared" si="51"/>
        <v>9.210722477064219E-2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>
        <v>52.91</v>
      </c>
      <c r="E72" s="2"/>
      <c r="F72" s="7">
        <f t="shared" si="44"/>
        <v>9.6506223018932077E-4</v>
      </c>
      <c r="G72" s="2"/>
      <c r="H72" s="6"/>
      <c r="I72" s="2"/>
      <c r="J72" s="7">
        <f t="shared" si="45"/>
        <v>0</v>
      </c>
      <c r="K72" s="2"/>
      <c r="L72" s="6">
        <f t="shared" si="46"/>
        <v>52.91</v>
      </c>
      <c r="M72" s="2"/>
      <c r="N72" s="7">
        <f t="shared" si="47"/>
        <v>0</v>
      </c>
      <c r="O72" s="11"/>
      <c r="P72" s="6">
        <v>198.84</v>
      </c>
      <c r="Q72" s="2"/>
      <c r="R72" s="7">
        <f t="shared" si="48"/>
        <v>4.8913306183053689E-4</v>
      </c>
      <c r="S72" s="2"/>
      <c r="T72" s="6"/>
      <c r="U72" s="2"/>
      <c r="V72" s="7">
        <f t="shared" si="49"/>
        <v>0</v>
      </c>
      <c r="W72" s="2"/>
      <c r="X72" s="6">
        <f t="shared" si="50"/>
        <v>198.84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>
        <v>-23.12</v>
      </c>
      <c r="E73" s="2"/>
      <c r="F73" s="7">
        <f t="shared" si="44"/>
        <v>-4.2170173430310147E-4</v>
      </c>
      <c r="G73" s="2"/>
      <c r="H73" s="6">
        <v>300</v>
      </c>
      <c r="I73" s="2"/>
      <c r="J73" s="7">
        <f t="shared" si="45"/>
        <v>3.4883720930232558E-3</v>
      </c>
      <c r="K73" s="2"/>
      <c r="L73" s="6">
        <f t="shared" si="46"/>
        <v>-323.12</v>
      </c>
      <c r="M73" s="2"/>
      <c r="N73" s="7">
        <f t="shared" si="47"/>
        <v>-1.0770666666666666</v>
      </c>
      <c r="O73" s="11"/>
      <c r="P73" s="6">
        <v>1890.25</v>
      </c>
      <c r="Q73" s="2"/>
      <c r="R73" s="7">
        <f t="shared" si="48"/>
        <v>4.6498882021986142E-3</v>
      </c>
      <c r="S73" s="2"/>
      <c r="T73" s="6">
        <v>4476</v>
      </c>
      <c r="U73" s="2"/>
      <c r="V73" s="7">
        <f t="shared" si="49"/>
        <v>9.5072217502124041E-3</v>
      </c>
      <c r="W73" s="2"/>
      <c r="X73" s="6">
        <f t="shared" si="50"/>
        <v>-2585.75</v>
      </c>
      <c r="Y73" s="2"/>
      <c r="Z73" s="7">
        <f t="shared" si="51"/>
        <v>-0.57769213583556744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>
        <v>169.18</v>
      </c>
      <c r="E74" s="2"/>
      <c r="F74" s="7">
        <f t="shared" si="44"/>
        <v>3.0857914969463105E-3</v>
      </c>
      <c r="G74" s="2"/>
      <c r="H74" s="6">
        <v>20</v>
      </c>
      <c r="I74" s="2"/>
      <c r="J74" s="7">
        <f t="shared" si="45"/>
        <v>2.3255813953488373E-4</v>
      </c>
      <c r="K74" s="2"/>
      <c r="L74" s="6">
        <f t="shared" si="46"/>
        <v>149.18</v>
      </c>
      <c r="M74" s="2"/>
      <c r="N74" s="7">
        <f t="shared" si="47"/>
        <v>7.4590000000000005</v>
      </c>
      <c r="O74" s="11"/>
      <c r="P74" s="6">
        <v>1376.73</v>
      </c>
      <c r="Q74" s="2"/>
      <c r="R74" s="7">
        <f t="shared" si="48"/>
        <v>3.3866634490744068E-3</v>
      </c>
      <c r="S74" s="2"/>
      <c r="T74" s="6">
        <v>120</v>
      </c>
      <c r="U74" s="2"/>
      <c r="V74" s="7">
        <f t="shared" si="49"/>
        <v>2.5488530161427359E-4</v>
      </c>
      <c r="W74" s="2"/>
      <c r="X74" s="6">
        <f t="shared" si="50"/>
        <v>1256.73</v>
      </c>
      <c r="Y74" s="2"/>
      <c r="Z74" s="7">
        <f t="shared" si="51"/>
        <v>10.47275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598.27</v>
      </c>
      <c r="E75" s="2"/>
      <c r="F75" s="7">
        <f t="shared" si="44"/>
        <v>1.0912261962868361E-2</v>
      </c>
      <c r="G75" s="2"/>
      <c r="H75" s="6">
        <v>60</v>
      </c>
      <c r="I75" s="2"/>
      <c r="J75" s="7">
        <f t="shared" si="45"/>
        <v>6.9767441860465117E-4</v>
      </c>
      <c r="K75" s="2"/>
      <c r="L75" s="6">
        <f t="shared" si="46"/>
        <v>538.27</v>
      </c>
      <c r="M75" s="2"/>
      <c r="N75" s="7">
        <f t="shared" si="47"/>
        <v>8.971166666666667</v>
      </c>
      <c r="O75" s="11"/>
      <c r="P75" s="6">
        <v>2645.23</v>
      </c>
      <c r="Q75" s="2"/>
      <c r="R75" s="7">
        <f t="shared" si="48"/>
        <v>6.5070883582075594E-3</v>
      </c>
      <c r="S75" s="2"/>
      <c r="T75" s="6">
        <v>2380</v>
      </c>
      <c r="U75" s="2"/>
      <c r="V75" s="7">
        <f t="shared" si="49"/>
        <v>5.0552251486830927E-3</v>
      </c>
      <c r="W75" s="2"/>
      <c r="X75" s="6">
        <f t="shared" si="50"/>
        <v>265.23</v>
      </c>
      <c r="Y75" s="2"/>
      <c r="Z75" s="7">
        <f t="shared" si="51"/>
        <v>0.11144117647058824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181.92</v>
      </c>
      <c r="Q76" s="2"/>
      <c r="R76" s="7">
        <f t="shared" si="48"/>
        <v>4.4751099682262756E-4</v>
      </c>
      <c r="S76" s="2"/>
      <c r="T76" s="6"/>
      <c r="U76" s="2"/>
      <c r="V76" s="7">
        <f t="shared" si="49"/>
        <v>0</v>
      </c>
      <c r="W76" s="2"/>
      <c r="X76" s="6">
        <f t="shared" si="50"/>
        <v>181.92</v>
      </c>
      <c r="Y76" s="2"/>
      <c r="Z76" s="7">
        <f t="shared" si="51"/>
        <v>0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6">
        <v>121.23</v>
      </c>
      <c r="E77" s="2"/>
      <c r="F77" s="7">
        <f t="shared" si="44"/>
        <v>2.2111981509327417E-3</v>
      </c>
      <c r="G77" s="2"/>
      <c r="H77" s="6"/>
      <c r="I77" s="2"/>
      <c r="J77" s="7">
        <f t="shared" si="45"/>
        <v>0</v>
      </c>
      <c r="K77" s="2"/>
      <c r="L77" s="6">
        <f t="shared" si="46"/>
        <v>121.23</v>
      </c>
      <c r="M77" s="2"/>
      <c r="N77" s="7">
        <f t="shared" si="47"/>
        <v>0</v>
      </c>
      <c r="O77" s="11"/>
      <c r="P77" s="6">
        <v>1211.79</v>
      </c>
      <c r="Q77" s="2"/>
      <c r="R77" s="7">
        <f t="shared" si="48"/>
        <v>2.9809221132348941E-3</v>
      </c>
      <c r="S77" s="2"/>
      <c r="T77" s="6"/>
      <c r="U77" s="2"/>
      <c r="V77" s="7">
        <f t="shared" si="49"/>
        <v>0</v>
      </c>
      <c r="W77" s="2"/>
      <c r="X77" s="6">
        <f t="shared" si="50"/>
        <v>1211.79</v>
      </c>
      <c r="Y77" s="2"/>
      <c r="Z77" s="7">
        <f t="shared" si="51"/>
        <v>0</v>
      </c>
    </row>
    <row r="78" spans="1:26" s="24" customFormat="1" hidden="1" outlineLevel="2" x14ac:dyDescent="0.25">
      <c r="A78" s="26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113.78</v>
      </c>
      <c r="Q78" s="2"/>
      <c r="R78" s="7">
        <f t="shared" si="48"/>
        <v>2.7989116764774941E-4</v>
      </c>
      <c r="S78" s="2"/>
      <c r="T78" s="6"/>
      <c r="U78" s="2"/>
      <c r="V78" s="7">
        <f t="shared" si="49"/>
        <v>0</v>
      </c>
      <c r="W78" s="2"/>
      <c r="X78" s="6">
        <f t="shared" si="50"/>
        <v>113.78</v>
      </c>
      <c r="Y78" s="2"/>
      <c r="Z78" s="7">
        <f t="shared" si="51"/>
        <v>0</v>
      </c>
    </row>
    <row r="79" spans="1:26" s="25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5.8139534883720929E-4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-1.1069698140401408E-4</v>
      </c>
      <c r="S79" s="1"/>
      <c r="T79" s="1">
        <f>SUM(OSRRefT22_14x_0)</f>
        <v>300</v>
      </c>
      <c r="U79" s="1"/>
      <c r="V79" s="5">
        <f t="shared" ref="V79:V82" si="57">IF(T$12=0,0,T79/T$12)</f>
        <v>6.3721325403568395E-4</v>
      </c>
      <c r="W79" s="1"/>
      <c r="X79" s="1">
        <f t="shared" ref="X79:X82" si="58">+P79-T79</f>
        <v>-345</v>
      </c>
      <c r="Y79" s="1"/>
      <c r="Z79" s="5">
        <f t="shared" ref="Z79:Z82" si="59">IF(T79=0,0,X79/T79)</f>
        <v>-1.1499999999999999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5.8139534883720929E-4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>
        <v>-45</v>
      </c>
      <c r="Q80" s="2"/>
      <c r="R80" s="7">
        <f t="shared" si="56"/>
        <v>-1.1069698140401408E-4</v>
      </c>
      <c r="S80" s="2"/>
      <c r="T80" s="6">
        <v>300</v>
      </c>
      <c r="U80" s="2"/>
      <c r="V80" s="7">
        <f t="shared" si="57"/>
        <v>6.3721325403568395E-4</v>
      </c>
      <c r="W80" s="2"/>
      <c r="X80" s="6">
        <f t="shared" si="58"/>
        <v>-345</v>
      </c>
      <c r="Y80" s="2"/>
      <c r="Z80" s="7">
        <f t="shared" si="59"/>
        <v>-1.1499999999999999</v>
      </c>
    </row>
    <row r="81" spans="1:26" s="25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SUM(OSRRefP22_15x_0)</f>
        <v>96</v>
      </c>
      <c r="Q81" s="1"/>
      <c r="R81" s="5">
        <f t="shared" si="56"/>
        <v>2.3615356032856337E-4</v>
      </c>
      <c r="S81" s="1"/>
      <c r="T81" s="1">
        <f>SUM(OSRRefT22_15x_0)</f>
        <v>120</v>
      </c>
      <c r="U81" s="1"/>
      <c r="V81" s="5">
        <f t="shared" si="57"/>
        <v>2.5488530161427359E-4</v>
      </c>
      <c r="W81" s="1"/>
      <c r="X81" s="1">
        <f t="shared" si="58"/>
        <v>-24</v>
      </c>
      <c r="Y81" s="1"/>
      <c r="Z81" s="5">
        <f t="shared" si="59"/>
        <v>-0.2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96</v>
      </c>
      <c r="Q82" s="2"/>
      <c r="R82" s="7">
        <f t="shared" si="56"/>
        <v>2.3615356032856337E-4</v>
      </c>
      <c r="S82" s="2"/>
      <c r="T82" s="6">
        <v>120</v>
      </c>
      <c r="U82" s="2"/>
      <c r="V82" s="7">
        <f t="shared" si="57"/>
        <v>2.5488530161427359E-4</v>
      </c>
      <c r="W82" s="2"/>
      <c r="X82" s="6">
        <f t="shared" si="58"/>
        <v>-24</v>
      </c>
      <c r="Y82" s="2"/>
      <c r="Z82" s="7">
        <f t="shared" si="59"/>
        <v>-0.2</v>
      </c>
    </row>
    <row r="83" spans="1:26" s="5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+D23-D25+D84</f>
        <v>10275.439999999991</v>
      </c>
      <c r="E86" s="14"/>
      <c r="F86" s="20">
        <f>IF(D$12=0,0,D86/D$12)</f>
        <v>0.18742088532558204</v>
      </c>
      <c r="G86" s="14"/>
      <c r="H86" s="22">
        <f>+H23-H25+H84</f>
        <v>31824.236612799999</v>
      </c>
      <c r="I86" s="14"/>
      <c r="J86" s="20">
        <f>IF(H$12=0,0,H86/H$12)</f>
        <v>0.37004926293953488</v>
      </c>
      <c r="K86" s="16"/>
      <c r="L86" s="22">
        <f>+D86-H86</f>
        <v>-21548.796612800008</v>
      </c>
      <c r="M86" s="16"/>
      <c r="N86" s="20">
        <f>IF(H86=0,0,L86/H86)</f>
        <v>-0.67711904216212637</v>
      </c>
      <c r="O86" s="28"/>
      <c r="P86" s="22">
        <f>+P23-P25+P84</f>
        <v>75403.009999999951</v>
      </c>
      <c r="Q86" s="14"/>
      <c r="R86" s="20">
        <f>IF(P$12=0,0,P86/P$12)</f>
        <v>0.18548634657281518</v>
      </c>
      <c r="S86" s="14"/>
      <c r="T86" s="22">
        <f>+T23-T25+T84</f>
        <v>112924.59435319999</v>
      </c>
      <c r="U86" s="14"/>
      <c r="V86" s="20">
        <f>IF(T$12=0,0,T86/T$12)</f>
        <v>0.2398568274282073</v>
      </c>
      <c r="W86" s="16"/>
      <c r="X86" s="22">
        <f>+P86-T86</f>
        <v>-37521.584353200044</v>
      </c>
      <c r="Y86" s="16"/>
      <c r="Z86" s="20">
        <f>IF(T86=0,0,X86/T86)</f>
        <v>-0.33227114578638095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6665.21</v>
      </c>
      <c r="E88" s="4"/>
      <c r="F88" s="12">
        <f>IF(D$12=0,0,D88/D$12)</f>
        <v>0.12157139344698853</v>
      </c>
      <c r="G88" s="4"/>
      <c r="H88" s="4">
        <v>11880</v>
      </c>
      <c r="I88" s="4"/>
      <c r="J88" s="12">
        <f>IF(H$12=0,0,H88/H$12)</f>
        <v>0.13813953488372094</v>
      </c>
      <c r="K88" s="4"/>
      <c r="L88" s="4">
        <f>+D88-H88</f>
        <v>-5214.79</v>
      </c>
      <c r="M88" s="4"/>
      <c r="N88" s="12">
        <f>IF(H88=0,0,L88/H88)</f>
        <v>-0.43895538720538718</v>
      </c>
      <c r="O88" s="10"/>
      <c r="P88" s="4">
        <v>43906.77</v>
      </c>
      <c r="Q88" s="4"/>
      <c r="R88" s="12">
        <f>IF(P$12=0,0,P88/P$12)</f>
        <v>0.10800770893778495</v>
      </c>
      <c r="S88" s="4"/>
      <c r="T88" s="4">
        <v>60646</v>
      </c>
      <c r="U88" s="4"/>
      <c r="V88" s="12">
        <f>IF(T$12=0,0,T88/T$12)</f>
        <v>0.12881478334749363</v>
      </c>
      <c r="W88" s="4"/>
      <c r="X88" s="4">
        <f>+P88-T88</f>
        <v>-16739.230000000003</v>
      </c>
      <c r="Y88" s="4"/>
      <c r="Z88" s="12">
        <f>IF(T88=0,0,X88/T88)</f>
        <v>-0.27601540085083937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1">
        <f>+D86-D88</f>
        <v>3610.2299999999914</v>
      </c>
      <c r="E90" s="14"/>
      <c r="F90" s="32">
        <f>IF(D$12=0,0,D90/D$12)</f>
        <v>6.5849491878593527E-2</v>
      </c>
      <c r="G90" s="14"/>
      <c r="H90" s="31">
        <f>+H86-H88</f>
        <v>19944.236612799999</v>
      </c>
      <c r="I90" s="14"/>
      <c r="J90" s="32">
        <f>IF(H$12=0,0,H90/H$12)</f>
        <v>0.23190972805581395</v>
      </c>
      <c r="K90" s="16"/>
      <c r="L90" s="31">
        <f>D90-H90</f>
        <v>-16334.006612800007</v>
      </c>
      <c r="M90" s="16"/>
      <c r="N90" s="32">
        <f>IF(H90=0,0,L90/H90)</f>
        <v>-0.81898379616680916</v>
      </c>
      <c r="O90" s="28"/>
      <c r="P90" s="31">
        <f>+P86-P88</f>
        <v>31496.239999999954</v>
      </c>
      <c r="Q90" s="14"/>
      <c r="R90" s="32">
        <f>IF(P$12=0,0,P90/P$12)</f>
        <v>7.7478637635030212E-2</v>
      </c>
      <c r="S90" s="14"/>
      <c r="T90" s="31">
        <f>+T86-T88</f>
        <v>52278.594353199995</v>
      </c>
      <c r="U90" s="14"/>
      <c r="V90" s="32">
        <f>IF(T$12=0,0,T90/T$12)</f>
        <v>0.11104204408071366</v>
      </c>
      <c r="W90" s="16"/>
      <c r="X90" s="31">
        <f>P90-T90</f>
        <v>-20782.35435320004</v>
      </c>
      <c r="Y90" s="16"/>
      <c r="Z90" s="32">
        <f>IF(T90=0,0,X90/T90)</f>
        <v>-0.39753085579907033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5">
        <f>SUM(D90:D92)</f>
        <v>3610.2299999999914</v>
      </c>
      <c r="E93" s="14"/>
      <c r="F93" s="34">
        <f>IF(D$12=0,0,D93/D$12)</f>
        <v>6.5849491878593527E-2</v>
      </c>
      <c r="G93" s="14"/>
      <c r="H93" s="35">
        <f>SUM(H90:H92)</f>
        <v>19944.236612799999</v>
      </c>
      <c r="I93" s="14"/>
      <c r="J93" s="34">
        <f>IF(H$12=0,0,H93/H$12)</f>
        <v>0.23190972805581395</v>
      </c>
      <c r="K93" s="16"/>
      <c r="L93" s="35">
        <f>+D93-H93</f>
        <v>-16334.006612800007</v>
      </c>
      <c r="M93" s="16"/>
      <c r="N93" s="34">
        <f>IF(H93=0,0,L93/H93)</f>
        <v>-0.81898379616680916</v>
      </c>
      <c r="O93" s="28"/>
      <c r="P93" s="35">
        <f>SUM(P90:P92)</f>
        <v>31496.239999999954</v>
      </c>
      <c r="Q93" s="14"/>
      <c r="R93" s="34">
        <f>IF(P$12=0,0,P93/P$12)</f>
        <v>7.7478637635030212E-2</v>
      </c>
      <c r="S93" s="14"/>
      <c r="T93" s="35">
        <f>SUM(T90:T92)</f>
        <v>52278.594353199995</v>
      </c>
      <c r="U93" s="14"/>
      <c r="V93" s="34">
        <f>IF(T$12=0,0,T93/T$12)</f>
        <v>0.11104204408071366</v>
      </c>
      <c r="W93" s="16"/>
      <c r="X93" s="35">
        <f>+P93-T93</f>
        <v>-20782.35435320004</v>
      </c>
      <c r="Y93" s="16"/>
      <c r="Z93" s="34">
        <f>IF(T93=0,0,X93/T93)</f>
        <v>-0.39753085579907033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3">
        <v>43847.446255439812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6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55170.100000000006</v>
      </c>
      <c r="E12" s="4"/>
      <c r="F12" s="12"/>
      <c r="G12" s="4"/>
      <c r="H12" s="4">
        <f>SUM(OSRRefH13x_0)</f>
        <v>69000</v>
      </c>
      <c r="I12" s="4"/>
      <c r="J12" s="12"/>
      <c r="K12" s="4"/>
      <c r="L12" s="4">
        <f t="shared" ref="L12:L15" si="0">+D12-H12</f>
        <v>-13829.899999999994</v>
      </c>
      <c r="M12" s="4"/>
      <c r="N12" s="12">
        <f t="shared" ref="N12:N15" si="1">IF(H12=0,0,L12/H12)</f>
        <v>-0.20043333333333324</v>
      </c>
      <c r="O12" s="10"/>
      <c r="P12" s="4">
        <f>SUM(OSRRefP13x_0)</f>
        <v>451944.1</v>
      </c>
      <c r="Q12" s="4"/>
      <c r="R12" s="12"/>
      <c r="S12" s="4"/>
      <c r="T12" s="4">
        <f>SUM(OSRRefT13x_0)</f>
        <v>482050</v>
      </c>
      <c r="U12" s="4"/>
      <c r="V12" s="12"/>
      <c r="W12" s="4"/>
      <c r="X12" s="4">
        <f t="shared" ref="X12:X15" si="2">+P12-T12</f>
        <v>-30105.900000000023</v>
      </c>
      <c r="Y12" s="4"/>
      <c r="Z12" s="12">
        <f t="shared" ref="Z12:Z15" si="3">IF(T12=0,0,X12/T12)</f>
        <v>-6.2453894824188408E-2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--17862.44</f>
        <v>17862.439999999999</v>
      </c>
      <c r="E13" s="2"/>
      <c r="F13" s="19"/>
      <c r="G13" s="2"/>
      <c r="H13" s="2"/>
      <c r="I13" s="2"/>
      <c r="J13" s="19"/>
      <c r="K13" s="2"/>
      <c r="L13" s="2">
        <f t="shared" si="0"/>
        <v>17862.439999999999</v>
      </c>
      <c r="M13" s="2"/>
      <c r="N13" s="19">
        <f t="shared" si="1"/>
        <v>0</v>
      </c>
      <c r="O13" s="11"/>
      <c r="P13" s="2">
        <f>--136597.24</f>
        <v>136597.24</v>
      </c>
      <c r="Q13" s="2"/>
      <c r="R13" s="19"/>
      <c r="S13" s="2"/>
      <c r="T13" s="2"/>
      <c r="U13" s="2"/>
      <c r="V13" s="19"/>
      <c r="W13" s="2"/>
      <c r="X13" s="2">
        <f t="shared" si="2"/>
        <v>136597.24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69000</v>
      </c>
      <c r="I14" s="2"/>
      <c r="J14" s="19"/>
      <c r="K14" s="2"/>
      <c r="L14" s="2">
        <f t="shared" si="0"/>
        <v>-69000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482050</v>
      </c>
      <c r="U14" s="2"/>
      <c r="V14" s="19"/>
      <c r="W14" s="2"/>
      <c r="X14" s="2">
        <f t="shared" si="2"/>
        <v>-482050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--37307.66</f>
        <v>37307.660000000003</v>
      </c>
      <c r="E15" s="2"/>
      <c r="F15" s="19"/>
      <c r="G15" s="2"/>
      <c r="H15" s="2"/>
      <c r="I15" s="2"/>
      <c r="J15" s="19"/>
      <c r="K15" s="2"/>
      <c r="L15" s="2">
        <f t="shared" si="0"/>
        <v>37307.660000000003</v>
      </c>
      <c r="M15" s="2"/>
      <c r="N15" s="19">
        <f t="shared" si="1"/>
        <v>0</v>
      </c>
      <c r="O15" s="11"/>
      <c r="P15" s="2">
        <f>--315346.86</f>
        <v>315346.86</v>
      </c>
      <c r="Q15" s="2"/>
      <c r="R15" s="19"/>
      <c r="S15" s="2"/>
      <c r="T15" s="2"/>
      <c r="U15" s="2"/>
      <c r="V15" s="19"/>
      <c r="W15" s="2"/>
      <c r="X15" s="2">
        <f t="shared" si="2"/>
        <v>315346.86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17782.25</v>
      </c>
      <c r="E17" s="4"/>
      <c r="F17" s="12">
        <f t="shared" ref="F17:F20" si="4">IF(D$12=0,0,D17/D$12)</f>
        <v>0.3223167984107333</v>
      </c>
      <c r="G17" s="4"/>
      <c r="H17" s="4">
        <f>SUM(OSRRefH16x_0)</f>
        <v>21500</v>
      </c>
      <c r="I17" s="4"/>
      <c r="J17" s="12">
        <f t="shared" ref="J17:J20" si="5">IF(H$12=0,0,H17/H$12)</f>
        <v>0.31159420289855072</v>
      </c>
      <c r="K17" s="4"/>
      <c r="L17" s="4">
        <f t="shared" ref="L17:L20" si="6">+D17-H17</f>
        <v>-3717.75</v>
      </c>
      <c r="M17" s="4"/>
      <c r="N17" s="12">
        <f t="shared" ref="N17:N20" si="7">IF(H17=0,0,L17/H17)</f>
        <v>-0.17291860465116279</v>
      </c>
      <c r="O17" s="10"/>
      <c r="P17" s="4">
        <f>SUM(OSRRefP16x_0)</f>
        <v>145629.57</v>
      </c>
      <c r="Q17" s="4"/>
      <c r="R17" s="12">
        <f t="shared" ref="R17:R20" si="8">IF(P$12=0,0,P17/P$12)</f>
        <v>0.3222291650670957</v>
      </c>
      <c r="S17" s="4"/>
      <c r="T17" s="4">
        <f>SUM(OSRRefT16x_0)</f>
        <v>165100</v>
      </c>
      <c r="U17" s="4"/>
      <c r="V17" s="12">
        <f t="shared" ref="V17:V20" si="9">IF(T$12=0,0,T17/T$12)</f>
        <v>0.34249559174359506</v>
      </c>
      <c r="W17" s="4"/>
      <c r="X17" s="4">
        <f t="shared" ref="X17:X20" si="10">+P17-T17</f>
        <v>-19470.429999999993</v>
      </c>
      <c r="Y17" s="4"/>
      <c r="Z17" s="12">
        <f t="shared" ref="Z17:Z20" si="11">IF(T17=0,0,X17/T17)</f>
        <v>-0.11793113264688064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21500</v>
      </c>
      <c r="I18" s="2"/>
      <c r="J18" s="19">
        <f t="shared" si="5"/>
        <v>0.31159420289855072</v>
      </c>
      <c r="K18" s="2"/>
      <c r="L18" s="2">
        <f t="shared" si="6"/>
        <v>-21500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165100</v>
      </c>
      <c r="U18" s="2"/>
      <c r="V18" s="19">
        <f t="shared" si="9"/>
        <v>0.34249559174359506</v>
      </c>
      <c r="W18" s="2"/>
      <c r="X18" s="2">
        <f t="shared" si="10"/>
        <v>-165100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17149.25</v>
      </c>
      <c r="E19" s="2"/>
      <c r="F19" s="19">
        <f t="shared" si="4"/>
        <v>0.31084319223637435</v>
      </c>
      <c r="G19" s="2"/>
      <c r="H19" s="2"/>
      <c r="I19" s="2"/>
      <c r="J19" s="19">
        <f t="shared" si="5"/>
        <v>0</v>
      </c>
      <c r="K19" s="2"/>
      <c r="L19" s="2">
        <f t="shared" si="6"/>
        <v>17149.25</v>
      </c>
      <c r="M19" s="2"/>
      <c r="N19" s="19">
        <f t="shared" si="7"/>
        <v>0</v>
      </c>
      <c r="O19" s="11"/>
      <c r="P19" s="2">
        <v>144336.57</v>
      </c>
      <c r="Q19" s="2"/>
      <c r="R19" s="19">
        <f t="shared" si="8"/>
        <v>0.3193681917741597</v>
      </c>
      <c r="S19" s="2"/>
      <c r="T19" s="2"/>
      <c r="U19" s="2"/>
      <c r="V19" s="19">
        <f t="shared" si="9"/>
        <v>0</v>
      </c>
      <c r="W19" s="2"/>
      <c r="X19" s="2">
        <f t="shared" si="10"/>
        <v>144336.57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633</v>
      </c>
      <c r="E20" s="2"/>
      <c r="F20" s="19">
        <f t="shared" si="4"/>
        <v>1.1473606174358936E-2</v>
      </c>
      <c r="G20" s="2"/>
      <c r="H20" s="2"/>
      <c r="I20" s="2"/>
      <c r="J20" s="19">
        <f t="shared" si="5"/>
        <v>0</v>
      </c>
      <c r="K20" s="2"/>
      <c r="L20" s="2">
        <f t="shared" si="6"/>
        <v>633</v>
      </c>
      <c r="M20" s="2"/>
      <c r="N20" s="19">
        <f t="shared" si="7"/>
        <v>0</v>
      </c>
      <c r="O20" s="11"/>
      <c r="P20" s="2">
        <v>1293</v>
      </c>
      <c r="Q20" s="2"/>
      <c r="R20" s="19">
        <f t="shared" si="8"/>
        <v>2.8609732929360072E-3</v>
      </c>
      <c r="S20" s="2"/>
      <c r="T20" s="2"/>
      <c r="U20" s="2"/>
      <c r="V20" s="19">
        <f t="shared" si="9"/>
        <v>0</v>
      </c>
      <c r="W20" s="2"/>
      <c r="X20" s="2">
        <f t="shared" si="10"/>
        <v>1293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37387.850000000006</v>
      </c>
      <c r="E22" s="14"/>
      <c r="F22" s="20">
        <f>IF(D$12=0,0,D22/D$12)</f>
        <v>0.67768320158926665</v>
      </c>
      <c r="G22" s="14"/>
      <c r="H22" s="22">
        <f>H12-H17</f>
        <v>47500</v>
      </c>
      <c r="I22" s="14"/>
      <c r="J22" s="20">
        <f>IF(H$12=0,0,H22/H$12)</f>
        <v>0.68840579710144922</v>
      </c>
      <c r="K22" s="16"/>
      <c r="L22" s="22">
        <f>+D22-H22</f>
        <v>-10112.149999999994</v>
      </c>
      <c r="M22" s="16"/>
      <c r="N22" s="20">
        <f>IF(H22=0,0,L22/H22)</f>
        <v>-0.21288736842105252</v>
      </c>
      <c r="O22" s="28"/>
      <c r="P22" s="22">
        <f>P12-P17</f>
        <v>306314.52999999997</v>
      </c>
      <c r="Q22" s="14"/>
      <c r="R22" s="20">
        <f>IF(P$12=0,0,P22/P$12)</f>
        <v>0.67777083493290424</v>
      </c>
      <c r="S22" s="14"/>
      <c r="T22" s="22">
        <f>T12-T17</f>
        <v>316950</v>
      </c>
      <c r="U22" s="14"/>
      <c r="V22" s="20">
        <f>IF(T$12=0,0,T22/T$12)</f>
        <v>0.65750440825640488</v>
      </c>
      <c r="W22" s="16"/>
      <c r="X22" s="22">
        <f>+P22-T22</f>
        <v>-10635.47000000003</v>
      </c>
      <c r="Y22" s="16"/>
      <c r="Z22" s="20">
        <f>IF(T22=0,0,X22/T22)</f>
        <v>-3.355567124152084E-2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71596.25</v>
      </c>
      <c r="E24" s="21"/>
      <c r="F24" s="30">
        <f t="shared" ref="F24:F34" si="12">IF(D$12=0,0,D24/D$12)</f>
        <v>1.2977364550725845</v>
      </c>
      <c r="G24" s="21"/>
      <c r="H24" s="21">
        <f>SUM(OSRRefH22x_0)</f>
        <v>57735.065614153849</v>
      </c>
      <c r="I24" s="21"/>
      <c r="J24" s="30">
        <f t="shared" ref="J24:J34" si="13">IF(H$12=0,0,H24/H$12)</f>
        <v>0.83674008136454858</v>
      </c>
      <c r="K24" s="4"/>
      <c r="L24" s="21">
        <f t="shared" ref="L24:L34" si="14">+D24-H24</f>
        <v>13861.184385846151</v>
      </c>
      <c r="M24" s="4"/>
      <c r="N24" s="30">
        <f t="shared" ref="N24:N34" si="15">IF(H24=0,0,L24/H24)</f>
        <v>0.24008259518541289</v>
      </c>
      <c r="O24" s="10"/>
      <c r="P24" s="21">
        <f>SUM(OSRRefP22x_0)</f>
        <v>425177.25</v>
      </c>
      <c r="Q24" s="21"/>
      <c r="R24" s="30">
        <f t="shared" ref="R24:R34" si="16">IF(P$12=0,0,P24/P$12)</f>
        <v>0.94077398067592877</v>
      </c>
      <c r="S24" s="21"/>
      <c r="T24" s="21">
        <f>SUM(OSRRefT22x_0)</f>
        <v>386869.06498261541</v>
      </c>
      <c r="U24" s="21"/>
      <c r="V24" s="30">
        <f t="shared" ref="V24:V34" si="17">IF(T$12=0,0,T24/T$12)</f>
        <v>0.80254966286197571</v>
      </c>
      <c r="W24" s="4"/>
      <c r="X24" s="21">
        <f t="shared" ref="X24:X34" si="18">+P24-T24</f>
        <v>38308.185017384589</v>
      </c>
      <c r="Y24" s="4"/>
      <c r="Z24" s="30">
        <f t="shared" ref="Z24:Z34" si="19">IF(T24=0,0,X24/T24)</f>
        <v>9.9021060314310808E-2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7417.6</v>
      </c>
      <c r="E25" s="1"/>
      <c r="F25" s="5">
        <f t="shared" si="12"/>
        <v>0.13444963848171382</v>
      </c>
      <c r="G25" s="1"/>
      <c r="H25" s="1">
        <f>SUM(OSRRefH22_0x_0)</f>
        <v>5889.3525372307731</v>
      </c>
      <c r="I25" s="1"/>
      <c r="J25" s="5">
        <f t="shared" si="13"/>
        <v>8.5352935322185117E-2</v>
      </c>
      <c r="K25" s="1"/>
      <c r="L25" s="1">
        <f t="shared" si="14"/>
        <v>1528.2474627692272</v>
      </c>
      <c r="M25" s="1"/>
      <c r="N25" s="5">
        <f t="shared" si="15"/>
        <v>0.25949328947589595</v>
      </c>
      <c r="O25" s="13"/>
      <c r="P25" s="1">
        <f>SUM(OSRRefP22_0x_0)</f>
        <v>49381.210000000006</v>
      </c>
      <c r="Q25" s="1"/>
      <c r="R25" s="5">
        <f t="shared" si="16"/>
        <v>0.10926397755828654</v>
      </c>
      <c r="S25" s="1"/>
      <c r="T25" s="1">
        <f>SUM(OSRRefT22_0x_0)</f>
        <v>43889.847482615405</v>
      </c>
      <c r="U25" s="1"/>
      <c r="V25" s="5">
        <f t="shared" si="17"/>
        <v>9.1048330012686252E-2</v>
      </c>
      <c r="W25" s="1"/>
      <c r="X25" s="1">
        <f t="shared" si="18"/>
        <v>5491.3625173846012</v>
      </c>
      <c r="Y25" s="1"/>
      <c r="Z25" s="5">
        <f t="shared" si="19"/>
        <v>0.12511691956914883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1134.81</v>
      </c>
      <c r="E26" s="2"/>
      <c r="F26" s="7">
        <f t="shared" si="12"/>
        <v>2.0569293874761869E-2</v>
      </c>
      <c r="G26" s="2"/>
      <c r="H26" s="6">
        <v>563.665820307692</v>
      </c>
      <c r="I26" s="2"/>
      <c r="J26" s="7">
        <f t="shared" si="13"/>
        <v>8.169069859531768E-3</v>
      </c>
      <c r="K26" s="2"/>
      <c r="L26" s="6">
        <f t="shared" si="14"/>
        <v>571.14417969230794</v>
      </c>
      <c r="M26" s="2"/>
      <c r="N26" s="7">
        <f t="shared" si="15"/>
        <v>1.0132673635959222</v>
      </c>
      <c r="O26" s="11"/>
      <c r="P26" s="6">
        <v>8652.19</v>
      </c>
      <c r="Q26" s="2"/>
      <c r="R26" s="7">
        <f t="shared" si="16"/>
        <v>1.9144380909054907E-2</v>
      </c>
      <c r="S26" s="2"/>
      <c r="T26" s="6">
        <v>4859.9305079999958</v>
      </c>
      <c r="U26" s="2"/>
      <c r="V26" s="7">
        <f t="shared" si="17"/>
        <v>1.0081797547972194E-2</v>
      </c>
      <c r="W26" s="2"/>
      <c r="X26" s="6">
        <f t="shared" si="18"/>
        <v>3792.2594920000047</v>
      </c>
      <c r="Y26" s="2"/>
      <c r="Z26" s="7">
        <f t="shared" si="19"/>
        <v>0.78031146448648103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1156.3599999999999</v>
      </c>
      <c r="E27" s="2"/>
      <c r="F27" s="7">
        <f t="shared" si="12"/>
        <v>2.0959904005974247E-2</v>
      </c>
      <c r="G27" s="2"/>
      <c r="H27" s="6">
        <v>853.61134153846206</v>
      </c>
      <c r="I27" s="2"/>
      <c r="J27" s="7">
        <f t="shared" si="13"/>
        <v>1.2371178862876262E-2</v>
      </c>
      <c r="K27" s="2"/>
      <c r="L27" s="6">
        <f t="shared" si="14"/>
        <v>302.74865846153784</v>
      </c>
      <c r="M27" s="2"/>
      <c r="N27" s="7">
        <f t="shared" si="15"/>
        <v>0.35466803652806972</v>
      </c>
      <c r="O27" s="11"/>
      <c r="P27" s="6">
        <v>4320.75</v>
      </c>
      <c r="Q27" s="2"/>
      <c r="R27" s="7">
        <f t="shared" si="16"/>
        <v>9.5603637706521676E-3</v>
      </c>
      <c r="S27" s="2"/>
      <c r="T27" s="6">
        <v>6085.3667800000012</v>
      </c>
      <c r="U27" s="2"/>
      <c r="V27" s="7">
        <f t="shared" si="17"/>
        <v>1.2623932745565815E-2</v>
      </c>
      <c r="W27" s="2"/>
      <c r="X27" s="6">
        <f t="shared" si="18"/>
        <v>-1764.6167800000012</v>
      </c>
      <c r="Y27" s="2"/>
      <c r="Z27" s="7">
        <f t="shared" si="19"/>
        <v>-0.2899770619906662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3090.03</v>
      </c>
      <c r="E28" s="2"/>
      <c r="F28" s="7">
        <f t="shared" si="12"/>
        <v>5.600914263341919E-2</v>
      </c>
      <c r="G28" s="2"/>
      <c r="H28" s="6">
        <v>2475.95384615385</v>
      </c>
      <c r="I28" s="2"/>
      <c r="J28" s="7">
        <f t="shared" si="13"/>
        <v>3.5883389074693475E-2</v>
      </c>
      <c r="K28" s="2"/>
      <c r="L28" s="6">
        <f t="shared" si="14"/>
        <v>614.07615384615019</v>
      </c>
      <c r="M28" s="2"/>
      <c r="N28" s="7">
        <f t="shared" si="15"/>
        <v>0.24801599383609549</v>
      </c>
      <c r="O28" s="11"/>
      <c r="P28" s="6">
        <v>18540.5</v>
      </c>
      <c r="Q28" s="2"/>
      <c r="R28" s="7">
        <f t="shared" si="16"/>
        <v>4.1023878838112947E-2</v>
      </c>
      <c r="S28" s="2"/>
      <c r="T28" s="6">
        <v>19189.9153846154</v>
      </c>
      <c r="U28" s="2"/>
      <c r="V28" s="7">
        <f t="shared" si="17"/>
        <v>3.9808972896204546E-2</v>
      </c>
      <c r="W28" s="2"/>
      <c r="X28" s="6">
        <f t="shared" si="18"/>
        <v>-649.4153846154004</v>
      </c>
      <c r="Y28" s="2"/>
      <c r="Z28" s="7">
        <f t="shared" si="19"/>
        <v>-3.3841492867448399E-2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77.489999999999995</v>
      </c>
      <c r="E29" s="2"/>
      <c r="F29" s="7">
        <f t="shared" si="12"/>
        <v>1.4045651539511435E-3</v>
      </c>
      <c r="G29" s="2"/>
      <c r="H29" s="6">
        <v>57.200760000000002</v>
      </c>
      <c r="I29" s="2"/>
      <c r="J29" s="7">
        <f t="shared" si="13"/>
        <v>8.2899652173913044E-4</v>
      </c>
      <c r="K29" s="2"/>
      <c r="L29" s="6">
        <f t="shared" si="14"/>
        <v>20.289239999999992</v>
      </c>
      <c r="M29" s="2"/>
      <c r="N29" s="7">
        <f t="shared" si="15"/>
        <v>0.35470228017949396</v>
      </c>
      <c r="O29" s="11"/>
      <c r="P29" s="6">
        <v>388.13</v>
      </c>
      <c r="Q29" s="2"/>
      <c r="R29" s="7">
        <f t="shared" si="16"/>
        <v>8.5880090037683868E-4</v>
      </c>
      <c r="S29" s="2"/>
      <c r="T29" s="6">
        <v>407.78231</v>
      </c>
      <c r="U29" s="2"/>
      <c r="V29" s="7">
        <f t="shared" si="17"/>
        <v>8.4593363758946169E-4</v>
      </c>
      <c r="W29" s="2"/>
      <c r="X29" s="6">
        <f t="shared" si="18"/>
        <v>-19.65231</v>
      </c>
      <c r="Y29" s="2"/>
      <c r="Z29" s="7">
        <f t="shared" si="19"/>
        <v>-4.819314010948636E-2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523.63</v>
      </c>
      <c r="E30" s="2"/>
      <c r="F30" s="7">
        <f t="shared" si="12"/>
        <v>9.4911917868555594E-3</v>
      </c>
      <c r="G30" s="2"/>
      <c r="H30" s="6">
        <v>463.34153846153902</v>
      </c>
      <c r="I30" s="2"/>
      <c r="J30" s="7">
        <f t="shared" si="13"/>
        <v>6.71509476031216E-3</v>
      </c>
      <c r="K30" s="2"/>
      <c r="L30" s="6">
        <f t="shared" si="14"/>
        <v>60.288461538460979</v>
      </c>
      <c r="M30" s="2"/>
      <c r="N30" s="7">
        <f t="shared" si="15"/>
        <v>0.13011667751318048</v>
      </c>
      <c r="O30" s="11"/>
      <c r="P30" s="6">
        <v>3690.71</v>
      </c>
      <c r="Q30" s="2"/>
      <c r="R30" s="7">
        <f t="shared" si="16"/>
        <v>8.1662975575961718E-3</v>
      </c>
      <c r="S30" s="2"/>
      <c r="T30" s="6">
        <v>3011.7200000000021</v>
      </c>
      <c r="U30" s="2"/>
      <c r="V30" s="7">
        <f t="shared" si="17"/>
        <v>6.2477336375894657E-3</v>
      </c>
      <c r="W30" s="2"/>
      <c r="X30" s="6">
        <f t="shared" si="18"/>
        <v>678.98999999999796</v>
      </c>
      <c r="Y30" s="2"/>
      <c r="Z30" s="7">
        <f t="shared" si="19"/>
        <v>0.2254492449497289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714.17</v>
      </c>
      <c r="E32" s="2"/>
      <c r="F32" s="7">
        <f t="shared" si="12"/>
        <v>1.2944874125658644E-2</v>
      </c>
      <c r="G32" s="2"/>
      <c r="H32" s="6">
        <v>368.26461538461501</v>
      </c>
      <c r="I32" s="2"/>
      <c r="J32" s="7">
        <f t="shared" si="13"/>
        <v>5.3371683389074644E-3</v>
      </c>
      <c r="K32" s="2"/>
      <c r="L32" s="6">
        <f t="shared" si="14"/>
        <v>345.90538461538495</v>
      </c>
      <c r="M32" s="2"/>
      <c r="N32" s="7">
        <f t="shared" si="15"/>
        <v>0.93928487876610645</v>
      </c>
      <c r="O32" s="11"/>
      <c r="P32" s="6">
        <v>5817.57</v>
      </c>
      <c r="Q32" s="2"/>
      <c r="R32" s="7">
        <f t="shared" si="16"/>
        <v>1.2872322041597623E-2</v>
      </c>
      <c r="S32" s="2"/>
      <c r="T32" s="6">
        <v>2735.679999999998</v>
      </c>
      <c r="U32" s="2"/>
      <c r="V32" s="7">
        <f t="shared" si="17"/>
        <v>5.6750959444041033E-3</v>
      </c>
      <c r="W32" s="2"/>
      <c r="X32" s="6">
        <f t="shared" si="18"/>
        <v>3081.8900000000017</v>
      </c>
      <c r="Y32" s="2"/>
      <c r="Z32" s="7">
        <f t="shared" si="19"/>
        <v>1.1265535442741856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392.9</v>
      </c>
      <c r="E33" s="2"/>
      <c r="F33" s="7">
        <f t="shared" si="12"/>
        <v>7.121611162568129E-3</v>
      </c>
      <c r="G33" s="2"/>
      <c r="H33" s="6">
        <v>807.31461538461497</v>
      </c>
      <c r="I33" s="2"/>
      <c r="J33" s="7">
        <f t="shared" si="13"/>
        <v>1.1700211817168333E-2</v>
      </c>
      <c r="K33" s="2"/>
      <c r="L33" s="6">
        <f t="shared" si="14"/>
        <v>-414.41461538461499</v>
      </c>
      <c r="M33" s="2"/>
      <c r="N33" s="7">
        <f t="shared" si="15"/>
        <v>-0.51332480235996047</v>
      </c>
      <c r="O33" s="11"/>
      <c r="P33" s="6">
        <v>5996.78</v>
      </c>
      <c r="Q33" s="2"/>
      <c r="R33" s="7">
        <f t="shared" si="16"/>
        <v>1.3268853382531158E-2</v>
      </c>
      <c r="S33" s="2"/>
      <c r="T33" s="6">
        <v>5799.452500000004</v>
      </c>
      <c r="U33" s="2"/>
      <c r="V33" s="7">
        <f t="shared" si="17"/>
        <v>1.2030811119178517E-2</v>
      </c>
      <c r="W33" s="2"/>
      <c r="X33" s="6">
        <f t="shared" si="18"/>
        <v>197.32749999999578</v>
      </c>
      <c r="Y33" s="2"/>
      <c r="Z33" s="7">
        <f t="shared" si="19"/>
        <v>3.402519461966378E-2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328.21</v>
      </c>
      <c r="E34" s="2"/>
      <c r="F34" s="7">
        <f t="shared" si="12"/>
        <v>5.9490557385250336E-3</v>
      </c>
      <c r="G34" s="2"/>
      <c r="H34" s="6">
        <v>300</v>
      </c>
      <c r="I34" s="2"/>
      <c r="J34" s="7">
        <f t="shared" si="13"/>
        <v>4.3478260869565218E-3</v>
      </c>
      <c r="K34" s="2"/>
      <c r="L34" s="6">
        <f t="shared" si="14"/>
        <v>28.20999999999998</v>
      </c>
      <c r="M34" s="2"/>
      <c r="N34" s="7">
        <f t="shared" si="15"/>
        <v>9.403333333333326E-2</v>
      </c>
      <c r="O34" s="11"/>
      <c r="P34" s="6">
        <v>1974.58</v>
      </c>
      <c r="Q34" s="2"/>
      <c r="R34" s="7">
        <f t="shared" si="16"/>
        <v>4.3690801583647181E-3</v>
      </c>
      <c r="S34" s="2"/>
      <c r="T34" s="6">
        <v>1800</v>
      </c>
      <c r="U34" s="2"/>
      <c r="V34" s="7">
        <f t="shared" si="17"/>
        <v>3.7340524841821387E-3</v>
      </c>
      <c r="W34" s="2"/>
      <c r="X34" s="6">
        <f t="shared" si="18"/>
        <v>174.57999999999993</v>
      </c>
      <c r="Y34" s="2"/>
      <c r="Z34" s="7">
        <f t="shared" si="19"/>
        <v>9.6988888888888847E-2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18348.879999999997</v>
      </c>
      <c r="E35" s="1"/>
      <c r="F35" s="5">
        <f t="shared" ref="F35:F45" si="20">IF(D$12=0,0,D35/D$12)</f>
        <v>0.33258739788399866</v>
      </c>
      <c r="G35" s="1"/>
      <c r="H35" s="1">
        <f>SUM(OSRRefH22_1x_0)</f>
        <v>20824.713076923079</v>
      </c>
      <c r="I35" s="1"/>
      <c r="J35" s="5">
        <f t="shared" ref="J35:J45" si="21">IF(H$12=0,0,H35/H$12)</f>
        <v>0.30180743589743592</v>
      </c>
      <c r="K35" s="1"/>
      <c r="L35" s="1">
        <f t="shared" ref="L35:L45" si="22">+D35-H35</f>
        <v>-2475.8330769230815</v>
      </c>
      <c r="M35" s="1"/>
      <c r="N35" s="5">
        <f t="shared" ref="N35:N45" si="23">IF(H35=0,0,L35/H35)</f>
        <v>-0.11888918074298357</v>
      </c>
      <c r="O35" s="13"/>
      <c r="P35" s="1">
        <f>SUM(OSRRefP22_1x_0)</f>
        <v>142555.15</v>
      </c>
      <c r="Q35" s="1"/>
      <c r="R35" s="5">
        <f t="shared" ref="R35:R45" si="24">IF(P$12=0,0,P35/P$12)</f>
        <v>0.31542650960594465</v>
      </c>
      <c r="S35" s="1"/>
      <c r="T35" s="1">
        <f>SUM(OSRRefT22_1x_0)</f>
        <v>148304.21750000003</v>
      </c>
      <c r="U35" s="1"/>
      <c r="V35" s="5">
        <f t="shared" ref="V35:V45" si="25">IF(T$12=0,0,T35/T$12)</f>
        <v>0.30765318431697963</v>
      </c>
      <c r="W35" s="1"/>
      <c r="X35" s="1">
        <f t="shared" ref="X35:X45" si="26">+P35-T35</f>
        <v>-5749.0675000000338</v>
      </c>
      <c r="Y35" s="1"/>
      <c r="Z35" s="5">
        <f t="shared" ref="Z35:Z45" si="27">IF(T35=0,0,X35/T35)</f>
        <v>-3.8765367545936666E-2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4610.76</v>
      </c>
      <c r="E37" s="2"/>
      <c r="F37" s="7">
        <f t="shared" si="20"/>
        <v>8.3573529864908708E-2</v>
      </c>
      <c r="G37" s="2"/>
      <c r="H37" s="6">
        <v>4848.9230769230799</v>
      </c>
      <c r="I37" s="2"/>
      <c r="J37" s="7">
        <f t="shared" si="21"/>
        <v>7.0274247491638839E-2</v>
      </c>
      <c r="K37" s="2"/>
      <c r="L37" s="6">
        <f t="shared" si="22"/>
        <v>-238.16307692307964</v>
      </c>
      <c r="M37" s="2"/>
      <c r="N37" s="7">
        <f t="shared" si="23"/>
        <v>-4.9116695221778563E-2</v>
      </c>
      <c r="O37" s="11"/>
      <c r="P37" s="6">
        <v>31215.09</v>
      </c>
      <c r="Q37" s="2"/>
      <c r="R37" s="7">
        <f t="shared" si="24"/>
        <v>6.9068475503939533E-2</v>
      </c>
      <c r="S37" s="2"/>
      <c r="T37" s="6">
        <v>31518.000000000018</v>
      </c>
      <c r="U37" s="2"/>
      <c r="V37" s="7">
        <f t="shared" si="25"/>
        <v>6.5383258998029284E-2</v>
      </c>
      <c r="W37" s="2"/>
      <c r="X37" s="6">
        <f t="shared" si="26"/>
        <v>-302.91000000001804</v>
      </c>
      <c r="Y37" s="2"/>
      <c r="Z37" s="7">
        <f t="shared" si="27"/>
        <v>-9.6106986483919625E-3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>
        <v>2716.16</v>
      </c>
      <c r="E39" s="2"/>
      <c r="F39" s="7">
        <f t="shared" si="20"/>
        <v>4.923246468648778E-2</v>
      </c>
      <c r="G39" s="2"/>
      <c r="H39" s="6">
        <v>1779.84</v>
      </c>
      <c r="I39" s="2"/>
      <c r="J39" s="7">
        <f t="shared" si="21"/>
        <v>2.5794782608695652E-2</v>
      </c>
      <c r="K39" s="2"/>
      <c r="L39" s="6">
        <f t="shared" si="22"/>
        <v>936.31999999999994</v>
      </c>
      <c r="M39" s="2"/>
      <c r="N39" s="7">
        <f t="shared" si="23"/>
        <v>0.52606975907946785</v>
      </c>
      <c r="O39" s="11"/>
      <c r="P39" s="6">
        <v>19705.449999999997</v>
      </c>
      <c r="Q39" s="2"/>
      <c r="R39" s="7">
        <f t="shared" si="24"/>
        <v>4.3601520630538154E-2</v>
      </c>
      <c r="S39" s="2"/>
      <c r="T39" s="6">
        <v>17724.240000000002</v>
      </c>
      <c r="U39" s="2"/>
      <c r="V39" s="7">
        <f t="shared" si="25"/>
        <v>3.676846800124469E-2</v>
      </c>
      <c r="W39" s="2"/>
      <c r="X39" s="6">
        <f t="shared" si="26"/>
        <v>1981.2099999999955</v>
      </c>
      <c r="Y39" s="2"/>
      <c r="Z39" s="7">
        <f t="shared" si="27"/>
        <v>0.111779687027483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6301.13</v>
      </c>
      <c r="E40" s="2"/>
      <c r="F40" s="7">
        <f t="shared" si="20"/>
        <v>0.11421277104808582</v>
      </c>
      <c r="G40" s="2"/>
      <c r="H40" s="6">
        <v>8848.8249999999989</v>
      </c>
      <c r="I40" s="2"/>
      <c r="J40" s="7">
        <f t="shared" si="21"/>
        <v>0.12824384057971014</v>
      </c>
      <c r="K40" s="2"/>
      <c r="L40" s="6">
        <f t="shared" si="22"/>
        <v>-2547.6949999999988</v>
      </c>
      <c r="M40" s="2"/>
      <c r="N40" s="7">
        <f t="shared" si="23"/>
        <v>-0.2879133670289557</v>
      </c>
      <c r="O40" s="11"/>
      <c r="P40" s="6">
        <v>45616.43</v>
      </c>
      <c r="Q40" s="2"/>
      <c r="R40" s="7">
        <f t="shared" si="24"/>
        <v>0.10093378805033631</v>
      </c>
      <c r="S40" s="2"/>
      <c r="T40" s="6">
        <v>54811.79</v>
      </c>
      <c r="U40" s="2"/>
      <c r="V40" s="7">
        <f t="shared" si="25"/>
        <v>0.11370561145109429</v>
      </c>
      <c r="W40" s="2"/>
      <c r="X40" s="6">
        <f t="shared" si="26"/>
        <v>-9195.36</v>
      </c>
      <c r="Y40" s="2"/>
      <c r="Z40" s="7">
        <f t="shared" si="27"/>
        <v>-0.16776244672907054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4.4363893676231198E-4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4720.83</v>
      </c>
      <c r="E42" s="2"/>
      <c r="F42" s="7">
        <f t="shared" si="20"/>
        <v>8.5568632284516416E-2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4720.83</v>
      </c>
      <c r="M42" s="2"/>
      <c r="N42" s="7">
        <f t="shared" si="23"/>
        <v>0</v>
      </c>
      <c r="O42" s="11"/>
      <c r="P42" s="6">
        <v>45817.68</v>
      </c>
      <c r="Q42" s="2"/>
      <c r="R42" s="7">
        <f t="shared" si="24"/>
        <v>0.10137908648436832</v>
      </c>
      <c r="S42" s="2"/>
      <c r="T42" s="6">
        <v>8526.2999999999993</v>
      </c>
      <c r="U42" s="2"/>
      <c r="V42" s="7">
        <f t="shared" si="25"/>
        <v>1.7687584275490092E-2</v>
      </c>
      <c r="W42" s="2"/>
      <c r="X42" s="6">
        <f t="shared" si="26"/>
        <v>37291.380000000005</v>
      </c>
      <c r="Y42" s="2"/>
      <c r="Z42" s="7">
        <f t="shared" si="27"/>
        <v>4.3736884697934633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5347.125</v>
      </c>
      <c r="I43" s="2"/>
      <c r="J43" s="7">
        <f t="shared" si="21"/>
        <v>7.7494565217391301E-2</v>
      </c>
      <c r="K43" s="2"/>
      <c r="L43" s="6">
        <f t="shared" si="22"/>
        <v>-5347.125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35723.887500000004</v>
      </c>
      <c r="U43" s="2"/>
      <c r="V43" s="7">
        <f t="shared" si="25"/>
        <v>7.4108261591121258E-2</v>
      </c>
      <c r="W43" s="2"/>
      <c r="X43" s="6">
        <f t="shared" si="26"/>
        <v>-35723.887500000004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552.72</v>
      </c>
      <c r="E46" s="1"/>
      <c r="F46" s="5">
        <f t="shared" ref="F46:F55" si="28">IF(D$12=0,0,D46/D$12)</f>
        <v>1.0018470149591898E-2</v>
      </c>
      <c r="G46" s="1"/>
      <c r="H46" s="1">
        <f>SUM(OSRRefH22_2x_0)</f>
        <v>75</v>
      </c>
      <c r="I46" s="1"/>
      <c r="J46" s="5">
        <f t="shared" ref="J46:J55" si="29">IF(H$12=0,0,H46/H$12)</f>
        <v>1.0869565217391304E-3</v>
      </c>
      <c r="K46" s="1"/>
      <c r="L46" s="1">
        <f t="shared" ref="L46:L55" si="30">+D46-H46</f>
        <v>477.72</v>
      </c>
      <c r="M46" s="1"/>
      <c r="N46" s="5">
        <f t="shared" ref="N46:N55" si="31">IF(H46=0,0,L46/H46)</f>
        <v>6.3696000000000002</v>
      </c>
      <c r="O46" s="13"/>
      <c r="P46" s="1">
        <f>SUM(OSRRefP22_2x_0)</f>
        <v>3794.37</v>
      </c>
      <c r="Q46" s="1"/>
      <c r="R46" s="5">
        <f t="shared" ref="R46:R55" si="32">IF(P$12=0,0,P46/P$12)</f>
        <v>8.395662206896826E-3</v>
      </c>
      <c r="S46" s="1"/>
      <c r="T46" s="1">
        <f>SUM(OSRRefT22_2x_0)</f>
        <v>1450</v>
      </c>
      <c r="U46" s="1"/>
      <c r="V46" s="5">
        <f t="shared" ref="V46:V55" si="33">IF(T$12=0,0,T46/T$12)</f>
        <v>3.0079867233689453E-3</v>
      </c>
      <c r="W46" s="1"/>
      <c r="X46" s="1">
        <f t="shared" ref="X46:X55" si="34">+P46-T46</f>
        <v>2344.37</v>
      </c>
      <c r="Y46" s="1"/>
      <c r="Z46" s="5">
        <f t="shared" ref="Z46:Z55" si="35">IF(T46=0,0,X46/T46)</f>
        <v>1.6168068965517242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>
        <v>552.72</v>
      </c>
      <c r="E47" s="2"/>
      <c r="F47" s="7">
        <f t="shared" si="28"/>
        <v>1.0018470149591898E-2</v>
      </c>
      <c r="G47" s="2"/>
      <c r="H47" s="6">
        <v>75</v>
      </c>
      <c r="I47" s="2"/>
      <c r="J47" s="7">
        <f t="shared" si="29"/>
        <v>1.0869565217391304E-3</v>
      </c>
      <c r="K47" s="2"/>
      <c r="L47" s="6">
        <f t="shared" si="30"/>
        <v>477.72</v>
      </c>
      <c r="M47" s="2"/>
      <c r="N47" s="7">
        <f t="shared" si="31"/>
        <v>6.3696000000000002</v>
      </c>
      <c r="O47" s="11"/>
      <c r="P47" s="6">
        <v>3794.37</v>
      </c>
      <c r="Q47" s="2"/>
      <c r="R47" s="7">
        <f t="shared" si="32"/>
        <v>8.395662206896826E-3</v>
      </c>
      <c r="S47" s="2"/>
      <c r="T47" s="6">
        <v>1450</v>
      </c>
      <c r="U47" s="2"/>
      <c r="V47" s="7">
        <f t="shared" si="33"/>
        <v>3.0079867233689453E-3</v>
      </c>
      <c r="W47" s="2"/>
      <c r="X47" s="6">
        <f t="shared" si="34"/>
        <v>2344.37</v>
      </c>
      <c r="Y47" s="2"/>
      <c r="Z47" s="7">
        <f t="shared" si="35"/>
        <v>1.6168068965517242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-5.72</v>
      </c>
      <c r="E48" s="1"/>
      <c r="F48" s="5">
        <f t="shared" si="28"/>
        <v>-1.0367934805265894E-4</v>
      </c>
      <c r="G48" s="1"/>
      <c r="H48" s="1">
        <f>SUM(OSRRefH22_3x_0)</f>
        <v>10</v>
      </c>
      <c r="I48" s="1"/>
      <c r="J48" s="5">
        <f t="shared" si="29"/>
        <v>1.4492753623188405E-4</v>
      </c>
      <c r="K48" s="1"/>
      <c r="L48" s="1">
        <f t="shared" si="30"/>
        <v>-15.719999999999999</v>
      </c>
      <c r="M48" s="1"/>
      <c r="N48" s="5">
        <f t="shared" si="31"/>
        <v>-1.5719999999999998</v>
      </c>
      <c r="O48" s="13"/>
      <c r="P48" s="1">
        <f>SUM(OSRRefP22_3x_0)</f>
        <v>-17.309999999999999</v>
      </c>
      <c r="Q48" s="1"/>
      <c r="R48" s="5">
        <f t="shared" si="32"/>
        <v>-3.8301196984317311E-5</v>
      </c>
      <c r="S48" s="1"/>
      <c r="T48" s="1">
        <f>SUM(OSRRefT22_3x_0)</f>
        <v>60</v>
      </c>
      <c r="U48" s="1"/>
      <c r="V48" s="5">
        <f t="shared" si="33"/>
        <v>1.2446841613940462E-4</v>
      </c>
      <c r="W48" s="1"/>
      <c r="X48" s="1">
        <f t="shared" si="34"/>
        <v>-77.31</v>
      </c>
      <c r="Y48" s="1"/>
      <c r="Z48" s="5">
        <f t="shared" si="35"/>
        <v>-1.2885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>
        <v>-5.72</v>
      </c>
      <c r="E49" s="2"/>
      <c r="F49" s="7">
        <f t="shared" si="28"/>
        <v>-1.0367934805265894E-4</v>
      </c>
      <c r="G49" s="2"/>
      <c r="H49" s="6">
        <v>10</v>
      </c>
      <c r="I49" s="2"/>
      <c r="J49" s="7">
        <f t="shared" si="29"/>
        <v>1.4492753623188405E-4</v>
      </c>
      <c r="K49" s="2"/>
      <c r="L49" s="6">
        <f t="shared" si="30"/>
        <v>-15.719999999999999</v>
      </c>
      <c r="M49" s="2"/>
      <c r="N49" s="7">
        <f t="shared" si="31"/>
        <v>-1.5719999999999998</v>
      </c>
      <c r="O49" s="11"/>
      <c r="P49" s="6">
        <v>-17.309999999999999</v>
      </c>
      <c r="Q49" s="2"/>
      <c r="R49" s="7">
        <f t="shared" si="32"/>
        <v>-3.8301196984317311E-5</v>
      </c>
      <c r="S49" s="2"/>
      <c r="T49" s="6">
        <v>60</v>
      </c>
      <c r="U49" s="2"/>
      <c r="V49" s="7">
        <f t="shared" si="33"/>
        <v>1.2446841613940462E-4</v>
      </c>
      <c r="W49" s="2"/>
      <c r="X49" s="6">
        <f t="shared" si="34"/>
        <v>-77.31</v>
      </c>
      <c r="Y49" s="2"/>
      <c r="Z49" s="7">
        <f t="shared" si="35"/>
        <v>-1.2885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4396.76</v>
      </c>
      <c r="E50" s="1"/>
      <c r="F50" s="5">
        <f t="shared" si="28"/>
        <v>7.9694617193008521E-2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4396.76</v>
      </c>
      <c r="M50" s="1"/>
      <c r="N50" s="5">
        <f t="shared" si="31"/>
        <v>0</v>
      </c>
      <c r="O50" s="13"/>
      <c r="P50" s="1">
        <f>SUM(OSRRefP22_4x_0)</f>
        <v>19249.47</v>
      </c>
      <c r="Q50" s="1"/>
      <c r="R50" s="5">
        <f t="shared" si="32"/>
        <v>4.2592590543830536E-2</v>
      </c>
      <c r="S50" s="1"/>
      <c r="T50" s="1">
        <f>SUM(OSRRefT22_4x_0)</f>
        <v>850</v>
      </c>
      <c r="U50" s="1"/>
      <c r="V50" s="5">
        <f t="shared" si="33"/>
        <v>1.7633025619748989E-3</v>
      </c>
      <c r="W50" s="1"/>
      <c r="X50" s="1">
        <f t="shared" si="34"/>
        <v>18399.47</v>
      </c>
      <c r="Y50" s="1"/>
      <c r="Z50" s="5">
        <f t="shared" si="35"/>
        <v>21.646435294117648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4396.76</v>
      </c>
      <c r="E51" s="2"/>
      <c r="F51" s="7">
        <f t="shared" si="28"/>
        <v>7.9694617193008521E-2</v>
      </c>
      <c r="G51" s="2"/>
      <c r="H51" s="6"/>
      <c r="I51" s="2"/>
      <c r="J51" s="7">
        <f t="shared" si="29"/>
        <v>0</v>
      </c>
      <c r="K51" s="2"/>
      <c r="L51" s="6">
        <f t="shared" si="30"/>
        <v>4396.76</v>
      </c>
      <c r="M51" s="2"/>
      <c r="N51" s="7">
        <f t="shared" si="31"/>
        <v>0</v>
      </c>
      <c r="O51" s="11"/>
      <c r="P51" s="6">
        <v>19249.47</v>
      </c>
      <c r="Q51" s="2"/>
      <c r="R51" s="7">
        <f t="shared" si="32"/>
        <v>4.2592590543830536E-2</v>
      </c>
      <c r="S51" s="2"/>
      <c r="T51" s="6">
        <v>850</v>
      </c>
      <c r="U51" s="2"/>
      <c r="V51" s="7">
        <f t="shared" si="33"/>
        <v>1.7633025619748989E-3</v>
      </c>
      <c r="W51" s="2"/>
      <c r="X51" s="6">
        <f t="shared" si="34"/>
        <v>18399.47</v>
      </c>
      <c r="Y51" s="2"/>
      <c r="Z51" s="7">
        <f t="shared" si="35"/>
        <v>21.646435294117648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13580.689999999999</v>
      </c>
      <c r="E52" s="1"/>
      <c r="F52" s="5">
        <f t="shared" si="28"/>
        <v>0.2461603295988225</v>
      </c>
      <c r="G52" s="1"/>
      <c r="H52" s="1">
        <f>SUM(OSRRefH22_5x_0)</f>
        <v>13683</v>
      </c>
      <c r="I52" s="1"/>
      <c r="J52" s="5">
        <f t="shared" si="29"/>
        <v>0.19830434782608697</v>
      </c>
      <c r="K52" s="1"/>
      <c r="L52" s="1">
        <f t="shared" si="30"/>
        <v>-102.31000000000131</v>
      </c>
      <c r="M52" s="1"/>
      <c r="N52" s="5">
        <f t="shared" si="31"/>
        <v>-7.47716144120451E-3</v>
      </c>
      <c r="O52" s="13"/>
      <c r="P52" s="1">
        <f>SUM(OSRRefP22_5x_0)</f>
        <v>79915.239999999991</v>
      </c>
      <c r="Q52" s="1"/>
      <c r="R52" s="5">
        <f t="shared" si="32"/>
        <v>0.17682549678157097</v>
      </c>
      <c r="S52" s="1"/>
      <c r="T52" s="1">
        <f>SUM(OSRRefT22_5x_0)</f>
        <v>80847</v>
      </c>
      <c r="U52" s="1"/>
      <c r="V52" s="5">
        <f t="shared" si="33"/>
        <v>0.16771496732704078</v>
      </c>
      <c r="W52" s="1"/>
      <c r="X52" s="1">
        <f t="shared" si="34"/>
        <v>-931.76000000000931</v>
      </c>
      <c r="Y52" s="1"/>
      <c r="Z52" s="5">
        <f t="shared" si="35"/>
        <v>-1.1524979281853493E-2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0.1923589045515596</v>
      </c>
      <c r="G53" s="2"/>
      <c r="H53" s="6">
        <v>10612</v>
      </c>
      <c r="I53" s="2"/>
      <c r="J53" s="7">
        <f t="shared" si="29"/>
        <v>0.15379710144927536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63674.759999999995</v>
      </c>
      <c r="Q53" s="2"/>
      <c r="R53" s="7">
        <f t="shared" si="32"/>
        <v>0.14089078715708425</v>
      </c>
      <c r="S53" s="2"/>
      <c r="T53" s="6">
        <v>63672</v>
      </c>
      <c r="U53" s="2"/>
      <c r="V53" s="7">
        <f t="shared" si="33"/>
        <v>0.13208588320713618</v>
      </c>
      <c r="W53" s="2"/>
      <c r="X53" s="6">
        <f t="shared" si="34"/>
        <v>2.7599999999947613</v>
      </c>
      <c r="Y53" s="2"/>
      <c r="Z53" s="7">
        <f t="shared" si="35"/>
        <v>4.3347154165013841E-5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2968.23</v>
      </c>
      <c r="E54" s="2"/>
      <c r="F54" s="7">
        <f t="shared" si="28"/>
        <v>5.3801425047262916E-2</v>
      </c>
      <c r="G54" s="2"/>
      <c r="H54" s="6">
        <v>2654</v>
      </c>
      <c r="I54" s="2"/>
      <c r="J54" s="7">
        <f t="shared" si="29"/>
        <v>3.8463768115942029E-2</v>
      </c>
      <c r="K54" s="2"/>
      <c r="L54" s="6">
        <f t="shared" si="30"/>
        <v>314.23</v>
      </c>
      <c r="M54" s="2"/>
      <c r="N54" s="7">
        <f t="shared" si="31"/>
        <v>0.11839864355689526</v>
      </c>
      <c r="O54" s="11"/>
      <c r="P54" s="6">
        <v>16240.48</v>
      </c>
      <c r="Q54" s="2"/>
      <c r="R54" s="7">
        <f t="shared" si="32"/>
        <v>3.5934709624486749E-2</v>
      </c>
      <c r="S54" s="2"/>
      <c r="T54" s="6">
        <v>15924</v>
      </c>
      <c r="U54" s="2"/>
      <c r="V54" s="7">
        <f t="shared" si="33"/>
        <v>3.3033917643397991E-2</v>
      </c>
      <c r="W54" s="2"/>
      <c r="X54" s="6">
        <f t="shared" si="34"/>
        <v>316.47999999999956</v>
      </c>
      <c r="Y54" s="2"/>
      <c r="Z54" s="7">
        <f t="shared" si="35"/>
        <v>1.9874403416227052E-2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417</v>
      </c>
      <c r="I55" s="2"/>
      <c r="J55" s="7">
        <f t="shared" si="29"/>
        <v>6.0434782608695652E-3</v>
      </c>
      <c r="K55" s="2"/>
      <c r="L55" s="6">
        <f t="shared" si="30"/>
        <v>-417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1251</v>
      </c>
      <c r="U55" s="2"/>
      <c r="V55" s="7">
        <f t="shared" si="33"/>
        <v>2.5951664765065862E-3</v>
      </c>
      <c r="W55" s="2"/>
      <c r="X55" s="6">
        <f t="shared" si="34"/>
        <v>-1251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12.63</v>
      </c>
      <c r="E56" s="1"/>
      <c r="F56" s="5">
        <f t="shared" ref="F56:F69" si="36">IF(D$12=0,0,D56/D$12)</f>
        <v>2.2892835068270674E-4</v>
      </c>
      <c r="G56" s="1"/>
      <c r="H56" s="1">
        <f>SUM(OSRRefH22_6x_0)</f>
        <v>25</v>
      </c>
      <c r="I56" s="1"/>
      <c r="J56" s="5">
        <f t="shared" ref="J56:J69" si="37">IF(H$12=0,0,H56/H$12)</f>
        <v>3.6231884057971015E-4</v>
      </c>
      <c r="K56" s="1"/>
      <c r="L56" s="1">
        <f t="shared" ref="L56:L69" si="38">+D56-H56</f>
        <v>-12.37</v>
      </c>
      <c r="M56" s="1"/>
      <c r="N56" s="5">
        <f t="shared" ref="N56:N69" si="39">IF(H56=0,0,L56/H56)</f>
        <v>-0.49479999999999996</v>
      </c>
      <c r="O56" s="13"/>
      <c r="P56" s="1">
        <f>SUM(OSRRefP22_6x_0)</f>
        <v>96.36</v>
      </c>
      <c r="Q56" s="1"/>
      <c r="R56" s="5">
        <f t="shared" ref="R56:R69" si="40">IF(P$12=0,0,P56/P$12)</f>
        <v>2.1321220920905926E-4</v>
      </c>
      <c r="S56" s="1"/>
      <c r="T56" s="1">
        <f>SUM(OSRRefT22_6x_0)</f>
        <v>150</v>
      </c>
      <c r="U56" s="1"/>
      <c r="V56" s="5">
        <f t="shared" ref="V56:V69" si="41">IF(T$12=0,0,T56/T$12)</f>
        <v>3.1117104034851154E-4</v>
      </c>
      <c r="W56" s="1"/>
      <c r="X56" s="1">
        <f t="shared" ref="X56:X69" si="42">+P56-T56</f>
        <v>-53.64</v>
      </c>
      <c r="Y56" s="1"/>
      <c r="Z56" s="5">
        <f t="shared" ref="Z56:Z69" si="43">IF(T56=0,0,X56/T56)</f>
        <v>-0.35760000000000003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12.63</v>
      </c>
      <c r="E57" s="2"/>
      <c r="F57" s="7">
        <f t="shared" si="36"/>
        <v>2.2892835068270674E-4</v>
      </c>
      <c r="G57" s="2"/>
      <c r="H57" s="6">
        <v>25</v>
      </c>
      <c r="I57" s="2"/>
      <c r="J57" s="7">
        <f t="shared" si="37"/>
        <v>3.6231884057971015E-4</v>
      </c>
      <c r="K57" s="2"/>
      <c r="L57" s="6">
        <f t="shared" si="38"/>
        <v>-12.37</v>
      </c>
      <c r="M57" s="2"/>
      <c r="N57" s="7">
        <f t="shared" si="39"/>
        <v>-0.49479999999999996</v>
      </c>
      <c r="O57" s="11"/>
      <c r="P57" s="6">
        <v>96.36</v>
      </c>
      <c r="Q57" s="2"/>
      <c r="R57" s="7">
        <f t="shared" si="40"/>
        <v>2.1321220920905926E-4</v>
      </c>
      <c r="S57" s="2"/>
      <c r="T57" s="6">
        <v>150</v>
      </c>
      <c r="U57" s="2"/>
      <c r="V57" s="7">
        <f t="shared" si="41"/>
        <v>3.1117104034851154E-4</v>
      </c>
      <c r="W57" s="2"/>
      <c r="X57" s="6">
        <f t="shared" si="42"/>
        <v>-53.64</v>
      </c>
      <c r="Y57" s="2"/>
      <c r="Z57" s="7">
        <f t="shared" si="43"/>
        <v>-0.35760000000000003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95.04</v>
      </c>
      <c r="E58" s="1"/>
      <c r="F58" s="5">
        <f t="shared" si="36"/>
        <v>1.7226722445672564E-3</v>
      </c>
      <c r="G58" s="1"/>
      <c r="H58" s="1">
        <f>SUM(OSRRefH22_7x_0)</f>
        <v>125</v>
      </c>
      <c r="I58" s="1"/>
      <c r="J58" s="5">
        <f t="shared" si="37"/>
        <v>1.8115942028985507E-3</v>
      </c>
      <c r="K58" s="1"/>
      <c r="L58" s="1">
        <f t="shared" si="38"/>
        <v>-29.959999999999994</v>
      </c>
      <c r="M58" s="1"/>
      <c r="N58" s="5">
        <f t="shared" si="39"/>
        <v>-0.23967999999999995</v>
      </c>
      <c r="O58" s="13"/>
      <c r="P58" s="1">
        <f>SUM(OSRRefP22_7x_0)</f>
        <v>668.96</v>
      </c>
      <c r="Q58" s="1"/>
      <c r="R58" s="5">
        <f t="shared" si="40"/>
        <v>1.4801830580374875E-3</v>
      </c>
      <c r="S58" s="1"/>
      <c r="T58" s="1">
        <f>SUM(OSRRefT22_7x_0)</f>
        <v>750</v>
      </c>
      <c r="U58" s="1"/>
      <c r="V58" s="5">
        <f t="shared" si="41"/>
        <v>1.5558552017425579E-3</v>
      </c>
      <c r="W58" s="1"/>
      <c r="X58" s="1">
        <f t="shared" si="42"/>
        <v>-81.039999999999964</v>
      </c>
      <c r="Y58" s="1"/>
      <c r="Z58" s="5">
        <f t="shared" si="43"/>
        <v>-0.10805333333333328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95.04</v>
      </c>
      <c r="E59" s="2"/>
      <c r="F59" s="7">
        <f t="shared" si="36"/>
        <v>1.7226722445672564E-3</v>
      </c>
      <c r="G59" s="2"/>
      <c r="H59" s="6">
        <v>125</v>
      </c>
      <c r="I59" s="2"/>
      <c r="J59" s="7">
        <f t="shared" si="37"/>
        <v>1.8115942028985507E-3</v>
      </c>
      <c r="K59" s="2"/>
      <c r="L59" s="6">
        <f t="shared" si="38"/>
        <v>-29.959999999999994</v>
      </c>
      <c r="M59" s="2"/>
      <c r="N59" s="7">
        <f t="shared" si="39"/>
        <v>-0.23967999999999995</v>
      </c>
      <c r="O59" s="11"/>
      <c r="P59" s="6">
        <v>668.96</v>
      </c>
      <c r="Q59" s="2"/>
      <c r="R59" s="7">
        <f t="shared" si="40"/>
        <v>1.4801830580374875E-3</v>
      </c>
      <c r="S59" s="2"/>
      <c r="T59" s="6">
        <v>750</v>
      </c>
      <c r="U59" s="2"/>
      <c r="V59" s="7">
        <f t="shared" si="41"/>
        <v>1.5558552017425579E-3</v>
      </c>
      <c r="W59" s="2"/>
      <c r="X59" s="6">
        <f t="shared" si="42"/>
        <v>-81.039999999999964</v>
      </c>
      <c r="Y59" s="2"/>
      <c r="Z59" s="7">
        <f t="shared" si="43"/>
        <v>-0.10805333333333328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455</v>
      </c>
      <c r="E60" s="1"/>
      <c r="F60" s="5">
        <f t="shared" si="36"/>
        <v>8.2472208678251429E-3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455</v>
      </c>
      <c r="M60" s="1"/>
      <c r="N60" s="5">
        <f t="shared" si="39"/>
        <v>0</v>
      </c>
      <c r="O60" s="13"/>
      <c r="P60" s="1">
        <f>SUM(OSRRefP22_8x_0)</f>
        <v>1826.61</v>
      </c>
      <c r="Q60" s="1"/>
      <c r="R60" s="5">
        <f t="shared" si="40"/>
        <v>4.0416724103711056E-3</v>
      </c>
      <c r="S60" s="1"/>
      <c r="T60" s="1">
        <f>SUM(OSRRefT22_8x_0)</f>
        <v>1400</v>
      </c>
      <c r="U60" s="1"/>
      <c r="V60" s="5">
        <f t="shared" si="41"/>
        <v>2.9042630432527744E-3</v>
      </c>
      <c r="W60" s="1"/>
      <c r="X60" s="1">
        <f t="shared" si="42"/>
        <v>426.6099999999999</v>
      </c>
      <c r="Y60" s="1"/>
      <c r="Z60" s="5">
        <f t="shared" si="43"/>
        <v>0.30472142857142848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455</v>
      </c>
      <c r="E61" s="2"/>
      <c r="F61" s="7">
        <f t="shared" si="36"/>
        <v>8.2472208678251429E-3</v>
      </c>
      <c r="G61" s="2"/>
      <c r="H61" s="6"/>
      <c r="I61" s="2"/>
      <c r="J61" s="7">
        <f t="shared" si="37"/>
        <v>0</v>
      </c>
      <c r="K61" s="2"/>
      <c r="L61" s="6">
        <f t="shared" si="38"/>
        <v>455</v>
      </c>
      <c r="M61" s="2"/>
      <c r="N61" s="7">
        <f t="shared" si="39"/>
        <v>0</v>
      </c>
      <c r="O61" s="11"/>
      <c r="P61" s="6">
        <v>1826.61</v>
      </c>
      <c r="Q61" s="2"/>
      <c r="R61" s="7">
        <f t="shared" si="40"/>
        <v>4.0416724103711056E-3</v>
      </c>
      <c r="S61" s="2"/>
      <c r="T61" s="6">
        <v>1400</v>
      </c>
      <c r="U61" s="2"/>
      <c r="V61" s="7">
        <f t="shared" si="41"/>
        <v>2.9042630432527744E-3</v>
      </c>
      <c r="W61" s="2"/>
      <c r="X61" s="6">
        <f t="shared" si="42"/>
        <v>426.6099999999999</v>
      </c>
      <c r="Y61" s="2"/>
      <c r="Z61" s="7">
        <f t="shared" si="43"/>
        <v>0.30472142857142848</v>
      </c>
    </row>
    <row r="62" spans="1:26" s="25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1.1623687468393203E-2</v>
      </c>
      <c r="G62" s="1"/>
      <c r="H62" s="1">
        <f>SUM(OSRRefH22_9x_0)</f>
        <v>604</v>
      </c>
      <c r="I62" s="1"/>
      <c r="J62" s="5">
        <f t="shared" si="37"/>
        <v>8.7536231884057965E-3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3847.68</v>
      </c>
      <c r="Q62" s="1"/>
      <c r="R62" s="5">
        <f t="shared" si="40"/>
        <v>8.513619272825998E-3</v>
      </c>
      <c r="S62" s="1"/>
      <c r="T62" s="1">
        <f>SUM(OSRRefT22_9x_0)</f>
        <v>3624</v>
      </c>
      <c r="U62" s="1"/>
      <c r="V62" s="5">
        <f t="shared" si="41"/>
        <v>7.5178923348200397E-3</v>
      </c>
      <c r="W62" s="1"/>
      <c r="X62" s="1">
        <f t="shared" si="42"/>
        <v>223.67999999999984</v>
      </c>
      <c r="Y62" s="1"/>
      <c r="Z62" s="5">
        <f t="shared" si="43"/>
        <v>6.1721854304635719E-2</v>
      </c>
    </row>
    <row r="63" spans="1:26" s="24" customFormat="1" hidden="1" outlineLevel="2" x14ac:dyDescent="0.25">
      <c r="A63" s="26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6"/>
        <v>1.1623687468393203E-2</v>
      </c>
      <c r="G63" s="2"/>
      <c r="H63" s="6">
        <v>604</v>
      </c>
      <c r="I63" s="2"/>
      <c r="J63" s="7">
        <f t="shared" si="37"/>
        <v>8.7536231884057965E-3</v>
      </c>
      <c r="K63" s="2"/>
      <c r="L63" s="6">
        <f t="shared" si="38"/>
        <v>37.279999999999973</v>
      </c>
      <c r="M63" s="2"/>
      <c r="N63" s="7">
        <f t="shared" si="39"/>
        <v>6.1721854304635719E-2</v>
      </c>
      <c r="O63" s="11"/>
      <c r="P63" s="6">
        <v>3847.68</v>
      </c>
      <c r="Q63" s="2"/>
      <c r="R63" s="7">
        <f t="shared" si="40"/>
        <v>8.513619272825998E-3</v>
      </c>
      <c r="S63" s="2"/>
      <c r="T63" s="6">
        <v>3624</v>
      </c>
      <c r="U63" s="2"/>
      <c r="V63" s="7">
        <f t="shared" si="41"/>
        <v>7.5178923348200397E-3</v>
      </c>
      <c r="W63" s="2"/>
      <c r="X63" s="6">
        <f t="shared" si="42"/>
        <v>223.67999999999984</v>
      </c>
      <c r="Y63" s="2"/>
      <c r="Z63" s="7">
        <f t="shared" si="43"/>
        <v>6.1721854304635719E-2</v>
      </c>
    </row>
    <row r="64" spans="1:26" s="25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7754</v>
      </c>
      <c r="E64" s="1"/>
      <c r="F64" s="5">
        <f t="shared" si="36"/>
        <v>0.1405471441958597</v>
      </c>
      <c r="G64" s="1"/>
      <c r="H64" s="1">
        <f>SUM(OSRRefH22_10x_0)</f>
        <v>7754</v>
      </c>
      <c r="I64" s="1"/>
      <c r="J64" s="5">
        <f t="shared" si="37"/>
        <v>0.1123768115942029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46131.049999999996</v>
      </c>
      <c r="Q64" s="1"/>
      <c r="R64" s="5">
        <f t="shared" si="40"/>
        <v>0.10207246869690299</v>
      </c>
      <c r="S64" s="1"/>
      <c r="T64" s="1">
        <f>SUM(OSRRefT22_10x_0)</f>
        <v>46524</v>
      </c>
      <c r="U64" s="1"/>
      <c r="V64" s="5">
        <f t="shared" si="41"/>
        <v>9.6512809874494343E-2</v>
      </c>
      <c r="W64" s="1"/>
      <c r="X64" s="1">
        <f t="shared" si="42"/>
        <v>-392.95000000000437</v>
      </c>
      <c r="Y64" s="1"/>
      <c r="Z64" s="5">
        <f t="shared" si="43"/>
        <v>-8.4461783165678869E-3</v>
      </c>
    </row>
    <row r="65" spans="1:26" s="24" customFormat="1" hidden="1" outlineLevel="2" x14ac:dyDescent="0.25">
      <c r="A65" s="26"/>
      <c r="B65" s="11" t="str">
        <f>CONCATENATE("          ", "6401", " - ", "INTEREST EXPENSE")</f>
        <v xml:space="preserve">          6401 - INTEREST EXPENSE</v>
      </c>
      <c r="C65" s="11"/>
      <c r="D65" s="6">
        <v>7754</v>
      </c>
      <c r="E65" s="2"/>
      <c r="F65" s="7">
        <f t="shared" si="36"/>
        <v>0.1405471441958597</v>
      </c>
      <c r="G65" s="2"/>
      <c r="H65" s="6">
        <v>7754</v>
      </c>
      <c r="I65" s="2"/>
      <c r="J65" s="7">
        <f t="shared" si="37"/>
        <v>0.1123768115942029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46131.049999999996</v>
      </c>
      <c r="Q65" s="2"/>
      <c r="R65" s="7">
        <f t="shared" si="40"/>
        <v>0.10207246869690299</v>
      </c>
      <c r="S65" s="2"/>
      <c r="T65" s="6">
        <v>46524</v>
      </c>
      <c r="U65" s="2"/>
      <c r="V65" s="7">
        <f t="shared" si="41"/>
        <v>9.6512809874494343E-2</v>
      </c>
      <c r="W65" s="2"/>
      <c r="X65" s="6">
        <f t="shared" si="42"/>
        <v>-392.95000000000437</v>
      </c>
      <c r="Y65" s="2"/>
      <c r="Z65" s="7">
        <f t="shared" si="43"/>
        <v>-8.4461783165678869E-3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3341.56</v>
      </c>
      <c r="E66" s="1"/>
      <c r="F66" s="5">
        <f t="shared" si="36"/>
        <v>6.0568315083713818E-2</v>
      </c>
      <c r="G66" s="1"/>
      <c r="H66" s="1">
        <f>SUM(OSRRefH22_11x_0)</f>
        <v>1200</v>
      </c>
      <c r="I66" s="1"/>
      <c r="J66" s="5">
        <f t="shared" si="37"/>
        <v>1.7391304347826087E-2</v>
      </c>
      <c r="K66" s="1"/>
      <c r="L66" s="1">
        <f t="shared" si="38"/>
        <v>2141.56</v>
      </c>
      <c r="M66" s="1"/>
      <c r="N66" s="5">
        <f t="shared" si="39"/>
        <v>1.7846333333333333</v>
      </c>
      <c r="O66" s="13"/>
      <c r="P66" s="1">
        <f>SUM(OSRRefP22_11x_0)</f>
        <v>19082.010000000002</v>
      </c>
      <c r="Q66" s="1"/>
      <c r="R66" s="5">
        <f t="shared" si="40"/>
        <v>4.2222057993455395E-2</v>
      </c>
      <c r="S66" s="1"/>
      <c r="T66" s="1">
        <f>SUM(OSRRefT22_11x_0)</f>
        <v>9000</v>
      </c>
      <c r="U66" s="1"/>
      <c r="V66" s="5">
        <f t="shared" si="41"/>
        <v>1.8670262420910695E-2</v>
      </c>
      <c r="W66" s="1"/>
      <c r="X66" s="1">
        <f t="shared" si="42"/>
        <v>10082.010000000002</v>
      </c>
      <c r="Y66" s="1"/>
      <c r="Z66" s="5">
        <f t="shared" si="43"/>
        <v>1.1202233333333336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2623.84</v>
      </c>
      <c r="Q67" s="2"/>
      <c r="R67" s="7">
        <f t="shared" si="40"/>
        <v>5.8056737547851614E-3</v>
      </c>
      <c r="S67" s="2"/>
      <c r="T67" s="6"/>
      <c r="U67" s="2"/>
      <c r="V67" s="7">
        <f t="shared" si="41"/>
        <v>0</v>
      </c>
      <c r="W67" s="2"/>
      <c r="X67" s="6">
        <f t="shared" si="42"/>
        <v>2623.84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1861.03</v>
      </c>
      <c r="E68" s="2"/>
      <c r="F68" s="7">
        <f t="shared" si="36"/>
        <v>3.373258341021676E-2</v>
      </c>
      <c r="G68" s="2"/>
      <c r="H68" s="6"/>
      <c r="I68" s="2"/>
      <c r="J68" s="7">
        <f t="shared" si="37"/>
        <v>0</v>
      </c>
      <c r="K68" s="2"/>
      <c r="L68" s="6">
        <f t="shared" si="38"/>
        <v>1861.03</v>
      </c>
      <c r="M68" s="2"/>
      <c r="N68" s="7">
        <f t="shared" si="39"/>
        <v>0</v>
      </c>
      <c r="O68" s="11"/>
      <c r="P68" s="6">
        <v>3768.74</v>
      </c>
      <c r="Q68" s="2"/>
      <c r="R68" s="7">
        <f t="shared" si="40"/>
        <v>8.3389516535341424E-3</v>
      </c>
      <c r="S68" s="2"/>
      <c r="T68" s="6"/>
      <c r="U68" s="2"/>
      <c r="V68" s="7">
        <f t="shared" si="41"/>
        <v>0</v>
      </c>
      <c r="W68" s="2"/>
      <c r="X68" s="6">
        <f t="shared" si="42"/>
        <v>3768.74</v>
      </c>
      <c r="Y68" s="2"/>
      <c r="Z68" s="7">
        <f t="shared" si="43"/>
        <v>0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1480.53</v>
      </c>
      <c r="E69" s="2"/>
      <c r="F69" s="7">
        <f t="shared" si="36"/>
        <v>2.6835731673497055E-2</v>
      </c>
      <c r="G69" s="2"/>
      <c r="H69" s="6">
        <v>1200</v>
      </c>
      <c r="I69" s="2"/>
      <c r="J69" s="7">
        <f t="shared" si="37"/>
        <v>1.7391304347826087E-2</v>
      </c>
      <c r="K69" s="2"/>
      <c r="L69" s="6">
        <f t="shared" si="38"/>
        <v>280.52999999999997</v>
      </c>
      <c r="M69" s="2"/>
      <c r="N69" s="7">
        <f t="shared" si="39"/>
        <v>0.23377499999999998</v>
      </c>
      <c r="O69" s="11"/>
      <c r="P69" s="6">
        <v>12689.43</v>
      </c>
      <c r="Q69" s="2"/>
      <c r="R69" s="7">
        <f t="shared" si="40"/>
        <v>2.8077432585136085E-2</v>
      </c>
      <c r="S69" s="2"/>
      <c r="T69" s="6">
        <v>9000</v>
      </c>
      <c r="U69" s="2"/>
      <c r="V69" s="7">
        <f t="shared" si="41"/>
        <v>1.8670262420910695E-2</v>
      </c>
      <c r="W69" s="2"/>
      <c r="X69" s="6">
        <f t="shared" si="42"/>
        <v>3689.4300000000003</v>
      </c>
      <c r="Y69" s="2"/>
      <c r="Z69" s="7">
        <f t="shared" si="43"/>
        <v>0.40993666666666667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6009.67</v>
      </c>
      <c r="E70" s="1"/>
      <c r="F70" s="5">
        <f t="shared" ref="F70:F75" si="44">IF(D$12=0,0,D70/D$12)</f>
        <v>0.10892983699503897</v>
      </c>
      <c r="G70" s="1"/>
      <c r="H70" s="1">
        <f>SUM(OSRRefH22_12x_0)</f>
        <v>4035</v>
      </c>
      <c r="I70" s="1"/>
      <c r="J70" s="5">
        <f t="shared" ref="J70:J75" si="45">IF(H$12=0,0,H70/H$12)</f>
        <v>5.8478260869565216E-2</v>
      </c>
      <c r="K70" s="1"/>
      <c r="L70" s="1">
        <f t="shared" ref="L70:L75" si="46">+D70-H70</f>
        <v>1974.67</v>
      </c>
      <c r="M70" s="1"/>
      <c r="N70" s="5">
        <f t="shared" ref="N70:N75" si="47">IF(H70=0,0,L70/H70)</f>
        <v>0.4893853779429988</v>
      </c>
      <c r="O70" s="13"/>
      <c r="P70" s="1">
        <f>SUM(OSRRefP22_12x_0)</f>
        <v>27104.82</v>
      </c>
      <c r="Q70" s="1"/>
      <c r="R70" s="5">
        <f t="shared" ref="R70:R75" si="48">IF(P$12=0,0,P70/P$12)</f>
        <v>5.9973833047051617E-2</v>
      </c>
      <c r="S70" s="1"/>
      <c r="T70" s="1">
        <f>SUM(OSRRefT22_12x_0)</f>
        <v>24410</v>
      </c>
      <c r="U70" s="1"/>
      <c r="V70" s="5">
        <f t="shared" ref="V70:V75" si="49">IF(T$12=0,0,T70/T$12)</f>
        <v>5.063790063271445E-2</v>
      </c>
      <c r="W70" s="1"/>
      <c r="X70" s="1">
        <f t="shared" ref="X70:X75" si="50">+P70-T70</f>
        <v>2694.8199999999997</v>
      </c>
      <c r="Y70" s="1"/>
      <c r="Z70" s="5">
        <f t="shared" ref="Z70:Z75" si="51">IF(T70=0,0,X70/T70)</f>
        <v>0.11039819746005734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657.08</v>
      </c>
      <c r="E71" s="2"/>
      <c r="F71" s="7">
        <f t="shared" si="44"/>
        <v>1.1910074478748452E-2</v>
      </c>
      <c r="G71" s="2"/>
      <c r="H71" s="6">
        <v>350</v>
      </c>
      <c r="I71" s="2"/>
      <c r="J71" s="7">
        <f t="shared" si="45"/>
        <v>5.0724637681159417E-3</v>
      </c>
      <c r="K71" s="2"/>
      <c r="L71" s="6">
        <f t="shared" si="46"/>
        <v>307.08000000000004</v>
      </c>
      <c r="M71" s="2"/>
      <c r="N71" s="7">
        <f t="shared" si="47"/>
        <v>0.87737142857142869</v>
      </c>
      <c r="O71" s="11"/>
      <c r="P71" s="6">
        <v>2299.7800000000002</v>
      </c>
      <c r="Q71" s="2"/>
      <c r="R71" s="7">
        <f t="shared" si="48"/>
        <v>5.0886381744999001E-3</v>
      </c>
      <c r="S71" s="2"/>
      <c r="T71" s="6">
        <v>2100</v>
      </c>
      <c r="U71" s="2"/>
      <c r="V71" s="7">
        <f t="shared" si="49"/>
        <v>4.3563945648791621E-3</v>
      </c>
      <c r="W71" s="2"/>
      <c r="X71" s="6">
        <f t="shared" si="50"/>
        <v>199.7800000000002</v>
      </c>
      <c r="Y71" s="2"/>
      <c r="Z71" s="7">
        <f t="shared" si="51"/>
        <v>9.5133333333333431E-2</v>
      </c>
    </row>
    <row r="72" spans="1:26" s="24" customFormat="1" hidden="1" outlineLevel="2" x14ac:dyDescent="0.25">
      <c r="A72" s="26"/>
      <c r="B72" s="11" t="str">
        <f>CONCATENATE("          ", "6283", " - ", "PLANT SERVICE")</f>
        <v xml:space="preserve">          6283 - PLANT SERVICE</v>
      </c>
      <c r="C72" s="11"/>
      <c r="D72" s="6"/>
      <c r="E72" s="2"/>
      <c r="F72" s="7">
        <f t="shared" si="44"/>
        <v>0</v>
      </c>
      <c r="G72" s="2"/>
      <c r="H72" s="6">
        <v>60</v>
      </c>
      <c r="I72" s="2"/>
      <c r="J72" s="7">
        <f t="shared" si="45"/>
        <v>8.6956521739130438E-4</v>
      </c>
      <c r="K72" s="2"/>
      <c r="L72" s="6">
        <f t="shared" si="46"/>
        <v>-60</v>
      </c>
      <c r="M72" s="2"/>
      <c r="N72" s="7">
        <f t="shared" si="47"/>
        <v>-1</v>
      </c>
      <c r="O72" s="11"/>
      <c r="P72" s="6">
        <v>246.2</v>
      </c>
      <c r="Q72" s="2"/>
      <c r="R72" s="7">
        <f t="shared" si="48"/>
        <v>5.4475763706175165E-4</v>
      </c>
      <c r="S72" s="2"/>
      <c r="T72" s="6">
        <v>360</v>
      </c>
      <c r="U72" s="2"/>
      <c r="V72" s="7">
        <f t="shared" si="49"/>
        <v>7.4681049683642778E-4</v>
      </c>
      <c r="W72" s="2"/>
      <c r="X72" s="6">
        <f t="shared" si="50"/>
        <v>-113.80000000000001</v>
      </c>
      <c r="Y72" s="2"/>
      <c r="Z72" s="7">
        <f t="shared" si="51"/>
        <v>-0.31611111111111112</v>
      </c>
    </row>
    <row r="73" spans="1:26" s="24" customFormat="1" hidden="1" outlineLevel="2" x14ac:dyDescent="0.25">
      <c r="A73" s="26"/>
      <c r="B73" s="11" t="str">
        <f>CONCATENATE("          ", "6284", " - ", "TRASH REMOVAL EXPENSE")</f>
        <v xml:space="preserve">          6284 - TRASH REMOVAL EXPENSE</v>
      </c>
      <c r="C73" s="11"/>
      <c r="D73" s="6">
        <v>2066</v>
      </c>
      <c r="E73" s="2"/>
      <c r="F73" s="7">
        <f t="shared" si="44"/>
        <v>3.744782046797087E-2</v>
      </c>
      <c r="G73" s="2"/>
      <c r="H73" s="6">
        <v>475</v>
      </c>
      <c r="I73" s="2"/>
      <c r="J73" s="7">
        <f t="shared" si="45"/>
        <v>6.8840579710144926E-3</v>
      </c>
      <c r="K73" s="2"/>
      <c r="L73" s="6">
        <f t="shared" si="46"/>
        <v>1591</v>
      </c>
      <c r="M73" s="2"/>
      <c r="N73" s="7">
        <f t="shared" si="47"/>
        <v>3.3494736842105262</v>
      </c>
      <c r="O73" s="11"/>
      <c r="P73" s="6">
        <v>4558</v>
      </c>
      <c r="Q73" s="2"/>
      <c r="R73" s="7">
        <f t="shared" si="48"/>
        <v>1.0085318073629017E-2</v>
      </c>
      <c r="S73" s="2"/>
      <c r="T73" s="6">
        <v>2850</v>
      </c>
      <c r="U73" s="2"/>
      <c r="V73" s="7">
        <f t="shared" si="49"/>
        <v>5.9122497666217197E-3</v>
      </c>
      <c r="W73" s="2"/>
      <c r="X73" s="6">
        <f t="shared" si="50"/>
        <v>1708</v>
      </c>
      <c r="Y73" s="2"/>
      <c r="Z73" s="7">
        <f t="shared" si="51"/>
        <v>0.59929824561403511</v>
      </c>
    </row>
    <row r="74" spans="1:26" s="24" customFormat="1" hidden="1" outlineLevel="2" x14ac:dyDescent="0.25">
      <c r="A74" s="26"/>
      <c r="B74" s="11" t="str">
        <f>CONCATENATE("          ", "6285", " - ", "JANITORIAL SERVICES")</f>
        <v xml:space="preserve">          6285 - JANITORIAL SERVICES</v>
      </c>
      <c r="C74" s="11"/>
      <c r="D74" s="6">
        <v>3040.95</v>
      </c>
      <c r="E74" s="2"/>
      <c r="F74" s="7">
        <f t="shared" si="44"/>
        <v>5.5119530325303007E-2</v>
      </c>
      <c r="G74" s="2"/>
      <c r="H74" s="6">
        <v>3000</v>
      </c>
      <c r="I74" s="2"/>
      <c r="J74" s="7">
        <f t="shared" si="45"/>
        <v>4.3478260869565216E-2</v>
      </c>
      <c r="K74" s="2"/>
      <c r="L74" s="6">
        <f t="shared" si="46"/>
        <v>40.949999999999818</v>
      </c>
      <c r="M74" s="2"/>
      <c r="N74" s="7">
        <f t="shared" si="47"/>
        <v>1.364999999999994E-2</v>
      </c>
      <c r="O74" s="11"/>
      <c r="P74" s="6">
        <v>18545.7</v>
      </c>
      <c r="Q74" s="2"/>
      <c r="R74" s="7">
        <f t="shared" si="48"/>
        <v>4.1035384685849427E-2</v>
      </c>
      <c r="S74" s="2"/>
      <c r="T74" s="6">
        <v>18000</v>
      </c>
      <c r="U74" s="2"/>
      <c r="V74" s="7">
        <f t="shared" si="49"/>
        <v>3.734052484182139E-2</v>
      </c>
      <c r="W74" s="2"/>
      <c r="X74" s="6">
        <f t="shared" si="50"/>
        <v>545.70000000000073</v>
      </c>
      <c r="Y74" s="2"/>
      <c r="Z74" s="7">
        <f t="shared" si="51"/>
        <v>3.0316666666666707E-2</v>
      </c>
    </row>
    <row r="75" spans="1:26" s="24" customFormat="1" hidden="1" outlineLevel="2" x14ac:dyDescent="0.25">
      <c r="A75" s="26"/>
      <c r="B75" s="11" t="str">
        <f>CONCATENATE("          ", "6286", " - ", "LAUNDRY EXPENSE")</f>
        <v xml:space="preserve">          6286 - LAUNDRY EXPENSE</v>
      </c>
      <c r="C75" s="11"/>
      <c r="D75" s="6">
        <v>245.64</v>
      </c>
      <c r="E75" s="2"/>
      <c r="F75" s="7">
        <f t="shared" si="44"/>
        <v>4.4524117230166334E-3</v>
      </c>
      <c r="G75" s="2"/>
      <c r="H75" s="6">
        <v>150</v>
      </c>
      <c r="I75" s="2"/>
      <c r="J75" s="7">
        <f t="shared" si="45"/>
        <v>2.1739130434782609E-3</v>
      </c>
      <c r="K75" s="2"/>
      <c r="L75" s="6">
        <f t="shared" si="46"/>
        <v>95.639999999999986</v>
      </c>
      <c r="M75" s="2"/>
      <c r="N75" s="7">
        <f t="shared" si="47"/>
        <v>0.63759999999999994</v>
      </c>
      <c r="O75" s="11"/>
      <c r="P75" s="6">
        <v>1455.14</v>
      </c>
      <c r="Q75" s="2"/>
      <c r="R75" s="7">
        <f t="shared" si="48"/>
        <v>3.2197344760115246E-3</v>
      </c>
      <c r="S75" s="2"/>
      <c r="T75" s="6">
        <v>1100</v>
      </c>
      <c r="U75" s="2"/>
      <c r="V75" s="7">
        <f t="shared" si="49"/>
        <v>2.2819209625557515E-3</v>
      </c>
      <c r="W75" s="2"/>
      <c r="X75" s="6">
        <f t="shared" si="50"/>
        <v>355.1400000000001</v>
      </c>
      <c r="Y75" s="2"/>
      <c r="Z75" s="7">
        <f t="shared" si="51"/>
        <v>0.32285454545454556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1174.71</v>
      </c>
      <c r="E76" s="1"/>
      <c r="F76" s="5">
        <f t="shared" ref="F76:F78" si="52">IF(D$12=0,0,D76/D$12)</f>
        <v>2.1292511704709614E-2</v>
      </c>
      <c r="G76" s="1"/>
      <c r="H76" s="1">
        <f>SUM(OSRRefH22_13x_0)</f>
        <v>200</v>
      </c>
      <c r="I76" s="1"/>
      <c r="J76" s="5">
        <f t="shared" ref="J76:J78" si="53">IF(H$12=0,0,H76/H$12)</f>
        <v>2.8985507246376812E-3</v>
      </c>
      <c r="K76" s="1"/>
      <c r="L76" s="1">
        <f t="shared" ref="L76:L78" si="54">+D76-H76</f>
        <v>974.71</v>
      </c>
      <c r="M76" s="1"/>
      <c r="N76" s="5">
        <f t="shared" ref="N76:N78" si="55">IF(H76=0,0,L76/H76)</f>
        <v>4.8735499999999998</v>
      </c>
      <c r="O76" s="13"/>
      <c r="P76" s="1">
        <f>SUM(OSRRefP22_13x_0)</f>
        <v>2158.2600000000002</v>
      </c>
      <c r="Q76" s="1"/>
      <c r="R76" s="5">
        <f t="shared" ref="R76:R78" si="56">IF(P$12=0,0,P76/P$12)</f>
        <v>4.7755021030255742E-3</v>
      </c>
      <c r="S76" s="1"/>
      <c r="T76" s="1">
        <f>SUM(OSRRefT22_13x_0)</f>
        <v>1200</v>
      </c>
      <c r="U76" s="1"/>
      <c r="V76" s="5">
        <f t="shared" ref="V76:V78" si="57">IF(T$12=0,0,T76/T$12)</f>
        <v>2.4893683227880923E-3</v>
      </c>
      <c r="W76" s="1"/>
      <c r="X76" s="1">
        <f t="shared" ref="X76:X78" si="58">+P76-T76</f>
        <v>958.26000000000022</v>
      </c>
      <c r="Y76" s="1"/>
      <c r="Z76" s="5">
        <f t="shared" ref="Z76:Z78" si="59">IF(T76=0,0,X76/T76)</f>
        <v>0.7985500000000002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6">
        <v>978</v>
      </c>
      <c r="E77" s="2"/>
      <c r="F77" s="7">
        <f t="shared" si="52"/>
        <v>1.7726993425786791E-2</v>
      </c>
      <c r="G77" s="2"/>
      <c r="H77" s="6"/>
      <c r="I77" s="2"/>
      <c r="J77" s="7">
        <f t="shared" si="53"/>
        <v>0</v>
      </c>
      <c r="K77" s="2"/>
      <c r="L77" s="6">
        <f t="shared" si="54"/>
        <v>978</v>
      </c>
      <c r="M77" s="2"/>
      <c r="N77" s="7">
        <f t="shared" si="55"/>
        <v>0</v>
      </c>
      <c r="O77" s="11"/>
      <c r="P77" s="6">
        <v>978</v>
      </c>
      <c r="Q77" s="2"/>
      <c r="R77" s="7">
        <f t="shared" si="56"/>
        <v>2.1639844396685345E-3</v>
      </c>
      <c r="S77" s="2"/>
      <c r="T77" s="6"/>
      <c r="U77" s="2"/>
      <c r="V77" s="7">
        <f t="shared" si="57"/>
        <v>0</v>
      </c>
      <c r="W77" s="2"/>
      <c r="X77" s="6">
        <f t="shared" si="58"/>
        <v>978</v>
      </c>
      <c r="Y77" s="2"/>
      <c r="Z77" s="7">
        <f t="shared" si="59"/>
        <v>0</v>
      </c>
    </row>
    <row r="78" spans="1:26" s="24" customFormat="1" hidden="1" outlineLevel="2" x14ac:dyDescent="0.25">
      <c r="A78" s="26"/>
      <c r="B78" s="11" t="str">
        <f>CONCATENATE("          ", "6275", " - ", "SUBSCRIPTIONS")</f>
        <v xml:space="preserve">          6275 - SUBSCRIPTIONS</v>
      </c>
      <c r="C78" s="11"/>
      <c r="D78" s="6">
        <v>196.71</v>
      </c>
      <c r="E78" s="2"/>
      <c r="F78" s="7">
        <f t="shared" si="52"/>
        <v>3.5655182789228221E-3</v>
      </c>
      <c r="G78" s="2"/>
      <c r="H78" s="6">
        <v>200</v>
      </c>
      <c r="I78" s="2"/>
      <c r="J78" s="7">
        <f t="shared" si="53"/>
        <v>2.8985507246376812E-3</v>
      </c>
      <c r="K78" s="2"/>
      <c r="L78" s="6">
        <f t="shared" si="54"/>
        <v>-3.289999999999992</v>
      </c>
      <c r="M78" s="2"/>
      <c r="N78" s="7">
        <f t="shared" si="55"/>
        <v>-1.6449999999999961E-2</v>
      </c>
      <c r="O78" s="11"/>
      <c r="P78" s="6">
        <v>1180.26</v>
      </c>
      <c r="Q78" s="2"/>
      <c r="R78" s="7">
        <f t="shared" si="56"/>
        <v>2.6115176633570393E-3</v>
      </c>
      <c r="S78" s="2"/>
      <c r="T78" s="6">
        <v>1200</v>
      </c>
      <c r="U78" s="2"/>
      <c r="V78" s="7">
        <f t="shared" si="57"/>
        <v>2.4893683227880923E-3</v>
      </c>
      <c r="W78" s="2"/>
      <c r="X78" s="6">
        <f t="shared" si="58"/>
        <v>-19.740000000000009</v>
      </c>
      <c r="Y78" s="2"/>
      <c r="Z78" s="7">
        <f t="shared" si="59"/>
        <v>-1.6450000000000006E-2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SUM(OSRRefD22_14x_0)</f>
        <v>2579.98</v>
      </c>
      <c r="E79" s="1"/>
      <c r="F79" s="5">
        <f t="shared" ref="F79:F87" si="60">IF(D$12=0,0,D79/D$12)</f>
        <v>4.6764098669387945E-2</v>
      </c>
      <c r="G79" s="1"/>
      <c r="H79" s="1">
        <f>SUM(OSRRefH22_14x_0)</f>
        <v>1060</v>
      </c>
      <c r="I79" s="1"/>
      <c r="J79" s="5">
        <f t="shared" ref="J79:J87" si="61">IF(H$12=0,0,H79/H$12)</f>
        <v>1.536231884057971E-2</v>
      </c>
      <c r="K79" s="1"/>
      <c r="L79" s="1">
        <f t="shared" ref="L79:L87" si="62">+D79-H79</f>
        <v>1519.98</v>
      </c>
      <c r="M79" s="1"/>
      <c r="N79" s="5">
        <f t="shared" ref="N79:N87" si="63">IF(H79=0,0,L79/H79)</f>
        <v>1.4339433962264152</v>
      </c>
      <c r="O79" s="13"/>
      <c r="P79" s="1">
        <f>SUM(OSRRefP22_14x_0)</f>
        <v>15155.369999999999</v>
      </c>
      <c r="Q79" s="1"/>
      <c r="R79" s="5">
        <f t="shared" ref="R79:R87" si="64">IF(P$12=0,0,P79/P$12)</f>
        <v>3.3533726848077004E-2</v>
      </c>
      <c r="S79" s="1"/>
      <c r="T79" s="1">
        <f>SUM(OSRRefT22_14x_0)</f>
        <v>9710</v>
      </c>
      <c r="U79" s="1"/>
      <c r="V79" s="5">
        <f t="shared" ref="V79:V87" si="65">IF(T$12=0,0,T79/T$12)</f>
        <v>2.0143138678560317E-2</v>
      </c>
      <c r="W79" s="1"/>
      <c r="X79" s="1">
        <f t="shared" ref="X79:X87" si="66">+P79-T79</f>
        <v>5445.369999999999</v>
      </c>
      <c r="Y79" s="1"/>
      <c r="Z79" s="5">
        <f t="shared" ref="Z79:Z87" si="67">IF(T79=0,0,X79/T79)</f>
        <v>0.56080020597322333</v>
      </c>
    </row>
    <row r="80" spans="1:26" s="24" customFormat="1" hidden="1" outlineLevel="2" x14ac:dyDescent="0.25">
      <c r="A80" s="26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60"/>
        <v>0</v>
      </c>
      <c r="G80" s="2"/>
      <c r="H80" s="6"/>
      <c r="I80" s="2"/>
      <c r="J80" s="7">
        <f t="shared" si="61"/>
        <v>0</v>
      </c>
      <c r="K80" s="2"/>
      <c r="L80" s="6">
        <f t="shared" si="62"/>
        <v>0</v>
      </c>
      <c r="M80" s="2"/>
      <c r="N80" s="7">
        <f t="shared" si="63"/>
        <v>0</v>
      </c>
      <c r="O80" s="11"/>
      <c r="P80" s="6">
        <v>67.72</v>
      </c>
      <c r="Q80" s="2"/>
      <c r="R80" s="7">
        <f t="shared" si="64"/>
        <v>1.498415401373754E-4</v>
      </c>
      <c r="S80" s="2"/>
      <c r="T80" s="6">
        <v>400</v>
      </c>
      <c r="U80" s="2"/>
      <c r="V80" s="7">
        <f t="shared" si="65"/>
        <v>8.2978944092936414E-4</v>
      </c>
      <c r="W80" s="2"/>
      <c r="X80" s="6">
        <f t="shared" si="66"/>
        <v>-332.28</v>
      </c>
      <c r="Y80" s="2"/>
      <c r="Z80" s="7">
        <f t="shared" si="67"/>
        <v>-0.83069999999999988</v>
      </c>
    </row>
    <row r="81" spans="1:26" s="24" customFormat="1" hidden="1" outlineLevel="2" x14ac:dyDescent="0.25">
      <c r="A81" s="26"/>
      <c r="B81" s="11" t="str">
        <f>CONCATENATE("          ", "6237", " - ", "JANITORIAL SUPPLIES")</f>
        <v xml:space="preserve">          6237 - JANITORIAL SUPPLIES</v>
      </c>
      <c r="C81" s="11"/>
      <c r="D81" s="6">
        <v>2010.71</v>
      </c>
      <c r="E81" s="2"/>
      <c r="F81" s="7">
        <f t="shared" si="60"/>
        <v>3.6445647189329002E-2</v>
      </c>
      <c r="G81" s="2"/>
      <c r="H81" s="6">
        <v>400</v>
      </c>
      <c r="I81" s="2"/>
      <c r="J81" s="7">
        <f t="shared" si="61"/>
        <v>5.7971014492753624E-3</v>
      </c>
      <c r="K81" s="2"/>
      <c r="L81" s="6">
        <f t="shared" si="62"/>
        <v>1610.71</v>
      </c>
      <c r="M81" s="2"/>
      <c r="N81" s="7">
        <f t="shared" si="63"/>
        <v>4.0267749999999998</v>
      </c>
      <c r="O81" s="11"/>
      <c r="P81" s="6">
        <v>5708.7</v>
      </c>
      <c r="Q81" s="2"/>
      <c r="R81" s="7">
        <f t="shared" si="64"/>
        <v>1.2631429417930226E-2</v>
      </c>
      <c r="S81" s="2"/>
      <c r="T81" s="6">
        <v>2250</v>
      </c>
      <c r="U81" s="2"/>
      <c r="V81" s="7">
        <f t="shared" si="65"/>
        <v>4.6675656052276738E-3</v>
      </c>
      <c r="W81" s="2"/>
      <c r="X81" s="6">
        <f t="shared" si="66"/>
        <v>3458.7</v>
      </c>
      <c r="Y81" s="2"/>
      <c r="Z81" s="7">
        <f t="shared" si="67"/>
        <v>1.5371999999999999</v>
      </c>
    </row>
    <row r="82" spans="1:26" s="24" customFormat="1" hidden="1" outlineLevel="2" x14ac:dyDescent="0.25">
      <c r="A82" s="26"/>
      <c r="B82" s="11" t="str">
        <f>CONCATENATE("          ", "6239", " - ", "KITCHEN SUPPLIES")</f>
        <v xml:space="preserve">          6239 - KITCHEN SUPPLIES</v>
      </c>
      <c r="C82" s="11"/>
      <c r="D82" s="6"/>
      <c r="E82" s="2"/>
      <c r="F82" s="7">
        <f t="shared" si="60"/>
        <v>0</v>
      </c>
      <c r="G82" s="2"/>
      <c r="H82" s="6"/>
      <c r="I82" s="2"/>
      <c r="J82" s="7">
        <f t="shared" si="61"/>
        <v>0</v>
      </c>
      <c r="K82" s="2"/>
      <c r="L82" s="6">
        <f t="shared" si="62"/>
        <v>0</v>
      </c>
      <c r="M82" s="2"/>
      <c r="N82" s="7">
        <f t="shared" si="63"/>
        <v>0</v>
      </c>
      <c r="O82" s="11"/>
      <c r="P82" s="6">
        <v>231.26</v>
      </c>
      <c r="Q82" s="2"/>
      <c r="R82" s="7">
        <f t="shared" si="64"/>
        <v>5.1170045144963725E-4</v>
      </c>
      <c r="S82" s="2"/>
      <c r="T82" s="6">
        <v>450</v>
      </c>
      <c r="U82" s="2"/>
      <c r="V82" s="7">
        <f t="shared" si="65"/>
        <v>9.3351312104553467E-4</v>
      </c>
      <c r="W82" s="2"/>
      <c r="X82" s="6">
        <f t="shared" si="66"/>
        <v>-218.74</v>
      </c>
      <c r="Y82" s="2"/>
      <c r="Z82" s="7">
        <f t="shared" si="67"/>
        <v>-0.4860888888888889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6">
        <v>313.06</v>
      </c>
      <c r="E83" s="2"/>
      <c r="F83" s="7">
        <f t="shared" si="60"/>
        <v>5.6744504722666799E-3</v>
      </c>
      <c r="G83" s="2"/>
      <c r="H83" s="6">
        <v>100</v>
      </c>
      <c r="I83" s="2"/>
      <c r="J83" s="7">
        <f t="shared" si="61"/>
        <v>1.4492753623188406E-3</v>
      </c>
      <c r="K83" s="2"/>
      <c r="L83" s="6">
        <f t="shared" si="62"/>
        <v>213.06</v>
      </c>
      <c r="M83" s="2"/>
      <c r="N83" s="7">
        <f t="shared" si="63"/>
        <v>2.1305999999999998</v>
      </c>
      <c r="O83" s="11"/>
      <c r="P83" s="6">
        <v>5574.82</v>
      </c>
      <c r="Q83" s="2"/>
      <c r="R83" s="7">
        <f t="shared" si="64"/>
        <v>1.233519809197642E-2</v>
      </c>
      <c r="S83" s="2"/>
      <c r="T83" s="6">
        <v>750</v>
      </c>
      <c r="U83" s="2"/>
      <c r="V83" s="7">
        <f t="shared" si="65"/>
        <v>1.5558552017425579E-3</v>
      </c>
      <c r="W83" s="2"/>
      <c r="X83" s="6">
        <f t="shared" si="66"/>
        <v>4824.82</v>
      </c>
      <c r="Y83" s="2"/>
      <c r="Z83" s="7">
        <f t="shared" si="67"/>
        <v>6.4330933333333329</v>
      </c>
    </row>
    <row r="84" spans="1:26" s="24" customFormat="1" hidden="1" outlineLevel="2" x14ac:dyDescent="0.25">
      <c r="A84" s="26"/>
      <c r="B84" s="11" t="str">
        <f>CONCATENATE("          ", "6243", " - ", "PAPER SUPPLIES")</f>
        <v xml:space="preserve">          6243 - PAPER SUPPLIES</v>
      </c>
      <c r="C84" s="11"/>
      <c r="D84" s="6">
        <v>256.20999999999998</v>
      </c>
      <c r="E84" s="2"/>
      <c r="F84" s="7">
        <f t="shared" si="60"/>
        <v>4.6440010077922634E-3</v>
      </c>
      <c r="G84" s="2"/>
      <c r="H84" s="6">
        <v>500</v>
      </c>
      <c r="I84" s="2"/>
      <c r="J84" s="7">
        <f t="shared" si="61"/>
        <v>7.246376811594203E-3</v>
      </c>
      <c r="K84" s="2"/>
      <c r="L84" s="6">
        <f t="shared" si="62"/>
        <v>-243.79000000000002</v>
      </c>
      <c r="M84" s="2"/>
      <c r="N84" s="7">
        <f t="shared" si="63"/>
        <v>-0.48758000000000001</v>
      </c>
      <c r="O84" s="11"/>
      <c r="P84" s="6">
        <v>3146.84</v>
      </c>
      <c r="Q84" s="2"/>
      <c r="R84" s="7">
        <f t="shared" si="64"/>
        <v>6.96289651751179E-3</v>
      </c>
      <c r="S84" s="2"/>
      <c r="T84" s="6">
        <v>4500</v>
      </c>
      <c r="U84" s="2"/>
      <c r="V84" s="7">
        <f t="shared" si="65"/>
        <v>9.3351312104553476E-3</v>
      </c>
      <c r="W84" s="2"/>
      <c r="X84" s="6">
        <f t="shared" si="66"/>
        <v>-1353.1599999999999</v>
      </c>
      <c r="Y84" s="2"/>
      <c r="Z84" s="7">
        <f t="shared" si="67"/>
        <v>-0.3007022222222222</v>
      </c>
    </row>
    <row r="85" spans="1:26" s="24" customFormat="1" hidden="1" outlineLevel="2" x14ac:dyDescent="0.25">
      <c r="A85" s="26"/>
      <c r="B85" s="11" t="str">
        <f>CONCATENATE("          ", "6244", " - ", "SAFETY SUPPLY EXPENSE")</f>
        <v xml:space="preserve">          6244 - SAFETY SUPPLY EXPENSE</v>
      </c>
      <c r="C85" s="11"/>
      <c r="D85" s="6"/>
      <c r="E85" s="2"/>
      <c r="F85" s="7">
        <f t="shared" si="60"/>
        <v>0</v>
      </c>
      <c r="G85" s="2"/>
      <c r="H85" s="6">
        <v>60</v>
      </c>
      <c r="I85" s="2"/>
      <c r="J85" s="7">
        <f t="shared" si="61"/>
        <v>8.6956521739130438E-4</v>
      </c>
      <c r="K85" s="2"/>
      <c r="L85" s="6">
        <f t="shared" si="62"/>
        <v>-60</v>
      </c>
      <c r="M85" s="2"/>
      <c r="N85" s="7">
        <f t="shared" si="63"/>
        <v>-1</v>
      </c>
      <c r="O85" s="11"/>
      <c r="P85" s="6"/>
      <c r="Q85" s="2"/>
      <c r="R85" s="7">
        <f t="shared" si="64"/>
        <v>0</v>
      </c>
      <c r="S85" s="2"/>
      <c r="T85" s="6">
        <v>360</v>
      </c>
      <c r="U85" s="2"/>
      <c r="V85" s="7">
        <f t="shared" si="65"/>
        <v>7.4681049683642778E-4</v>
      </c>
      <c r="W85" s="2"/>
      <c r="X85" s="6">
        <f t="shared" si="66"/>
        <v>-360</v>
      </c>
      <c r="Y85" s="2"/>
      <c r="Z85" s="7">
        <f t="shared" si="67"/>
        <v>-1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>
        <v>410.56</v>
      </c>
      <c r="Q86" s="2"/>
      <c r="R86" s="7">
        <f t="shared" si="64"/>
        <v>9.0843093205553529E-4</v>
      </c>
      <c r="S86" s="2"/>
      <c r="T86" s="6">
        <v>200</v>
      </c>
      <c r="U86" s="2"/>
      <c r="V86" s="7">
        <f t="shared" si="65"/>
        <v>4.1489472046468207E-4</v>
      </c>
      <c r="W86" s="2"/>
      <c r="X86" s="6">
        <f t="shared" si="66"/>
        <v>210.56</v>
      </c>
      <c r="Y86" s="2"/>
      <c r="Z86" s="7">
        <f t="shared" si="67"/>
        <v>1.0528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15.47</v>
      </c>
      <c r="Q87" s="2"/>
      <c r="R87" s="7">
        <f t="shared" si="64"/>
        <v>3.4229897016024773E-5</v>
      </c>
      <c r="S87" s="2"/>
      <c r="T87" s="6">
        <v>800</v>
      </c>
      <c r="U87" s="2"/>
      <c r="V87" s="7">
        <f t="shared" si="65"/>
        <v>1.6595788818587283E-3</v>
      </c>
      <c r="W87" s="2"/>
      <c r="X87" s="6">
        <f t="shared" si="66"/>
        <v>-784.53</v>
      </c>
      <c r="Y87" s="2"/>
      <c r="Z87" s="7">
        <f t="shared" si="67"/>
        <v>-0.98066249999999999</v>
      </c>
    </row>
    <row r="88" spans="1:26" s="25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133.44999999999999</v>
      </c>
      <c r="E88" s="1"/>
      <c r="F88" s="5">
        <f t="shared" ref="F88:F94" si="68">IF(D$12=0,0,D88/D$12)</f>
        <v>2.4188826918928909E-3</v>
      </c>
      <c r="G88" s="1"/>
      <c r="H88" s="1">
        <f>SUM(OSRRefH22_15x_0)</f>
        <v>150</v>
      </c>
      <c r="I88" s="1"/>
      <c r="J88" s="5">
        <f t="shared" ref="J88:J94" si="69">IF(H$12=0,0,H88/H$12)</f>
        <v>2.1739130434782609E-3</v>
      </c>
      <c r="K88" s="1"/>
      <c r="L88" s="1">
        <f t="shared" ref="L88:L94" si="70">+D88-H88</f>
        <v>-16.550000000000011</v>
      </c>
      <c r="M88" s="1"/>
      <c r="N88" s="5">
        <f t="shared" ref="N88:N94" si="71">IF(H88=0,0,L88/H88)</f>
        <v>-0.11033333333333341</v>
      </c>
      <c r="O88" s="13"/>
      <c r="P88" s="1">
        <f>SUM(OSRRefP22_15x_0)</f>
        <v>852</v>
      </c>
      <c r="Q88" s="1"/>
      <c r="R88" s="5">
        <f t="shared" ref="R88:R94" si="72">IF(P$12=0,0,P88/P$12)</f>
        <v>1.8851888983615452E-3</v>
      </c>
      <c r="S88" s="1"/>
      <c r="T88" s="1">
        <f>SUM(OSRRefT22_15x_0)</f>
        <v>900</v>
      </c>
      <c r="U88" s="1"/>
      <c r="V88" s="5">
        <f t="shared" ref="V88:V94" si="73">IF(T$12=0,0,T88/T$12)</f>
        <v>1.8670262420910693E-3</v>
      </c>
      <c r="W88" s="1"/>
      <c r="X88" s="1">
        <f t="shared" ref="X88:X94" si="74">+P88-T88</f>
        <v>-48</v>
      </c>
      <c r="Y88" s="1"/>
      <c r="Z88" s="5">
        <f t="shared" ref="Z88:Z94" si="75">IF(T88=0,0,X88/T88)</f>
        <v>-5.3333333333333337E-2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6">
        <v>133.44999999999999</v>
      </c>
      <c r="E89" s="2"/>
      <c r="F89" s="7">
        <f t="shared" si="68"/>
        <v>2.4188826918928909E-3</v>
      </c>
      <c r="G89" s="2"/>
      <c r="H89" s="6">
        <v>150</v>
      </c>
      <c r="I89" s="2"/>
      <c r="J89" s="7">
        <f t="shared" si="69"/>
        <v>2.1739130434782609E-3</v>
      </c>
      <c r="K89" s="2"/>
      <c r="L89" s="6">
        <f t="shared" si="70"/>
        <v>-16.550000000000011</v>
      </c>
      <c r="M89" s="2"/>
      <c r="N89" s="7">
        <f t="shared" si="71"/>
        <v>-0.11033333333333341</v>
      </c>
      <c r="O89" s="11"/>
      <c r="P89" s="6">
        <v>852</v>
      </c>
      <c r="Q89" s="2"/>
      <c r="R89" s="7">
        <f t="shared" si="72"/>
        <v>1.8851888983615452E-3</v>
      </c>
      <c r="S89" s="2"/>
      <c r="T89" s="6">
        <v>900</v>
      </c>
      <c r="U89" s="2"/>
      <c r="V89" s="7">
        <f t="shared" si="73"/>
        <v>1.8670262420910693E-3</v>
      </c>
      <c r="W89" s="2"/>
      <c r="X89" s="6">
        <f t="shared" si="74"/>
        <v>-48</v>
      </c>
      <c r="Y89" s="2"/>
      <c r="Z89" s="7">
        <f t="shared" si="75"/>
        <v>-5.3333333333333337E-2</v>
      </c>
    </row>
    <row r="90" spans="1:26" s="25" customFormat="1" outlineLevel="1" collapsed="1" x14ac:dyDescent="0.25">
      <c r="A90" s="27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SUM(OSRRefD22_16x_0)</f>
        <v>20</v>
      </c>
      <c r="E90" s="1"/>
      <c r="F90" s="5">
        <f t="shared" si="68"/>
        <v>3.6251520298132499E-4</v>
      </c>
      <c r="G90" s="1"/>
      <c r="H90" s="1">
        <f>SUM(OSRRefH22_16x_0)</f>
        <v>0</v>
      </c>
      <c r="I90" s="1"/>
      <c r="J90" s="5">
        <f t="shared" si="69"/>
        <v>0</v>
      </c>
      <c r="K90" s="1"/>
      <c r="L90" s="1">
        <f t="shared" si="70"/>
        <v>20</v>
      </c>
      <c r="M90" s="1"/>
      <c r="N90" s="5">
        <f t="shared" si="71"/>
        <v>0</v>
      </c>
      <c r="O90" s="13"/>
      <c r="P90" s="1">
        <f>SUM(OSRRefP22_16x_0)</f>
        <v>164</v>
      </c>
      <c r="Q90" s="1"/>
      <c r="R90" s="5">
        <f t="shared" si="72"/>
        <v>3.6287673630433498E-4</v>
      </c>
      <c r="S90" s="1"/>
      <c r="T90" s="1">
        <f>SUM(OSRRefT22_16x_0)</f>
        <v>0</v>
      </c>
      <c r="U90" s="1"/>
      <c r="V90" s="5">
        <f t="shared" si="73"/>
        <v>0</v>
      </c>
      <c r="W90" s="1"/>
      <c r="X90" s="1">
        <f t="shared" si="74"/>
        <v>164</v>
      </c>
      <c r="Y90" s="1"/>
      <c r="Z90" s="5">
        <f t="shared" si="75"/>
        <v>0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6">
        <v>20</v>
      </c>
      <c r="E91" s="2"/>
      <c r="F91" s="7">
        <f t="shared" si="68"/>
        <v>3.6251520298132499E-4</v>
      </c>
      <c r="G91" s="2"/>
      <c r="H91" s="6"/>
      <c r="I91" s="2"/>
      <c r="J91" s="7">
        <f t="shared" si="69"/>
        <v>0</v>
      </c>
      <c r="K91" s="2"/>
      <c r="L91" s="6">
        <f t="shared" si="70"/>
        <v>20</v>
      </c>
      <c r="M91" s="2"/>
      <c r="N91" s="7">
        <f t="shared" si="71"/>
        <v>0</v>
      </c>
      <c r="O91" s="11"/>
      <c r="P91" s="6">
        <v>164</v>
      </c>
      <c r="Q91" s="2"/>
      <c r="R91" s="7">
        <f t="shared" si="72"/>
        <v>3.6287673630433498E-4</v>
      </c>
      <c r="S91" s="2"/>
      <c r="T91" s="6"/>
      <c r="U91" s="2"/>
      <c r="V91" s="7">
        <f t="shared" si="73"/>
        <v>0</v>
      </c>
      <c r="W91" s="2"/>
      <c r="X91" s="6">
        <f t="shared" si="74"/>
        <v>164</v>
      </c>
      <c r="Y91" s="2"/>
      <c r="Z91" s="7">
        <f t="shared" si="75"/>
        <v>0</v>
      </c>
    </row>
    <row r="92" spans="1:26" s="25" customFormat="1" outlineLevel="1" collapsed="1" x14ac:dyDescent="0.25">
      <c r="A92" s="27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SUM(OSRRefD22_17x_0)</f>
        <v>0</v>
      </c>
      <c r="E92" s="1"/>
      <c r="F92" s="5">
        <f t="shared" si="68"/>
        <v>0</v>
      </c>
      <c r="G92" s="1"/>
      <c r="H92" s="1">
        <f>SUM(OSRRefH22_17x_0)</f>
        <v>0</v>
      </c>
      <c r="I92" s="1"/>
      <c r="J92" s="5">
        <f t="shared" si="69"/>
        <v>0</v>
      </c>
      <c r="K92" s="1"/>
      <c r="L92" s="1">
        <f t="shared" si="70"/>
        <v>0</v>
      </c>
      <c r="M92" s="1"/>
      <c r="N92" s="5">
        <f t="shared" si="71"/>
        <v>0</v>
      </c>
      <c r="O92" s="13"/>
      <c r="P92" s="1">
        <f>SUM(OSRRefP22_17x_0)</f>
        <v>0</v>
      </c>
      <c r="Q92" s="1"/>
      <c r="R92" s="5">
        <f t="shared" si="72"/>
        <v>0</v>
      </c>
      <c r="S92" s="1"/>
      <c r="T92" s="1">
        <f>SUM(OSRRefT22_17x_0)</f>
        <v>1200</v>
      </c>
      <c r="U92" s="1"/>
      <c r="V92" s="5">
        <f t="shared" si="73"/>
        <v>2.4893683227880923E-3</v>
      </c>
      <c r="W92" s="1"/>
      <c r="X92" s="1">
        <f t="shared" si="74"/>
        <v>-1200</v>
      </c>
      <c r="Y92" s="1"/>
      <c r="Z92" s="5">
        <f t="shared" si="75"/>
        <v>-1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68"/>
        <v>0</v>
      </c>
      <c r="G93" s="2"/>
      <c r="H93" s="6"/>
      <c r="I93" s="2"/>
      <c r="J93" s="7">
        <f t="shared" si="69"/>
        <v>0</v>
      </c>
      <c r="K93" s="2"/>
      <c r="L93" s="6">
        <f t="shared" si="70"/>
        <v>0</v>
      </c>
      <c r="M93" s="2"/>
      <c r="N93" s="7">
        <f t="shared" si="71"/>
        <v>0</v>
      </c>
      <c r="O93" s="11"/>
      <c r="P93" s="6"/>
      <c r="Q93" s="2"/>
      <c r="R93" s="7">
        <f t="shared" si="72"/>
        <v>0</v>
      </c>
      <c r="S93" s="2"/>
      <c r="T93" s="6">
        <v>1200</v>
      </c>
      <c r="U93" s="2"/>
      <c r="V93" s="7">
        <f t="shared" si="73"/>
        <v>2.4893683227880923E-3</v>
      </c>
      <c r="W93" s="2"/>
      <c r="X93" s="6">
        <f t="shared" si="74"/>
        <v>-1200</v>
      </c>
      <c r="Y93" s="2"/>
      <c r="Z93" s="7">
        <f t="shared" si="75"/>
        <v>-1</v>
      </c>
    </row>
    <row r="94" spans="1:26" s="24" customFormat="1" hidden="1" outlineLevel="2" x14ac:dyDescent="0.25">
      <c r="A94" s="26"/>
      <c r="B94" s="11" t="str">
        <f>CONCATENATE("          ", "6298", " - ", "VEHICLE MILEAGE")</f>
        <v xml:space="preserve">          6298 - VEHICLE MILEAGE</v>
      </c>
      <c r="C94" s="11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1"/>
      <c r="P94" s="6"/>
      <c r="Q94" s="2"/>
      <c r="R94" s="7">
        <f t="shared" si="72"/>
        <v>0</v>
      </c>
      <c r="S94" s="2"/>
      <c r="T94" s="6">
        <v>0</v>
      </c>
      <c r="U94" s="2"/>
      <c r="V94" s="7">
        <f t="shared" si="73"/>
        <v>0</v>
      </c>
      <c r="W94" s="2"/>
      <c r="X94" s="6">
        <f t="shared" si="74"/>
        <v>0</v>
      </c>
      <c r="Y94" s="2"/>
      <c r="Z94" s="7">
        <f t="shared" si="75"/>
        <v>0</v>
      </c>
    </row>
    <row r="95" spans="1:26" s="25" customFormat="1" outlineLevel="1" collapsed="1" x14ac:dyDescent="0.25">
      <c r="A95" s="27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SUM(OSRRefD22_18x_0)</f>
        <v>5088</v>
      </c>
      <c r="E95" s="1"/>
      <c r="F95" s="5">
        <f t="shared" ref="F95:F96" si="76">IF(D$12=0,0,D95/D$12)</f>
        <v>9.2223867638449072E-2</v>
      </c>
      <c r="G95" s="1"/>
      <c r="H95" s="1">
        <f>SUM(OSRRefH22_18x_0)</f>
        <v>2100</v>
      </c>
      <c r="I95" s="1"/>
      <c r="J95" s="5">
        <f t="shared" ref="J95:J96" si="77">IF(H$12=0,0,H95/H$12)</f>
        <v>3.0434782608695653E-2</v>
      </c>
      <c r="K95" s="1"/>
      <c r="L95" s="1">
        <f t="shared" ref="L95:L96" si="78">+D95-H95</f>
        <v>2988</v>
      </c>
      <c r="M95" s="1"/>
      <c r="N95" s="5">
        <f t="shared" ref="N95:N96" si="79">IF(H95=0,0,L95/H95)</f>
        <v>1.4228571428571428</v>
      </c>
      <c r="O95" s="13"/>
      <c r="P95" s="1">
        <f>SUM(OSRRefP22_18x_0)</f>
        <v>13212</v>
      </c>
      <c r="Q95" s="1"/>
      <c r="R95" s="5">
        <f t="shared" ref="R95:R96" si="80">IF(P$12=0,0,P95/P$12)</f>
        <v>2.9233703902761428E-2</v>
      </c>
      <c r="S95" s="1"/>
      <c r="T95" s="1">
        <f>SUM(OSRRefT22_18x_0)</f>
        <v>12600</v>
      </c>
      <c r="U95" s="1"/>
      <c r="V95" s="5">
        <f t="shared" ref="V95:V96" si="81">IF(T$12=0,0,T95/T$12)</f>
        <v>2.6138367389274973E-2</v>
      </c>
      <c r="W95" s="1"/>
      <c r="X95" s="1">
        <f t="shared" ref="X95:X96" si="82">+P95-T95</f>
        <v>612</v>
      </c>
      <c r="Y95" s="1"/>
      <c r="Z95" s="5">
        <f t="shared" ref="Z95:Z96" si="83">IF(T95=0,0,X95/T95)</f>
        <v>4.8571428571428571E-2</v>
      </c>
    </row>
    <row r="96" spans="1:26" s="24" customFormat="1" hidden="1" outlineLevel="2" x14ac:dyDescent="0.25">
      <c r="A96" s="26"/>
      <c r="B96" s="11" t="str">
        <f>CONCATENATE("          ", "6274", " - ", "UTILITIES")</f>
        <v xml:space="preserve">          6274 - UTILITIES</v>
      </c>
      <c r="C96" s="11"/>
      <c r="D96" s="6">
        <v>5088</v>
      </c>
      <c r="E96" s="2"/>
      <c r="F96" s="7">
        <f t="shared" si="76"/>
        <v>9.2223867638449072E-2</v>
      </c>
      <c r="G96" s="2"/>
      <c r="H96" s="6">
        <v>2100</v>
      </c>
      <c r="I96" s="2"/>
      <c r="J96" s="7">
        <f t="shared" si="77"/>
        <v>3.0434782608695653E-2</v>
      </c>
      <c r="K96" s="2"/>
      <c r="L96" s="6">
        <f t="shared" si="78"/>
        <v>2988</v>
      </c>
      <c r="M96" s="2"/>
      <c r="N96" s="7">
        <f t="shared" si="79"/>
        <v>1.4228571428571428</v>
      </c>
      <c r="O96" s="11"/>
      <c r="P96" s="6">
        <v>13212</v>
      </c>
      <c r="Q96" s="2"/>
      <c r="R96" s="7">
        <f t="shared" si="80"/>
        <v>2.9233703902761428E-2</v>
      </c>
      <c r="S96" s="2"/>
      <c r="T96" s="6">
        <v>12600</v>
      </c>
      <c r="U96" s="2"/>
      <c r="V96" s="7">
        <f t="shared" si="81"/>
        <v>2.6138367389274973E-2</v>
      </c>
      <c r="W96" s="2"/>
      <c r="X96" s="6">
        <f t="shared" si="82"/>
        <v>612</v>
      </c>
      <c r="Y96" s="2"/>
      <c r="Z96" s="7">
        <f t="shared" si="83"/>
        <v>4.8571428571428571E-2</v>
      </c>
    </row>
    <row r="97" spans="1:26" s="5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68.760000000000005</v>
      </c>
      <c r="E98" s="4"/>
      <c r="F98" s="12">
        <f t="shared" ref="F98:F99" si="84">IF(D$12=0,0,D98/D$12)</f>
        <v>1.2463272678497955E-3</v>
      </c>
      <c r="G98" s="4"/>
      <c r="H98" s="4">
        <f>SUM(OSRRefH25x_0)</f>
        <v>0</v>
      </c>
      <c r="I98" s="4"/>
      <c r="J98" s="12">
        <f t="shared" ref="J98:J99" si="85">IF(H$12=0,0,H98/H$12)</f>
        <v>0</v>
      </c>
      <c r="K98" s="4"/>
      <c r="L98" s="4">
        <f t="shared" ref="L98:L99" si="86">+D98-H98</f>
        <v>68.760000000000005</v>
      </c>
      <c r="M98" s="4"/>
      <c r="N98" s="12">
        <f t="shared" ref="N98:N99" si="87">IF(H98=0,0,L98/H98)</f>
        <v>0</v>
      </c>
      <c r="O98" s="10"/>
      <c r="P98" s="4">
        <f>SUM(OSRRefP25x_0)</f>
        <v>68.760000000000005</v>
      </c>
      <c r="Q98" s="4"/>
      <c r="R98" s="12">
        <f t="shared" ref="R98:R99" si="88">IF(P$12=0,0,P98/P$12)</f>
        <v>1.5214270968467119E-4</v>
      </c>
      <c r="S98" s="4"/>
      <c r="T98" s="4">
        <f>SUM(OSRRefT25x_0)</f>
        <v>0</v>
      </c>
      <c r="U98" s="4"/>
      <c r="V98" s="12">
        <f t="shared" ref="V98:V99" si="89">IF(T$12=0,0,T98/T$12)</f>
        <v>0</v>
      </c>
      <c r="W98" s="4"/>
      <c r="X98" s="4">
        <f t="shared" ref="X98:X99" si="90">+P98-T98</f>
        <v>68.760000000000005</v>
      </c>
      <c r="Y98" s="4"/>
      <c r="Z98" s="12">
        <f t="shared" ref="Z98:Z99" si="91">IF(T98=0,0,X98/T98)</f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--68.76</f>
        <v>68.760000000000005</v>
      </c>
      <c r="E99" s="2"/>
      <c r="F99" s="19">
        <f t="shared" si="84"/>
        <v>1.2463272678497955E-3</v>
      </c>
      <c r="G99" s="2"/>
      <c r="H99" s="2"/>
      <c r="I99" s="2"/>
      <c r="J99" s="19">
        <f t="shared" si="85"/>
        <v>0</v>
      </c>
      <c r="K99" s="2"/>
      <c r="L99" s="2">
        <f t="shared" si="86"/>
        <v>68.760000000000005</v>
      </c>
      <c r="M99" s="2"/>
      <c r="N99" s="19">
        <f t="shared" si="87"/>
        <v>0</v>
      </c>
      <c r="O99" s="11"/>
      <c r="P99" s="2">
        <f>--68.76</f>
        <v>68.760000000000005</v>
      </c>
      <c r="Q99" s="2"/>
      <c r="R99" s="19">
        <f t="shared" si="88"/>
        <v>1.5214270968467119E-4</v>
      </c>
      <c r="S99" s="2"/>
      <c r="T99" s="2"/>
      <c r="U99" s="2"/>
      <c r="V99" s="19">
        <f t="shared" si="89"/>
        <v>0</v>
      </c>
      <c r="W99" s="2"/>
      <c r="X99" s="2">
        <f t="shared" si="90"/>
        <v>68.760000000000005</v>
      </c>
      <c r="Y99" s="2"/>
      <c r="Z99" s="19">
        <f t="shared" si="91"/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2">
        <f>+D22-D24+D98</f>
        <v>-34139.639999999992</v>
      </c>
      <c r="E101" s="14"/>
      <c r="F101" s="20">
        <f>IF(D$12=0,0,D101/D$12)</f>
        <v>-0.61880692621546796</v>
      </c>
      <c r="G101" s="14"/>
      <c r="H101" s="22">
        <f>+H22-H24+H98</f>
        <v>-10235.065614153849</v>
      </c>
      <c r="I101" s="14"/>
      <c r="J101" s="20">
        <f>IF(H$12=0,0,H101/H$12)</f>
        <v>-0.14833428426309928</v>
      </c>
      <c r="K101" s="16"/>
      <c r="L101" s="22">
        <f>+D101-H101</f>
        <v>-23904.574385846143</v>
      </c>
      <c r="M101" s="16"/>
      <c r="N101" s="20">
        <f>IF(H101=0,0,L101/H101)</f>
        <v>2.3355565354450709</v>
      </c>
      <c r="O101" s="28"/>
      <c r="P101" s="22">
        <f>+P22-P24+P98</f>
        <v>-118793.96000000004</v>
      </c>
      <c r="Q101" s="14"/>
      <c r="R101" s="20">
        <f>IF(P$12=0,0,P101/P$12)</f>
        <v>-0.26285100303333986</v>
      </c>
      <c r="S101" s="14"/>
      <c r="T101" s="22">
        <f>+T22-T24+T98</f>
        <v>-69919.064982615411</v>
      </c>
      <c r="U101" s="14"/>
      <c r="V101" s="20">
        <f>IF(T$12=0,0,T101/T$12)</f>
        <v>-0.14504525460557083</v>
      </c>
      <c r="W101" s="16"/>
      <c r="X101" s="22">
        <f>+P101-T101</f>
        <v>-48874.895017384624</v>
      </c>
      <c r="Y101" s="16"/>
      <c r="Z101" s="20">
        <f>IF(T101=0,0,X101/T101)</f>
        <v>0.69902100420731905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6797.76</v>
      </c>
      <c r="E103" s="4"/>
      <c r="F103" s="12">
        <f>IF(D$12=0,0,D103/D$12)</f>
        <v>0.1232145673109166</v>
      </c>
      <c r="G103" s="4"/>
      <c r="H103" s="4">
        <v>9749</v>
      </c>
      <c r="I103" s="4"/>
      <c r="J103" s="12">
        <f>IF(H$12=0,0,H103/H$12)</f>
        <v>0.14128985507246378</v>
      </c>
      <c r="K103" s="4"/>
      <c r="L103" s="4">
        <f>+D103-H103</f>
        <v>-2951.24</v>
      </c>
      <c r="M103" s="4"/>
      <c r="N103" s="12">
        <f>IF(H103=0,0,L103/H103)</f>
        <v>-0.3027223304954354</v>
      </c>
      <c r="O103" s="10"/>
      <c r="P103" s="4">
        <v>48813.440000000002</v>
      </c>
      <c r="Q103" s="4"/>
      <c r="R103" s="12">
        <f>IF(P$12=0,0,P103/P$12)</f>
        <v>0.10800769387187488</v>
      </c>
      <c r="S103" s="4"/>
      <c r="T103" s="4">
        <v>62095.000000000007</v>
      </c>
      <c r="U103" s="4"/>
      <c r="V103" s="12">
        <f>IF(T$12=0,0,T103/T$12)</f>
        <v>0.12881443833627218</v>
      </c>
      <c r="W103" s="4"/>
      <c r="X103" s="4">
        <f>+P103-T103</f>
        <v>-13281.560000000005</v>
      </c>
      <c r="Y103" s="4"/>
      <c r="Z103" s="12">
        <f>IF(T103=0,0,X103/T103)</f>
        <v>-0.21389097350833405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-40937.399999999994</v>
      </c>
      <c r="E105" s="14"/>
      <c r="F105" s="32">
        <f>IF(D$12=0,0,D105/D$12)</f>
        <v>-0.74202149352638458</v>
      </c>
      <c r="G105" s="14"/>
      <c r="H105" s="31">
        <f>+H101-H103</f>
        <v>-19984.065614153849</v>
      </c>
      <c r="I105" s="14"/>
      <c r="J105" s="32">
        <f>IF(H$12=0,0,H105/H$12)</f>
        <v>-0.28962413933556302</v>
      </c>
      <c r="K105" s="16"/>
      <c r="L105" s="31">
        <f>D105-H105</f>
        <v>-20953.334385846145</v>
      </c>
      <c r="M105" s="16"/>
      <c r="N105" s="32">
        <f>IF(H105=0,0,L105/H105)</f>
        <v>1.0485020811283667</v>
      </c>
      <c r="O105" s="28"/>
      <c r="P105" s="31">
        <f>+P101-P103</f>
        <v>-167607.40000000002</v>
      </c>
      <c r="Q105" s="14"/>
      <c r="R105" s="32">
        <f>IF(P$12=0,0,P105/P$12)</f>
        <v>-0.37085869690521467</v>
      </c>
      <c r="S105" s="14"/>
      <c r="T105" s="31">
        <f>+T101-T103</f>
        <v>-132014.06498261541</v>
      </c>
      <c r="U105" s="14"/>
      <c r="V105" s="32">
        <f>IF(T$12=0,0,T105/T$12)</f>
        <v>-0.27385969294184298</v>
      </c>
      <c r="W105" s="16"/>
      <c r="X105" s="31">
        <f>P105-T105</f>
        <v>-35593.335017384612</v>
      </c>
      <c r="Y105" s="16"/>
      <c r="Z105" s="32">
        <f>IF(T105=0,0,X105/T105)</f>
        <v>0.26961774885177431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5">
        <f>SUM(D105:D107)</f>
        <v>-40937.399999999994</v>
      </c>
      <c r="E108" s="14"/>
      <c r="F108" s="34">
        <f>IF(D$12=0,0,D108/D$12)</f>
        <v>-0.74202149352638458</v>
      </c>
      <c r="G108" s="14"/>
      <c r="H108" s="35">
        <f>SUM(H105:H107)</f>
        <v>-19984.065614153849</v>
      </c>
      <c r="I108" s="14"/>
      <c r="J108" s="34">
        <f>IF(H$12=0,0,H108/H$12)</f>
        <v>-0.28962413933556302</v>
      </c>
      <c r="K108" s="16"/>
      <c r="L108" s="35">
        <f>+D108-H108</f>
        <v>-20953.334385846145</v>
      </c>
      <c r="M108" s="16"/>
      <c r="N108" s="34">
        <f>IF(H108=0,0,L108/H108)</f>
        <v>1.0485020811283667</v>
      </c>
      <c r="O108" s="28"/>
      <c r="P108" s="35">
        <f>SUM(P105:P107)</f>
        <v>-167607.40000000002</v>
      </c>
      <c r="Q108" s="14"/>
      <c r="R108" s="34">
        <f>IF(P$12=0,0,P108/P$12)</f>
        <v>-0.37085869690521467</v>
      </c>
      <c r="S108" s="14"/>
      <c r="T108" s="35">
        <f>SUM(T105:T107)</f>
        <v>-132014.06498261541</v>
      </c>
      <c r="U108" s="14"/>
      <c r="V108" s="34">
        <f>IF(T$12=0,0,T108/T$12)</f>
        <v>-0.27385969294184298</v>
      </c>
      <c r="W108" s="16"/>
      <c r="X108" s="35">
        <f>+P108-T108</f>
        <v>-35593.335017384612</v>
      </c>
      <c r="Y108" s="16"/>
      <c r="Z108" s="34">
        <f>IF(T108=0,0,X108/T108)</f>
        <v>0.26961774885177431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3">
        <v>43847.446272222223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5" t="s">
        <v>314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6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C63" sqref="C63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100001.24</v>
      </c>
      <c r="E12" s="4"/>
      <c r="F12" s="12"/>
      <c r="G12" s="4"/>
      <c r="H12" s="4">
        <f>SUM(OSRRefH13x_0)</f>
        <v>124500</v>
      </c>
      <c r="I12" s="4"/>
      <c r="J12" s="12"/>
      <c r="K12" s="4"/>
      <c r="L12" s="4">
        <f t="shared" ref="L12:L16" si="0">+D12-H12</f>
        <v>-24498.759999999995</v>
      </c>
      <c r="M12" s="4"/>
      <c r="N12" s="12">
        <f t="shared" ref="N12:N16" si="1">IF(H12=0,0,L12/H12)</f>
        <v>-0.19677718875502004</v>
      </c>
      <c r="O12" s="10"/>
      <c r="P12" s="4">
        <f>SUM(OSRRefP13x_0)</f>
        <v>756574.4</v>
      </c>
      <c r="Q12" s="4"/>
      <c r="R12" s="12"/>
      <c r="S12" s="4"/>
      <c r="T12" s="4">
        <f>SUM(OSRRefT13x_0)</f>
        <v>795300</v>
      </c>
      <c r="U12" s="4"/>
      <c r="V12" s="12"/>
      <c r="W12" s="4"/>
      <c r="X12" s="4">
        <f t="shared" ref="X12:X16" si="2">+P12-T12</f>
        <v>-38725.599999999977</v>
      </c>
      <c r="Y12" s="4"/>
      <c r="Z12" s="12">
        <f t="shared" ref="Z12:Z16" si="3">IF(T12=0,0,X12/T12)</f>
        <v>-4.8693071796806209E-2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48600</v>
      </c>
      <c r="I13" s="2"/>
      <c r="J13" s="19"/>
      <c r="K13" s="2"/>
      <c r="L13" s="2">
        <f t="shared" si="0"/>
        <v>-48600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312040</v>
      </c>
      <c r="U13" s="2"/>
      <c r="V13" s="19"/>
      <c r="W13" s="2"/>
      <c r="X13" s="2">
        <f t="shared" si="2"/>
        <v>-312040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--36745.98</f>
        <v>36745.980000000003</v>
      </c>
      <c r="E14" s="2"/>
      <c r="F14" s="19"/>
      <c r="G14" s="2"/>
      <c r="H14" s="2"/>
      <c r="I14" s="2"/>
      <c r="J14" s="19"/>
      <c r="K14" s="2"/>
      <c r="L14" s="2">
        <f t="shared" si="0"/>
        <v>36745.980000000003</v>
      </c>
      <c r="M14" s="2"/>
      <c r="N14" s="19">
        <f t="shared" si="1"/>
        <v>0</v>
      </c>
      <c r="O14" s="11"/>
      <c r="P14" s="2">
        <f>--271853.95</f>
        <v>271853.95</v>
      </c>
      <c r="Q14" s="2"/>
      <c r="R14" s="19"/>
      <c r="S14" s="2"/>
      <c r="T14" s="2"/>
      <c r="U14" s="2"/>
      <c r="V14" s="19"/>
      <c r="W14" s="2"/>
      <c r="X14" s="2">
        <f t="shared" si="2"/>
        <v>271853.95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75900</v>
      </c>
      <c r="I15" s="2"/>
      <c r="J15" s="19"/>
      <c r="K15" s="2"/>
      <c r="L15" s="2">
        <f t="shared" si="0"/>
        <v>-75900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483260</v>
      </c>
      <c r="U15" s="2"/>
      <c r="V15" s="19"/>
      <c r="W15" s="2"/>
      <c r="X15" s="2">
        <f t="shared" si="2"/>
        <v>-483260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--63255.26</f>
        <v>63255.26</v>
      </c>
      <c r="E16" s="2"/>
      <c r="F16" s="19"/>
      <c r="G16" s="2"/>
      <c r="H16" s="2"/>
      <c r="I16" s="2"/>
      <c r="J16" s="19"/>
      <c r="K16" s="2"/>
      <c r="L16" s="2">
        <f t="shared" si="0"/>
        <v>63255.26</v>
      </c>
      <c r="M16" s="2"/>
      <c r="N16" s="19">
        <f t="shared" si="1"/>
        <v>0</v>
      </c>
      <c r="O16" s="11"/>
      <c r="P16" s="2">
        <f>--484720.45</f>
        <v>484720.45</v>
      </c>
      <c r="Q16" s="2"/>
      <c r="R16" s="19"/>
      <c r="S16" s="2"/>
      <c r="T16" s="2"/>
      <c r="U16" s="2"/>
      <c r="V16" s="19"/>
      <c r="W16" s="2"/>
      <c r="X16" s="2">
        <f t="shared" si="2"/>
        <v>484720.45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29523.11</v>
      </c>
      <c r="E18" s="4"/>
      <c r="F18" s="12">
        <f t="shared" ref="F18:F21" si="4">IF(D$12=0,0,D18/D$12)</f>
        <v>0.29522743917975414</v>
      </c>
      <c r="G18" s="4"/>
      <c r="H18" s="4">
        <f>SUM(OSRRefH16x_0)</f>
        <v>38150</v>
      </c>
      <c r="I18" s="4"/>
      <c r="J18" s="12">
        <f t="shared" ref="J18:J21" si="5">IF(H$12=0,0,H18/H$12)</f>
        <v>0.30642570281124498</v>
      </c>
      <c r="K18" s="4"/>
      <c r="L18" s="4">
        <f t="shared" ref="L18:L21" si="6">+D18-H18</f>
        <v>-8626.89</v>
      </c>
      <c r="M18" s="4"/>
      <c r="N18" s="12">
        <f t="shared" ref="N18:N21" si="7">IF(H18=0,0,L18/H18)</f>
        <v>-0.2261307994757536</v>
      </c>
      <c r="O18" s="10"/>
      <c r="P18" s="4">
        <f>SUM(OSRRefP16x_0)</f>
        <v>246045.73</v>
      </c>
      <c r="Q18" s="4"/>
      <c r="R18" s="12">
        <f t="shared" ref="R18:R21" si="8">IF(P$12=0,0,P18/P$12)</f>
        <v>0.32521022387223253</v>
      </c>
      <c r="S18" s="4"/>
      <c r="T18" s="4">
        <f>SUM(OSRRefT16x_0)</f>
        <v>244963.99999999997</v>
      </c>
      <c r="U18" s="4"/>
      <c r="V18" s="12">
        <f t="shared" ref="V18:V21" si="9">IF(T$12=0,0,T18/T$12)</f>
        <v>0.30801458569093421</v>
      </c>
      <c r="W18" s="4"/>
      <c r="X18" s="4">
        <f t="shared" ref="X18:X21" si="10">+P18-T18</f>
        <v>1081.7300000000396</v>
      </c>
      <c r="Y18" s="4"/>
      <c r="Z18" s="12">
        <f t="shared" ref="Z18:Z21" si="11">IF(T18=0,0,X18/T18)</f>
        <v>4.4158733528193517E-3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38150</v>
      </c>
      <c r="I19" s="2"/>
      <c r="J19" s="19">
        <f t="shared" si="5"/>
        <v>0.30642570281124498</v>
      </c>
      <c r="K19" s="2"/>
      <c r="L19" s="2">
        <f t="shared" si="6"/>
        <v>-38150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244963.99999999997</v>
      </c>
      <c r="U19" s="2"/>
      <c r="V19" s="19">
        <f t="shared" si="9"/>
        <v>0.30801458569093421</v>
      </c>
      <c r="W19" s="2"/>
      <c r="X19" s="2">
        <f t="shared" si="10"/>
        <v>-244963.99999999997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34087.11</v>
      </c>
      <c r="E20" s="2"/>
      <c r="F20" s="19">
        <f t="shared" si="4"/>
        <v>0.3408668732507717</v>
      </c>
      <c r="G20" s="2"/>
      <c r="H20" s="2"/>
      <c r="I20" s="2"/>
      <c r="J20" s="19">
        <f t="shared" si="5"/>
        <v>0</v>
      </c>
      <c r="K20" s="2"/>
      <c r="L20" s="2">
        <f t="shared" si="6"/>
        <v>34087.11</v>
      </c>
      <c r="M20" s="2"/>
      <c r="N20" s="19">
        <f t="shared" si="7"/>
        <v>0</v>
      </c>
      <c r="O20" s="11"/>
      <c r="P20" s="2">
        <v>255146.73</v>
      </c>
      <c r="Q20" s="2"/>
      <c r="R20" s="19">
        <f t="shared" si="8"/>
        <v>0.33723944399916256</v>
      </c>
      <c r="S20" s="2"/>
      <c r="T20" s="2"/>
      <c r="U20" s="2"/>
      <c r="V20" s="19">
        <f t="shared" si="9"/>
        <v>0</v>
      </c>
      <c r="W20" s="2"/>
      <c r="X20" s="2">
        <f t="shared" si="10"/>
        <v>255146.73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-4564</v>
      </c>
      <c r="E21" s="2"/>
      <c r="F21" s="19">
        <f t="shared" si="4"/>
        <v>-4.5639434071017518E-2</v>
      </c>
      <c r="G21" s="2"/>
      <c r="H21" s="2"/>
      <c r="I21" s="2"/>
      <c r="J21" s="19">
        <f t="shared" si="5"/>
        <v>0</v>
      </c>
      <c r="K21" s="2"/>
      <c r="L21" s="2">
        <f t="shared" si="6"/>
        <v>-4564</v>
      </c>
      <c r="M21" s="2"/>
      <c r="N21" s="19">
        <f t="shared" si="7"/>
        <v>0</v>
      </c>
      <c r="O21" s="11"/>
      <c r="P21" s="2">
        <v>-9101</v>
      </c>
      <c r="Q21" s="2"/>
      <c r="R21" s="19">
        <f t="shared" si="8"/>
        <v>-1.2029220126930015E-2</v>
      </c>
      <c r="S21" s="2"/>
      <c r="T21" s="2"/>
      <c r="U21" s="2"/>
      <c r="V21" s="19">
        <f t="shared" si="9"/>
        <v>0</v>
      </c>
      <c r="W21" s="2"/>
      <c r="X21" s="2">
        <f t="shared" si="10"/>
        <v>-9101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70478.13</v>
      </c>
      <c r="E23" s="14"/>
      <c r="F23" s="20">
        <f>IF(D$12=0,0,D23/D$12)</f>
        <v>0.70477256082024586</v>
      </c>
      <c r="G23" s="14"/>
      <c r="H23" s="22">
        <f>H12-H18</f>
        <v>86350</v>
      </c>
      <c r="I23" s="14"/>
      <c r="J23" s="20">
        <f>IF(H$12=0,0,H23/H$12)</f>
        <v>0.69357429718875507</v>
      </c>
      <c r="K23" s="16"/>
      <c r="L23" s="22">
        <f>+D23-H23</f>
        <v>-15871.869999999995</v>
      </c>
      <c r="M23" s="16"/>
      <c r="N23" s="20">
        <f>IF(H23=0,0,L23/H23)</f>
        <v>-0.18380856977417481</v>
      </c>
      <c r="O23" s="28"/>
      <c r="P23" s="22">
        <f>P12-P18</f>
        <v>510528.67000000004</v>
      </c>
      <c r="Q23" s="14"/>
      <c r="R23" s="20">
        <f>IF(P$12=0,0,P23/P$12)</f>
        <v>0.67478977612776747</v>
      </c>
      <c r="S23" s="14"/>
      <c r="T23" s="22">
        <f>T12-T18</f>
        <v>550336</v>
      </c>
      <c r="U23" s="14"/>
      <c r="V23" s="20">
        <f>IF(T$12=0,0,T23/T$12)</f>
        <v>0.69198541430906579</v>
      </c>
      <c r="W23" s="16"/>
      <c r="X23" s="22">
        <f>+P23-T23</f>
        <v>-39807.329999999958</v>
      </c>
      <c r="Y23" s="16"/>
      <c r="Z23" s="20">
        <f>IF(T23=0,0,X23/T23)</f>
        <v>-7.2332774886614645E-2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62860.740000000005</v>
      </c>
      <c r="E25" s="21"/>
      <c r="F25" s="30">
        <f t="shared" ref="F25:F35" si="12">IF(D$12=0,0,D25/D$12)</f>
        <v>0.62859960536489345</v>
      </c>
      <c r="G25" s="21"/>
      <c r="H25" s="21">
        <f>SUM(OSRRefH22x_0)</f>
        <v>62994.942493923067</v>
      </c>
      <c r="I25" s="21"/>
      <c r="J25" s="30">
        <f t="shared" ref="J25:J35" si="13">IF(H$12=0,0,H25/H$12)</f>
        <v>0.50598347384677167</v>
      </c>
      <c r="K25" s="4"/>
      <c r="L25" s="21">
        <f t="shared" ref="L25:L35" si="14">+D25-H25</f>
        <v>-134.20249392306141</v>
      </c>
      <c r="M25" s="4"/>
      <c r="N25" s="30">
        <f t="shared" ref="N25:N35" si="15">IF(H25=0,0,L25/H25)</f>
        <v>-2.1303693377608453E-3</v>
      </c>
      <c r="O25" s="10"/>
      <c r="P25" s="21">
        <f>SUM(OSRRefP22x_0)</f>
        <v>366968.29</v>
      </c>
      <c r="Q25" s="21"/>
      <c r="R25" s="30">
        <f t="shared" ref="R25:R35" si="16">IF(P$12=0,0,P25/P$12)</f>
        <v>0.4850392638186013</v>
      </c>
      <c r="S25" s="21"/>
      <c r="T25" s="21">
        <f>SUM(OSRRefT22x_0)</f>
        <v>382183.27719029237</v>
      </c>
      <c r="U25" s="21"/>
      <c r="V25" s="30">
        <f t="shared" ref="V25:V35" si="17">IF(T$12=0,0,T25/T$12)</f>
        <v>0.48055234149414355</v>
      </c>
      <c r="W25" s="4"/>
      <c r="X25" s="21">
        <f t="shared" ref="X25:X35" si="18">+P25-T25</f>
        <v>-15214.987190292391</v>
      </c>
      <c r="Y25" s="4"/>
      <c r="Z25" s="30">
        <f t="shared" ref="Z25:Z35" si="19">IF(T25=0,0,X25/T25)</f>
        <v>-3.981070888854385E-2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11171.379999999997</v>
      </c>
      <c r="E26" s="1"/>
      <c r="F26" s="5">
        <f t="shared" si="12"/>
        <v>0.11171241476605687</v>
      </c>
      <c r="G26" s="1"/>
      <c r="H26" s="1">
        <f>SUM(OSRRefH22_0x_0)</f>
        <v>10442.405570846153</v>
      </c>
      <c r="I26" s="1"/>
      <c r="J26" s="5">
        <f t="shared" si="13"/>
        <v>8.3874743540932953E-2</v>
      </c>
      <c r="K26" s="1"/>
      <c r="L26" s="1">
        <f t="shared" si="14"/>
        <v>728.97442915384454</v>
      </c>
      <c r="M26" s="1"/>
      <c r="N26" s="5">
        <f t="shared" si="15"/>
        <v>6.9809051583769835E-2</v>
      </c>
      <c r="O26" s="13"/>
      <c r="P26" s="1">
        <f>SUM(OSRRefP22_0x_0)</f>
        <v>49884.289999999994</v>
      </c>
      <c r="Q26" s="1"/>
      <c r="R26" s="5">
        <f t="shared" si="16"/>
        <v>6.5934414381454087E-2</v>
      </c>
      <c r="S26" s="1"/>
      <c r="T26" s="1">
        <f>SUM(OSRRefT22_0x_0)</f>
        <v>62077.389190292299</v>
      </c>
      <c r="U26" s="1"/>
      <c r="V26" s="5">
        <f t="shared" si="17"/>
        <v>7.8055311442590591E-2</v>
      </c>
      <c r="W26" s="1"/>
      <c r="X26" s="1">
        <f t="shared" si="18"/>
        <v>-12193.099190292305</v>
      </c>
      <c r="Y26" s="1"/>
      <c r="Z26" s="5">
        <f t="shared" si="19"/>
        <v>-0.19641771906539957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1776.22</v>
      </c>
      <c r="E27" s="2"/>
      <c r="F27" s="7">
        <f t="shared" si="12"/>
        <v>1.7761979751451083E-2</v>
      </c>
      <c r="G27" s="2"/>
      <c r="H27" s="6">
        <v>987.941664692308</v>
      </c>
      <c r="I27" s="2"/>
      <c r="J27" s="7">
        <f t="shared" si="13"/>
        <v>7.9352744151992612E-3</v>
      </c>
      <c r="K27" s="2"/>
      <c r="L27" s="6">
        <f t="shared" si="14"/>
        <v>788.27833530769203</v>
      </c>
      <c r="M27" s="2"/>
      <c r="N27" s="7">
        <f t="shared" si="15"/>
        <v>0.79789967715674726</v>
      </c>
      <c r="O27" s="11"/>
      <c r="P27" s="6">
        <v>11052.27</v>
      </c>
      <c r="Q27" s="2"/>
      <c r="R27" s="7">
        <f t="shared" si="16"/>
        <v>1.4608305541398177E-2</v>
      </c>
      <c r="S27" s="2"/>
      <c r="T27" s="6">
        <v>6290.5226345999945</v>
      </c>
      <c r="U27" s="2"/>
      <c r="V27" s="7">
        <f t="shared" si="17"/>
        <v>7.909622324405877E-3</v>
      </c>
      <c r="W27" s="2"/>
      <c r="X27" s="6">
        <f t="shared" si="18"/>
        <v>4761.7473654000059</v>
      </c>
      <c r="Y27" s="2"/>
      <c r="Z27" s="7">
        <f t="shared" si="19"/>
        <v>0.75697166070252897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1799.17</v>
      </c>
      <c r="E28" s="2"/>
      <c r="F28" s="7">
        <f t="shared" si="12"/>
        <v>1.7991476905686369E-2</v>
      </c>
      <c r="G28" s="2"/>
      <c r="H28" s="6">
        <v>1368.4840584615399</v>
      </c>
      <c r="I28" s="2"/>
      <c r="J28" s="7">
        <f t="shared" si="13"/>
        <v>1.099183982700032E-2</v>
      </c>
      <c r="K28" s="2"/>
      <c r="L28" s="6">
        <f t="shared" si="14"/>
        <v>430.68594153846016</v>
      </c>
      <c r="M28" s="2"/>
      <c r="N28" s="7">
        <f t="shared" si="15"/>
        <v>0.31471754374884026</v>
      </c>
      <c r="O28" s="11"/>
      <c r="P28" s="6">
        <v>5806.33</v>
      </c>
      <c r="Q28" s="2"/>
      <c r="R28" s="7">
        <f t="shared" si="16"/>
        <v>7.6744996922972807E-3</v>
      </c>
      <c r="S28" s="2"/>
      <c r="T28" s="6">
        <v>8085.350416000002</v>
      </c>
      <c r="U28" s="2"/>
      <c r="V28" s="7">
        <f t="shared" si="17"/>
        <v>1.0166415712309822E-2</v>
      </c>
      <c r="W28" s="2"/>
      <c r="X28" s="6">
        <f t="shared" si="18"/>
        <v>-2279.0204160000021</v>
      </c>
      <c r="Y28" s="2"/>
      <c r="Z28" s="7">
        <f t="shared" si="19"/>
        <v>-0.2818703332251471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5096.34</v>
      </c>
      <c r="E29" s="2"/>
      <c r="F29" s="7">
        <f t="shared" si="12"/>
        <v>5.0962768061676031E-2</v>
      </c>
      <c r="G29" s="2"/>
      <c r="H29" s="6">
        <v>5182.9230769230799</v>
      </c>
      <c r="I29" s="2"/>
      <c r="J29" s="7">
        <f t="shared" si="13"/>
        <v>4.1629904232313893E-2</v>
      </c>
      <c r="K29" s="2"/>
      <c r="L29" s="6">
        <f t="shared" si="14"/>
        <v>-86.583076923079716</v>
      </c>
      <c r="M29" s="2"/>
      <c r="N29" s="7">
        <f t="shared" si="15"/>
        <v>-1.6705452818427908E-2</v>
      </c>
      <c r="O29" s="11"/>
      <c r="P29" s="6">
        <v>20428.3</v>
      </c>
      <c r="Q29" s="2"/>
      <c r="R29" s="7">
        <f t="shared" si="16"/>
        <v>2.7001045766285509E-2</v>
      </c>
      <c r="S29" s="2"/>
      <c r="T29" s="6">
        <v>29820.092307692325</v>
      </c>
      <c r="U29" s="2"/>
      <c r="V29" s="7">
        <f t="shared" si="17"/>
        <v>3.7495400864695494E-2</v>
      </c>
      <c r="W29" s="2"/>
      <c r="X29" s="6">
        <f t="shared" si="18"/>
        <v>-9391.7923076923253</v>
      </c>
      <c r="Y29" s="2"/>
      <c r="Z29" s="7">
        <f t="shared" si="19"/>
        <v>-0.31494846530939946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120.56</v>
      </c>
      <c r="E30" s="2"/>
      <c r="F30" s="7">
        <f t="shared" si="12"/>
        <v>1.2055850507453707E-3</v>
      </c>
      <c r="G30" s="2"/>
      <c r="H30" s="6">
        <v>91.702539999999999</v>
      </c>
      <c r="I30" s="2"/>
      <c r="J30" s="7">
        <f t="shared" si="13"/>
        <v>7.3656658634538156E-4</v>
      </c>
      <c r="K30" s="2"/>
      <c r="L30" s="6">
        <f t="shared" si="14"/>
        <v>28.857460000000003</v>
      </c>
      <c r="M30" s="2"/>
      <c r="N30" s="7">
        <f t="shared" si="15"/>
        <v>0.31468550380392957</v>
      </c>
      <c r="O30" s="11"/>
      <c r="P30" s="6">
        <v>526.35</v>
      </c>
      <c r="Q30" s="2"/>
      <c r="R30" s="7">
        <f t="shared" si="16"/>
        <v>6.9570157277327918E-4</v>
      </c>
      <c r="S30" s="2"/>
      <c r="T30" s="6">
        <v>541.80183199999999</v>
      </c>
      <c r="U30" s="2"/>
      <c r="V30" s="7">
        <f t="shared" si="17"/>
        <v>6.8125466113416321E-4</v>
      </c>
      <c r="W30" s="2"/>
      <c r="X30" s="6">
        <f t="shared" si="18"/>
        <v>-15.451831999999968</v>
      </c>
      <c r="Y30" s="2"/>
      <c r="Z30" s="7">
        <f t="shared" si="19"/>
        <v>-2.8519342474279355E-2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617.47</v>
      </c>
      <c r="E31" s="2"/>
      <c r="F31" s="7">
        <f t="shared" si="12"/>
        <v>6.1746234346694105E-3</v>
      </c>
      <c r="G31" s="2"/>
      <c r="H31" s="6">
        <v>776.77846153846201</v>
      </c>
      <c r="I31" s="2"/>
      <c r="J31" s="7">
        <f t="shared" si="13"/>
        <v>6.2391844300278077E-3</v>
      </c>
      <c r="K31" s="2"/>
      <c r="L31" s="6">
        <f t="shared" si="14"/>
        <v>-159.30846153846198</v>
      </c>
      <c r="M31" s="2"/>
      <c r="N31" s="7">
        <f t="shared" si="15"/>
        <v>-0.20508866997025232</v>
      </c>
      <c r="O31" s="11"/>
      <c r="P31" s="6">
        <v>2901.55</v>
      </c>
      <c r="Q31" s="2"/>
      <c r="R31" s="7">
        <f t="shared" si="16"/>
        <v>3.8351152246229852E-3</v>
      </c>
      <c r="S31" s="2"/>
      <c r="T31" s="6">
        <v>5049.0600000000013</v>
      </c>
      <c r="U31" s="2"/>
      <c r="V31" s="7">
        <f t="shared" si="17"/>
        <v>6.3486231610712955E-3</v>
      </c>
      <c r="W31" s="2"/>
      <c r="X31" s="6">
        <f t="shared" si="18"/>
        <v>-2147.5100000000011</v>
      </c>
      <c r="Y31" s="2"/>
      <c r="Z31" s="7">
        <f t="shared" si="19"/>
        <v>-0.4253286750405027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629.32000000000005</v>
      </c>
      <c r="E33" s="2"/>
      <c r="F33" s="7">
        <f t="shared" si="12"/>
        <v>6.2931219652876307E-3</v>
      </c>
      <c r="G33" s="2"/>
      <c r="H33" s="6">
        <v>590.33538461538501</v>
      </c>
      <c r="I33" s="2"/>
      <c r="J33" s="7">
        <f t="shared" si="13"/>
        <v>4.7416496756255821E-3</v>
      </c>
      <c r="K33" s="2"/>
      <c r="L33" s="6">
        <f t="shared" si="14"/>
        <v>38.98461538461504</v>
      </c>
      <c r="M33" s="2"/>
      <c r="N33" s="7">
        <f t="shared" si="15"/>
        <v>6.6038080048368225E-2</v>
      </c>
      <c r="O33" s="11"/>
      <c r="P33" s="6">
        <v>3420.91</v>
      </c>
      <c r="Q33" s="2"/>
      <c r="R33" s="7">
        <f t="shared" si="16"/>
        <v>4.5215777853440447E-3</v>
      </c>
      <c r="S33" s="2"/>
      <c r="T33" s="6">
        <v>3670.7160000000022</v>
      </c>
      <c r="U33" s="2"/>
      <c r="V33" s="7">
        <f t="shared" si="17"/>
        <v>4.6155111278762756E-3</v>
      </c>
      <c r="W33" s="2"/>
      <c r="X33" s="6">
        <f t="shared" si="18"/>
        <v>-249.80600000000231</v>
      </c>
      <c r="Y33" s="2"/>
      <c r="Z33" s="7">
        <f t="shared" si="19"/>
        <v>-6.8053753000777553E-2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665.96</v>
      </c>
      <c r="E34" s="2"/>
      <c r="F34" s="7">
        <f t="shared" si="12"/>
        <v>6.6595174219839671E-3</v>
      </c>
      <c r="G34" s="2"/>
      <c r="H34" s="6">
        <v>1294.24038461538</v>
      </c>
      <c r="I34" s="2"/>
      <c r="J34" s="7">
        <f t="shared" si="13"/>
        <v>1.0395505097312289E-2</v>
      </c>
      <c r="K34" s="2"/>
      <c r="L34" s="6">
        <f t="shared" si="14"/>
        <v>-628.28038461537994</v>
      </c>
      <c r="M34" s="2"/>
      <c r="N34" s="7">
        <f t="shared" si="15"/>
        <v>-0.48544334737483191</v>
      </c>
      <c r="O34" s="11"/>
      <c r="P34" s="6">
        <v>3499.9</v>
      </c>
      <c r="Q34" s="2"/>
      <c r="R34" s="7">
        <f t="shared" si="16"/>
        <v>4.6259825867753391E-3</v>
      </c>
      <c r="S34" s="2"/>
      <c r="T34" s="6">
        <v>7719.845999999985</v>
      </c>
      <c r="U34" s="2"/>
      <c r="V34" s="7">
        <f t="shared" si="17"/>
        <v>9.7068351565446805E-3</v>
      </c>
      <c r="W34" s="2"/>
      <c r="X34" s="6">
        <f t="shared" si="18"/>
        <v>-4219.9459999999854</v>
      </c>
      <c r="Y34" s="2"/>
      <c r="Z34" s="7">
        <f t="shared" si="19"/>
        <v>-0.54663603393124593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466.34</v>
      </c>
      <c r="E35" s="2"/>
      <c r="F35" s="7">
        <f t="shared" si="12"/>
        <v>4.6633421745570346E-3</v>
      </c>
      <c r="G35" s="2"/>
      <c r="H35" s="6">
        <v>150</v>
      </c>
      <c r="I35" s="2"/>
      <c r="J35" s="7">
        <f t="shared" si="13"/>
        <v>1.2048192771084338E-3</v>
      </c>
      <c r="K35" s="2"/>
      <c r="L35" s="6">
        <f t="shared" si="14"/>
        <v>316.33999999999997</v>
      </c>
      <c r="M35" s="2"/>
      <c r="N35" s="7">
        <f t="shared" si="15"/>
        <v>2.1089333333333333</v>
      </c>
      <c r="O35" s="11"/>
      <c r="P35" s="6">
        <v>2248.6799999999998</v>
      </c>
      <c r="Q35" s="2"/>
      <c r="R35" s="7">
        <f t="shared" si="16"/>
        <v>2.9721862119574754E-3</v>
      </c>
      <c r="S35" s="2"/>
      <c r="T35" s="6">
        <v>900</v>
      </c>
      <c r="U35" s="2"/>
      <c r="V35" s="7">
        <f t="shared" si="17"/>
        <v>1.1316484345529989E-3</v>
      </c>
      <c r="W35" s="2"/>
      <c r="X35" s="6">
        <f t="shared" si="18"/>
        <v>1348.6799999999998</v>
      </c>
      <c r="Y35" s="2"/>
      <c r="Z35" s="7">
        <f t="shared" si="19"/>
        <v>1.4985333333333331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29826.13</v>
      </c>
      <c r="E36" s="1"/>
      <c r="F36" s="5">
        <f t="shared" ref="F36:F46" si="20">IF(D$12=0,0,D36/D$12)</f>
        <v>0.29825760160574011</v>
      </c>
      <c r="G36" s="1"/>
      <c r="H36" s="1">
        <f>SUM(OSRRefH22_1x_0)</f>
        <v>34089.536923076921</v>
      </c>
      <c r="I36" s="1"/>
      <c r="J36" s="5">
        <f t="shared" ref="J36:J46" si="21">IF(H$12=0,0,H36/H$12)</f>
        <v>0.27381154155081866</v>
      </c>
      <c r="K36" s="1"/>
      <c r="L36" s="1">
        <f t="shared" ref="L36:L46" si="22">+D36-H36</f>
        <v>-4263.4069230769201</v>
      </c>
      <c r="M36" s="1"/>
      <c r="N36" s="5">
        <f t="shared" ref="N36:N46" si="23">IF(H36=0,0,L36/H36)</f>
        <v>-0.12506497030737915</v>
      </c>
      <c r="O36" s="13"/>
      <c r="P36" s="1">
        <f>SUM(OSRRefP22_1x_0)</f>
        <v>196538.28</v>
      </c>
      <c r="Q36" s="1"/>
      <c r="R36" s="5">
        <f t="shared" ref="R36:R46" si="24">IF(P$12=0,0,P36/P$12)</f>
        <v>0.25977389665841188</v>
      </c>
      <c r="S36" s="1"/>
      <c r="T36" s="1">
        <f>SUM(OSRRefT22_1x_0)</f>
        <v>201043.88800000009</v>
      </c>
      <c r="U36" s="1"/>
      <c r="V36" s="5">
        <f t="shared" ref="V36:V46" si="25">IF(T$12=0,0,T36/T$12)</f>
        <v>0.25279000125738726</v>
      </c>
      <c r="W36" s="1"/>
      <c r="X36" s="1">
        <f t="shared" ref="X36:X46" si="26">+P36-T36</f>
        <v>-4505.6080000000948</v>
      </c>
      <c r="Y36" s="1"/>
      <c r="Z36" s="5">
        <f t="shared" ref="Z36:Z46" si="27">IF(T36=0,0,X36/T36)</f>
        <v>-2.2411066781597919E-2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8648</v>
      </c>
      <c r="E38" s="2"/>
      <c r="F38" s="7">
        <f t="shared" si="20"/>
        <v>8.6478927661297E-2</v>
      </c>
      <c r="G38" s="2"/>
      <c r="H38" s="6">
        <v>8129.0769230769192</v>
      </c>
      <c r="I38" s="2"/>
      <c r="J38" s="7">
        <f t="shared" si="21"/>
        <v>6.5293790546802566E-2</v>
      </c>
      <c r="K38" s="2"/>
      <c r="L38" s="6">
        <f t="shared" si="22"/>
        <v>518.92307692308077</v>
      </c>
      <c r="M38" s="2"/>
      <c r="N38" s="7">
        <f t="shared" si="23"/>
        <v>6.3835424591684675E-2</v>
      </c>
      <c r="O38" s="11"/>
      <c r="P38" s="6">
        <v>44616</v>
      </c>
      <c r="Q38" s="2"/>
      <c r="R38" s="7">
        <f t="shared" si="24"/>
        <v>5.8971067485233439E-2</v>
      </c>
      <c r="S38" s="2"/>
      <c r="T38" s="6">
        <v>52839.00000000008</v>
      </c>
      <c r="U38" s="2"/>
      <c r="V38" s="7">
        <f t="shared" si="25"/>
        <v>6.643907959260667E-2</v>
      </c>
      <c r="W38" s="2"/>
      <c r="X38" s="6">
        <f t="shared" si="26"/>
        <v>-8223.00000000008</v>
      </c>
      <c r="Y38" s="2"/>
      <c r="Z38" s="7">
        <f t="shared" si="27"/>
        <v>-0.15562368704933985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4813.22</v>
      </c>
      <c r="E40" s="2"/>
      <c r="F40" s="7">
        <f t="shared" si="20"/>
        <v>4.8131603168120714E-2</v>
      </c>
      <c r="G40" s="2"/>
      <c r="H40" s="6">
        <v>3599.46</v>
      </c>
      <c r="I40" s="2"/>
      <c r="J40" s="7">
        <f t="shared" si="21"/>
        <v>2.891132530120482E-2</v>
      </c>
      <c r="K40" s="2"/>
      <c r="L40" s="6">
        <f t="shared" si="22"/>
        <v>1213.7600000000002</v>
      </c>
      <c r="M40" s="2"/>
      <c r="N40" s="7">
        <f t="shared" si="23"/>
        <v>0.33720613647602704</v>
      </c>
      <c r="O40" s="11"/>
      <c r="P40" s="6">
        <v>21827.21</v>
      </c>
      <c r="Q40" s="2"/>
      <c r="R40" s="7">
        <f t="shared" si="24"/>
        <v>2.88500509665672E-2</v>
      </c>
      <c r="S40" s="2"/>
      <c r="T40" s="6">
        <v>19481.387999999999</v>
      </c>
      <c r="U40" s="2"/>
      <c r="V40" s="7">
        <f t="shared" si="25"/>
        <v>2.4495646925688418E-2</v>
      </c>
      <c r="W40" s="2"/>
      <c r="X40" s="6">
        <f t="shared" si="26"/>
        <v>2345.8220000000001</v>
      </c>
      <c r="Y40" s="2"/>
      <c r="Z40" s="7">
        <f t="shared" si="27"/>
        <v>0.12041349415144344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8636.11</v>
      </c>
      <c r="E41" s="2"/>
      <c r="F41" s="7">
        <f t="shared" si="20"/>
        <v>8.6360029135638713E-2</v>
      </c>
      <c r="G41" s="2"/>
      <c r="H41" s="6">
        <v>9686</v>
      </c>
      <c r="I41" s="2"/>
      <c r="J41" s="7">
        <f t="shared" si="21"/>
        <v>7.7799196787148597E-2</v>
      </c>
      <c r="K41" s="2"/>
      <c r="L41" s="6">
        <f t="shared" si="22"/>
        <v>-1049.8899999999994</v>
      </c>
      <c r="M41" s="2"/>
      <c r="N41" s="7">
        <f t="shared" si="23"/>
        <v>-0.10839252529423905</v>
      </c>
      <c r="O41" s="11"/>
      <c r="P41" s="6">
        <v>58407.950000000004</v>
      </c>
      <c r="Q41" s="2"/>
      <c r="R41" s="7">
        <f t="shared" si="24"/>
        <v>7.7200537052271395E-2</v>
      </c>
      <c r="S41" s="2"/>
      <c r="T41" s="6">
        <v>55403.5</v>
      </c>
      <c r="U41" s="2"/>
      <c r="V41" s="7">
        <f t="shared" si="25"/>
        <v>6.9663648937507858E-2</v>
      </c>
      <c r="W41" s="2"/>
      <c r="X41" s="6">
        <f t="shared" si="26"/>
        <v>3004.4500000000044</v>
      </c>
      <c r="Y41" s="2"/>
      <c r="Z41" s="7">
        <f t="shared" si="27"/>
        <v>5.4228523468734004E-2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>
        <v>568.75</v>
      </c>
      <c r="E42" s="2"/>
      <c r="F42" s="7">
        <f t="shared" si="20"/>
        <v>5.6874294758744986E-3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568.75</v>
      </c>
      <c r="M42" s="2"/>
      <c r="N42" s="7">
        <f t="shared" si="23"/>
        <v>0</v>
      </c>
      <c r="O42" s="11"/>
      <c r="P42" s="6">
        <v>7215.01</v>
      </c>
      <c r="Q42" s="2"/>
      <c r="R42" s="7">
        <f t="shared" si="24"/>
        <v>9.5364183614988825E-3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7215.01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7160.05</v>
      </c>
      <c r="E43" s="2"/>
      <c r="F43" s="7">
        <f t="shared" si="20"/>
        <v>7.1599612164809159E-2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7160.05</v>
      </c>
      <c r="M43" s="2"/>
      <c r="N43" s="7">
        <f t="shared" si="23"/>
        <v>0</v>
      </c>
      <c r="O43" s="11"/>
      <c r="P43" s="6">
        <v>62642.109999999993</v>
      </c>
      <c r="Q43" s="2"/>
      <c r="R43" s="7">
        <f t="shared" si="24"/>
        <v>8.2797025646122832E-2</v>
      </c>
      <c r="S43" s="2"/>
      <c r="T43" s="6">
        <v>2535</v>
      </c>
      <c r="U43" s="2"/>
      <c r="V43" s="7">
        <f t="shared" si="25"/>
        <v>3.1874764239909468E-3</v>
      </c>
      <c r="W43" s="2"/>
      <c r="X43" s="6">
        <f t="shared" si="26"/>
        <v>60107.109999999993</v>
      </c>
      <c r="Y43" s="2"/>
      <c r="Z43" s="7">
        <f t="shared" si="27"/>
        <v>23.710891518737672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12675</v>
      </c>
      <c r="I44" s="2"/>
      <c r="J44" s="7">
        <f t="shared" si="21"/>
        <v>0.10180722891566266</v>
      </c>
      <c r="K44" s="2"/>
      <c r="L44" s="6">
        <f t="shared" si="22"/>
        <v>-12675</v>
      </c>
      <c r="M44" s="2"/>
      <c r="N44" s="7">
        <f t="shared" si="23"/>
        <v>-1</v>
      </c>
      <c r="O44" s="11"/>
      <c r="P44" s="6">
        <v>1830</v>
      </c>
      <c r="Q44" s="2"/>
      <c r="R44" s="7">
        <f t="shared" si="24"/>
        <v>2.4187971467181549E-3</v>
      </c>
      <c r="S44" s="2"/>
      <c r="T44" s="6">
        <v>70785</v>
      </c>
      <c r="U44" s="2"/>
      <c r="V44" s="7">
        <f t="shared" si="25"/>
        <v>8.9004149377593364E-2</v>
      </c>
      <c r="W44" s="2"/>
      <c r="X44" s="6">
        <f t="shared" si="26"/>
        <v>-68955</v>
      </c>
      <c r="Y44" s="2"/>
      <c r="Z44" s="7">
        <f t="shared" si="27"/>
        <v>-0.974147065056156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6" si="28">IF(D$12=0,0,D47/D$12)</f>
        <v>0</v>
      </c>
      <c r="G47" s="1"/>
      <c r="H47" s="1">
        <f>SUM(OSRRefH22_2x_0)</f>
        <v>300</v>
      </c>
      <c r="I47" s="1"/>
      <c r="J47" s="5">
        <f t="shared" ref="J47:J56" si="29">IF(H$12=0,0,H47/H$12)</f>
        <v>2.4096385542168677E-3</v>
      </c>
      <c r="K47" s="1"/>
      <c r="L47" s="1">
        <f t="shared" ref="L47:L56" si="30">+D47-H47</f>
        <v>-300</v>
      </c>
      <c r="M47" s="1"/>
      <c r="N47" s="5">
        <f t="shared" ref="N47:N56" si="31">IF(H47=0,0,L47/H47)</f>
        <v>-1</v>
      </c>
      <c r="O47" s="13"/>
      <c r="P47" s="1">
        <f>SUM(OSRRefP22_2x_0)</f>
        <v>3041.11</v>
      </c>
      <c r="Q47" s="1"/>
      <c r="R47" s="5">
        <f t="shared" ref="R47:R56" si="32">IF(P$12=0,0,P47/P$12)</f>
        <v>4.0195782463694251E-3</v>
      </c>
      <c r="S47" s="1"/>
      <c r="T47" s="1">
        <f>SUM(OSRRefT22_2x_0)</f>
        <v>4830</v>
      </c>
      <c r="U47" s="1"/>
      <c r="V47" s="5">
        <f t="shared" ref="V47:V56" si="33">IF(T$12=0,0,T47/T$12)</f>
        <v>6.073179932101094E-3</v>
      </c>
      <c r="W47" s="1"/>
      <c r="X47" s="1">
        <f t="shared" ref="X47:X56" si="34">+P47-T47</f>
        <v>-1788.8899999999999</v>
      </c>
      <c r="Y47" s="1"/>
      <c r="Z47" s="5">
        <f t="shared" ref="Z47:Z56" si="35">IF(T47=0,0,X47/T47)</f>
        <v>-0.37037060041407865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300</v>
      </c>
      <c r="I48" s="2"/>
      <c r="J48" s="7">
        <f t="shared" si="29"/>
        <v>2.4096385542168677E-3</v>
      </c>
      <c r="K48" s="2"/>
      <c r="L48" s="6">
        <f t="shared" si="30"/>
        <v>-300</v>
      </c>
      <c r="M48" s="2"/>
      <c r="N48" s="7">
        <f t="shared" si="31"/>
        <v>-1</v>
      </c>
      <c r="O48" s="11"/>
      <c r="P48" s="6">
        <v>3041.11</v>
      </c>
      <c r="Q48" s="2"/>
      <c r="R48" s="7">
        <f t="shared" si="32"/>
        <v>4.0195782463694251E-3</v>
      </c>
      <c r="S48" s="2"/>
      <c r="T48" s="6">
        <v>4830</v>
      </c>
      <c r="U48" s="2"/>
      <c r="V48" s="7">
        <f t="shared" si="33"/>
        <v>6.073179932101094E-3</v>
      </c>
      <c r="W48" s="2"/>
      <c r="X48" s="6">
        <f t="shared" si="34"/>
        <v>-1788.8899999999999</v>
      </c>
      <c r="Y48" s="2"/>
      <c r="Z48" s="7">
        <f t="shared" si="35"/>
        <v>-0.37037060041407865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-38.380000000000003</v>
      </c>
      <c r="E49" s="1"/>
      <c r="F49" s="5">
        <f t="shared" si="28"/>
        <v>-3.8379524093901237E-4</v>
      </c>
      <c r="G49" s="1"/>
      <c r="H49" s="1">
        <f>SUM(OSRRefH22_3x_0)</f>
        <v>10</v>
      </c>
      <c r="I49" s="1"/>
      <c r="J49" s="5">
        <f t="shared" si="29"/>
        <v>8.032128514056225E-5</v>
      </c>
      <c r="K49" s="1"/>
      <c r="L49" s="1">
        <f t="shared" si="30"/>
        <v>-48.38</v>
      </c>
      <c r="M49" s="1"/>
      <c r="N49" s="5">
        <f t="shared" si="31"/>
        <v>-4.8380000000000001</v>
      </c>
      <c r="O49" s="13"/>
      <c r="P49" s="1">
        <f>SUM(OSRRefP22_3x_0)</f>
        <v>-36.76</v>
      </c>
      <c r="Q49" s="1"/>
      <c r="R49" s="5">
        <f t="shared" si="32"/>
        <v>-4.8587422466316596E-5</v>
      </c>
      <c r="S49" s="1"/>
      <c r="T49" s="1">
        <f>SUM(OSRRefT22_3x_0)</f>
        <v>60</v>
      </c>
      <c r="U49" s="1"/>
      <c r="V49" s="5">
        <f t="shared" si="33"/>
        <v>7.5443228970199926E-5</v>
      </c>
      <c r="W49" s="1"/>
      <c r="X49" s="1">
        <f t="shared" si="34"/>
        <v>-96.759999999999991</v>
      </c>
      <c r="Y49" s="1"/>
      <c r="Z49" s="5">
        <f t="shared" si="35"/>
        <v>-1.6126666666666665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-38.380000000000003</v>
      </c>
      <c r="E50" s="2"/>
      <c r="F50" s="7">
        <f t="shared" si="28"/>
        <v>-3.8379524093901237E-4</v>
      </c>
      <c r="G50" s="2"/>
      <c r="H50" s="6">
        <v>10</v>
      </c>
      <c r="I50" s="2"/>
      <c r="J50" s="7">
        <f t="shared" si="29"/>
        <v>8.032128514056225E-5</v>
      </c>
      <c r="K50" s="2"/>
      <c r="L50" s="6">
        <f t="shared" si="30"/>
        <v>-48.38</v>
      </c>
      <c r="M50" s="2"/>
      <c r="N50" s="7">
        <f t="shared" si="31"/>
        <v>-4.8380000000000001</v>
      </c>
      <c r="O50" s="11"/>
      <c r="P50" s="6">
        <v>-36.76</v>
      </c>
      <c r="Q50" s="2"/>
      <c r="R50" s="7">
        <f t="shared" si="32"/>
        <v>-4.8587422466316596E-5</v>
      </c>
      <c r="S50" s="2"/>
      <c r="T50" s="6">
        <v>60</v>
      </c>
      <c r="U50" s="2"/>
      <c r="V50" s="7">
        <f t="shared" si="33"/>
        <v>7.5443228970199926E-5</v>
      </c>
      <c r="W50" s="2"/>
      <c r="X50" s="6">
        <f t="shared" si="34"/>
        <v>-96.759999999999991</v>
      </c>
      <c r="Y50" s="2"/>
      <c r="Z50" s="7">
        <f t="shared" si="35"/>
        <v>-1.6126666666666665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7390.66</v>
      </c>
      <c r="E51" s="1"/>
      <c r="F51" s="5">
        <f t="shared" si="28"/>
        <v>7.3905683569523734E-2</v>
      </c>
      <c r="G51" s="1"/>
      <c r="H51" s="1">
        <f>SUM(OSRRefH22_4x_0)</f>
        <v>4560</v>
      </c>
      <c r="I51" s="1"/>
      <c r="J51" s="5">
        <f t="shared" si="29"/>
        <v>3.6626506024096388E-2</v>
      </c>
      <c r="K51" s="1"/>
      <c r="L51" s="1">
        <f t="shared" si="30"/>
        <v>2830.66</v>
      </c>
      <c r="M51" s="1"/>
      <c r="N51" s="5">
        <f t="shared" si="31"/>
        <v>0.62075877192982454</v>
      </c>
      <c r="O51" s="13"/>
      <c r="P51" s="1">
        <f>SUM(OSRRefP22_4x_0)</f>
        <v>30890.329999999998</v>
      </c>
      <c r="Q51" s="1"/>
      <c r="R51" s="5">
        <f t="shared" si="32"/>
        <v>4.0829203314307221E-2</v>
      </c>
      <c r="S51" s="1"/>
      <c r="T51" s="1">
        <f>SUM(OSRRefT22_4x_0)</f>
        <v>29260</v>
      </c>
      <c r="U51" s="1"/>
      <c r="V51" s="5">
        <f t="shared" si="33"/>
        <v>3.6791147994467498E-2</v>
      </c>
      <c r="W51" s="1"/>
      <c r="X51" s="1">
        <f t="shared" si="34"/>
        <v>1630.3299999999981</v>
      </c>
      <c r="Y51" s="1"/>
      <c r="Z51" s="5">
        <f t="shared" si="35"/>
        <v>5.5718728639781209E-2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7390.66</v>
      </c>
      <c r="E52" s="2"/>
      <c r="F52" s="7">
        <f t="shared" si="28"/>
        <v>7.3905683569523734E-2</v>
      </c>
      <c r="G52" s="2"/>
      <c r="H52" s="6">
        <v>4560</v>
      </c>
      <c r="I52" s="2"/>
      <c r="J52" s="7">
        <f t="shared" si="29"/>
        <v>3.6626506024096388E-2</v>
      </c>
      <c r="K52" s="2"/>
      <c r="L52" s="6">
        <f t="shared" si="30"/>
        <v>2830.66</v>
      </c>
      <c r="M52" s="2"/>
      <c r="N52" s="7">
        <f t="shared" si="31"/>
        <v>0.62075877192982454</v>
      </c>
      <c r="O52" s="11"/>
      <c r="P52" s="6">
        <v>30890.329999999998</v>
      </c>
      <c r="Q52" s="2"/>
      <c r="R52" s="7">
        <f t="shared" si="32"/>
        <v>4.0829203314307221E-2</v>
      </c>
      <c r="S52" s="2"/>
      <c r="T52" s="6">
        <v>29260</v>
      </c>
      <c r="U52" s="2"/>
      <c r="V52" s="7">
        <f t="shared" si="33"/>
        <v>3.6791147994467498E-2</v>
      </c>
      <c r="W52" s="2"/>
      <c r="X52" s="6">
        <f t="shared" si="34"/>
        <v>1630.3299999999981</v>
      </c>
      <c r="Y52" s="2"/>
      <c r="Z52" s="7">
        <f t="shared" si="35"/>
        <v>5.5718728639781209E-2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8.2633675342425758E-2</v>
      </c>
      <c r="G53" s="1"/>
      <c r="H53" s="1">
        <f>SUM(OSRRefH22_5x_0)</f>
        <v>8780</v>
      </c>
      <c r="I53" s="1"/>
      <c r="J53" s="5">
        <f t="shared" si="29"/>
        <v>7.0522088353413656E-2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49580.820000000007</v>
      </c>
      <c r="Q53" s="1"/>
      <c r="R53" s="5">
        <f t="shared" si="32"/>
        <v>6.5533303796692047E-2</v>
      </c>
      <c r="S53" s="1"/>
      <c r="T53" s="1">
        <f>SUM(OSRRefT22_5x_0)</f>
        <v>52212</v>
      </c>
      <c r="U53" s="1"/>
      <c r="V53" s="5">
        <f t="shared" si="33"/>
        <v>6.5650697849867976E-2</v>
      </c>
      <c r="W53" s="1"/>
      <c r="X53" s="1">
        <f t="shared" si="34"/>
        <v>-2631.179999999993</v>
      </c>
      <c r="Y53" s="1"/>
      <c r="Z53" s="5">
        <f t="shared" si="35"/>
        <v>-5.0394162261548935E-2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6.5369689415851237E-2</v>
      </c>
      <c r="G54" s="2"/>
      <c r="H54" s="6">
        <v>6537</v>
      </c>
      <c r="I54" s="2"/>
      <c r="J54" s="7">
        <f t="shared" si="29"/>
        <v>5.2506024096385544E-2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39222.300000000003</v>
      </c>
      <c r="Q54" s="2"/>
      <c r="R54" s="7">
        <f t="shared" si="32"/>
        <v>5.1841960288373491E-2</v>
      </c>
      <c r="S54" s="2"/>
      <c r="T54" s="6">
        <v>39222</v>
      </c>
      <c r="U54" s="2"/>
      <c r="V54" s="7">
        <f t="shared" si="33"/>
        <v>4.931723877781969E-2</v>
      </c>
      <c r="W54" s="2"/>
      <c r="X54" s="6">
        <f t="shared" si="34"/>
        <v>0.30000000000291038</v>
      </c>
      <c r="Y54" s="2"/>
      <c r="Z54" s="7">
        <f t="shared" si="35"/>
        <v>7.6487685483379316E-6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1726.42</v>
      </c>
      <c r="E55" s="2"/>
      <c r="F55" s="7">
        <f t="shared" si="28"/>
        <v>1.7263985926574511E-2</v>
      </c>
      <c r="G55" s="2"/>
      <c r="H55" s="6">
        <v>1726</v>
      </c>
      <c r="I55" s="2"/>
      <c r="J55" s="7">
        <f t="shared" si="29"/>
        <v>1.3863453815261044E-2</v>
      </c>
      <c r="K55" s="2"/>
      <c r="L55" s="6">
        <f t="shared" si="30"/>
        <v>0.42000000000007276</v>
      </c>
      <c r="M55" s="2"/>
      <c r="N55" s="7">
        <f t="shared" si="31"/>
        <v>2.4333719582854738E-4</v>
      </c>
      <c r="O55" s="11"/>
      <c r="P55" s="6">
        <v>10358.52</v>
      </c>
      <c r="Q55" s="2"/>
      <c r="R55" s="7">
        <f t="shared" si="32"/>
        <v>1.3691343508318547E-2</v>
      </c>
      <c r="S55" s="2"/>
      <c r="T55" s="6">
        <v>10356</v>
      </c>
      <c r="U55" s="2"/>
      <c r="V55" s="7">
        <f t="shared" si="33"/>
        <v>1.3021501320256507E-2</v>
      </c>
      <c r="W55" s="2"/>
      <c r="X55" s="6">
        <f t="shared" si="34"/>
        <v>2.5200000000004366</v>
      </c>
      <c r="Y55" s="2"/>
      <c r="Z55" s="7">
        <f t="shared" si="35"/>
        <v>2.4333719582854738E-4</v>
      </c>
    </row>
    <row r="56" spans="1:26" s="24" customFormat="1" hidden="1" outlineLevel="2" x14ac:dyDescent="0.25">
      <c r="A56" s="26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517</v>
      </c>
      <c r="I56" s="2"/>
      <c r="J56" s="7">
        <f t="shared" si="29"/>
        <v>4.1526104417670684E-3</v>
      </c>
      <c r="K56" s="2"/>
      <c r="L56" s="6">
        <f t="shared" si="30"/>
        <v>-517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2634</v>
      </c>
      <c r="U56" s="2"/>
      <c r="V56" s="7">
        <f t="shared" si="33"/>
        <v>3.3119577517917768E-3</v>
      </c>
      <c r="W56" s="2"/>
      <c r="X56" s="6">
        <f t="shared" si="34"/>
        <v>-2634</v>
      </c>
      <c r="Y56" s="2"/>
      <c r="Z56" s="7">
        <f t="shared" si="35"/>
        <v>-1</v>
      </c>
    </row>
    <row r="57" spans="1:26" s="25" customFormat="1" outlineLevel="1" collapsed="1" x14ac:dyDescent="0.25">
      <c r="A57" s="27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SUM(OSRRefD22_6x_0)</f>
        <v>73</v>
      </c>
      <c r="E57" s="1"/>
      <c r="F57" s="5">
        <f t="shared" ref="F57:F65" si="36">IF(D$12=0,0,D57/D$12)</f>
        <v>7.2999094811224336E-4</v>
      </c>
      <c r="G57" s="1"/>
      <c r="H57" s="1">
        <f>SUM(OSRRefH22_6x_0)</f>
        <v>0</v>
      </c>
      <c r="I57" s="1"/>
      <c r="J57" s="5">
        <f t="shared" ref="J57:J65" si="37">IF(H$12=0,0,H57/H$12)</f>
        <v>0</v>
      </c>
      <c r="K57" s="1"/>
      <c r="L57" s="1">
        <f t="shared" ref="L57:L65" si="38">+D57-H57</f>
        <v>73</v>
      </c>
      <c r="M57" s="1"/>
      <c r="N57" s="5">
        <f t="shared" ref="N57:N65" si="39">IF(H57=0,0,L57/H57)</f>
        <v>0</v>
      </c>
      <c r="O57" s="13"/>
      <c r="P57" s="1">
        <f>SUM(OSRRefP22_6x_0)</f>
        <v>73</v>
      </c>
      <c r="Q57" s="1"/>
      <c r="R57" s="5">
        <f t="shared" ref="R57:R65" si="40">IF(P$12=0,0,P57/P$12)</f>
        <v>9.6487536453784321E-5</v>
      </c>
      <c r="S57" s="1"/>
      <c r="T57" s="1">
        <f>SUM(OSRRefT22_6x_0)</f>
        <v>0</v>
      </c>
      <c r="U57" s="1"/>
      <c r="V57" s="5">
        <f t="shared" ref="V57:V65" si="41">IF(T$12=0,0,T57/T$12)</f>
        <v>0</v>
      </c>
      <c r="W57" s="1"/>
      <c r="X57" s="1">
        <f t="shared" ref="X57:X65" si="42">+P57-T57</f>
        <v>73</v>
      </c>
      <c r="Y57" s="1"/>
      <c r="Z57" s="5">
        <f t="shared" ref="Z57:Z65" si="43">IF(T57=0,0,X57/T57)</f>
        <v>0</v>
      </c>
    </row>
    <row r="58" spans="1:26" s="24" customFormat="1" hidden="1" outlineLevel="2" x14ac:dyDescent="0.25">
      <c r="A58" s="26"/>
      <c r="B58" s="11" t="str">
        <f>CONCATENATE("          ", "6399", " - ", "DONATION-ON CAMPUS")</f>
        <v xml:space="preserve">          6399 - DONATION-ON CAMPUS</v>
      </c>
      <c r="C58" s="11"/>
      <c r="D58" s="6">
        <v>73</v>
      </c>
      <c r="E58" s="2"/>
      <c r="F58" s="7">
        <f t="shared" si="36"/>
        <v>7.2999094811224336E-4</v>
      </c>
      <c r="G58" s="2"/>
      <c r="H58" s="6"/>
      <c r="I58" s="2"/>
      <c r="J58" s="7">
        <f t="shared" si="37"/>
        <v>0</v>
      </c>
      <c r="K58" s="2"/>
      <c r="L58" s="6">
        <f t="shared" si="38"/>
        <v>73</v>
      </c>
      <c r="M58" s="2"/>
      <c r="N58" s="7">
        <f t="shared" si="39"/>
        <v>0</v>
      </c>
      <c r="O58" s="11"/>
      <c r="P58" s="6">
        <v>73</v>
      </c>
      <c r="Q58" s="2"/>
      <c r="R58" s="7">
        <f t="shared" si="40"/>
        <v>9.6487536453784321E-5</v>
      </c>
      <c r="S58" s="2"/>
      <c r="T58" s="6"/>
      <c r="U58" s="2"/>
      <c r="V58" s="7">
        <f t="shared" si="41"/>
        <v>0</v>
      </c>
      <c r="W58" s="2"/>
      <c r="X58" s="6">
        <f t="shared" si="42"/>
        <v>73</v>
      </c>
      <c r="Y58" s="2"/>
      <c r="Z58" s="7">
        <f t="shared" si="43"/>
        <v>0</v>
      </c>
    </row>
    <row r="59" spans="1:26" s="25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100</v>
      </c>
      <c r="I59" s="1"/>
      <c r="J59" s="5">
        <f t="shared" si="37"/>
        <v>8.0321285140562252E-4</v>
      </c>
      <c r="K59" s="1"/>
      <c r="L59" s="1">
        <f t="shared" si="38"/>
        <v>-100</v>
      </c>
      <c r="M59" s="1"/>
      <c r="N59" s="5">
        <f t="shared" si="39"/>
        <v>-1</v>
      </c>
      <c r="O59" s="13"/>
      <c r="P59" s="1">
        <f>SUM(OSRRefP22_7x_0)</f>
        <v>8.25</v>
      </c>
      <c r="Q59" s="1"/>
      <c r="R59" s="5">
        <f t="shared" si="40"/>
        <v>1.0904413366352337E-5</v>
      </c>
      <c r="S59" s="1"/>
      <c r="T59" s="1">
        <f>SUM(OSRRefT22_7x_0)</f>
        <v>575</v>
      </c>
      <c r="U59" s="1"/>
      <c r="V59" s="5">
        <f t="shared" si="41"/>
        <v>7.2299761096441596E-4</v>
      </c>
      <c r="W59" s="1"/>
      <c r="X59" s="1">
        <f t="shared" si="42"/>
        <v>-566.75</v>
      </c>
      <c r="Y59" s="1"/>
      <c r="Z59" s="5">
        <f t="shared" si="43"/>
        <v>-0.98565217391304349</v>
      </c>
    </row>
    <row r="60" spans="1:26" s="24" customFormat="1" hidden="1" outlineLevel="2" x14ac:dyDescent="0.25">
      <c r="A60" s="26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6"/>
        <v>0</v>
      </c>
      <c r="G60" s="2"/>
      <c r="H60" s="6">
        <v>100</v>
      </c>
      <c r="I60" s="2"/>
      <c r="J60" s="7">
        <f t="shared" si="37"/>
        <v>8.0321285140562252E-4</v>
      </c>
      <c r="K60" s="2"/>
      <c r="L60" s="6">
        <f t="shared" si="38"/>
        <v>-100</v>
      </c>
      <c r="M60" s="2"/>
      <c r="N60" s="7">
        <f t="shared" si="39"/>
        <v>-1</v>
      </c>
      <c r="O60" s="11"/>
      <c r="P60" s="6">
        <v>8.25</v>
      </c>
      <c r="Q60" s="2"/>
      <c r="R60" s="7">
        <f t="shared" si="40"/>
        <v>1.0904413366352337E-5</v>
      </c>
      <c r="S60" s="2"/>
      <c r="T60" s="6">
        <v>575</v>
      </c>
      <c r="U60" s="2"/>
      <c r="V60" s="7">
        <f t="shared" si="41"/>
        <v>7.2299761096441596E-4</v>
      </c>
      <c r="W60" s="2"/>
      <c r="X60" s="6">
        <f t="shared" si="42"/>
        <v>-566.75</v>
      </c>
      <c r="Y60" s="2"/>
      <c r="Z60" s="7">
        <f t="shared" si="43"/>
        <v>-0.98565217391304349</v>
      </c>
    </row>
    <row r="61" spans="1:26" s="25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774.99</v>
      </c>
      <c r="E61" s="1"/>
      <c r="F61" s="5">
        <f t="shared" si="36"/>
        <v>7.7498039024316099E-3</v>
      </c>
      <c r="G61" s="1"/>
      <c r="H61" s="1">
        <f>SUM(OSRRefH22_8x_0)</f>
        <v>225</v>
      </c>
      <c r="I61" s="1"/>
      <c r="J61" s="5">
        <f t="shared" si="37"/>
        <v>1.8072289156626507E-3</v>
      </c>
      <c r="K61" s="1"/>
      <c r="L61" s="1">
        <f t="shared" si="38"/>
        <v>549.99</v>
      </c>
      <c r="M61" s="1"/>
      <c r="N61" s="5">
        <f t="shared" si="39"/>
        <v>2.4443999999999999</v>
      </c>
      <c r="O61" s="13"/>
      <c r="P61" s="1">
        <f>SUM(OSRRefP22_8x_0)</f>
        <v>2987.67</v>
      </c>
      <c r="Q61" s="1"/>
      <c r="R61" s="5">
        <f t="shared" si="40"/>
        <v>3.9489440826969563E-3</v>
      </c>
      <c r="S61" s="1"/>
      <c r="T61" s="1">
        <f>SUM(OSRRefT22_8x_0)</f>
        <v>606</v>
      </c>
      <c r="U61" s="1"/>
      <c r="V61" s="5">
        <f t="shared" si="41"/>
        <v>7.6197661259901918E-4</v>
      </c>
      <c r="W61" s="1"/>
      <c r="X61" s="1">
        <f t="shared" si="42"/>
        <v>2381.67</v>
      </c>
      <c r="Y61" s="1"/>
      <c r="Z61" s="5">
        <f t="shared" si="43"/>
        <v>3.9301485148514854</v>
      </c>
    </row>
    <row r="62" spans="1:26" s="24" customFormat="1" hidden="1" outlineLevel="2" x14ac:dyDescent="0.25">
      <c r="A62" s="26"/>
      <c r="B62" s="11" t="str">
        <f>CONCATENATE("          ", "6351", " - ", "EQUIPMENT RENTAL")</f>
        <v xml:space="preserve">          6351 - EQUIPMENT RENTAL</v>
      </c>
      <c r="C62" s="11"/>
      <c r="D62" s="6">
        <v>774.99</v>
      </c>
      <c r="E62" s="2"/>
      <c r="F62" s="7">
        <f t="shared" si="36"/>
        <v>7.7498039024316099E-3</v>
      </c>
      <c r="G62" s="2"/>
      <c r="H62" s="6">
        <v>225</v>
      </c>
      <c r="I62" s="2"/>
      <c r="J62" s="7">
        <f t="shared" si="37"/>
        <v>1.8072289156626507E-3</v>
      </c>
      <c r="K62" s="2"/>
      <c r="L62" s="6">
        <f t="shared" si="38"/>
        <v>549.99</v>
      </c>
      <c r="M62" s="2"/>
      <c r="N62" s="7">
        <f t="shared" si="39"/>
        <v>2.4443999999999999</v>
      </c>
      <c r="O62" s="11"/>
      <c r="P62" s="6">
        <v>2987.67</v>
      </c>
      <c r="Q62" s="2"/>
      <c r="R62" s="7">
        <f t="shared" si="40"/>
        <v>3.9489440826969563E-3</v>
      </c>
      <c r="S62" s="2"/>
      <c r="T62" s="6">
        <v>606</v>
      </c>
      <c r="U62" s="2"/>
      <c r="V62" s="7">
        <f t="shared" si="41"/>
        <v>7.6197661259901918E-4</v>
      </c>
      <c r="W62" s="2"/>
      <c r="X62" s="6">
        <f t="shared" si="42"/>
        <v>2381.67</v>
      </c>
      <c r="Y62" s="2"/>
      <c r="Z62" s="7">
        <f t="shared" si="43"/>
        <v>3.9301485148514854</v>
      </c>
    </row>
    <row r="63" spans="1:26" s="25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1367.16</v>
      </c>
      <c r="E63" s="1"/>
      <c r="F63" s="5">
        <f t="shared" si="36"/>
        <v>1.3671430474262119E-2</v>
      </c>
      <c r="G63" s="1"/>
      <c r="H63" s="1">
        <f>SUM(OSRRefH22_9x_0)</f>
        <v>600</v>
      </c>
      <c r="I63" s="1"/>
      <c r="J63" s="5">
        <f t="shared" si="37"/>
        <v>4.8192771084337354E-3</v>
      </c>
      <c r="K63" s="1"/>
      <c r="L63" s="1">
        <f t="shared" si="38"/>
        <v>767.16000000000008</v>
      </c>
      <c r="M63" s="1"/>
      <c r="N63" s="5">
        <f t="shared" si="39"/>
        <v>1.2786000000000002</v>
      </c>
      <c r="O63" s="13"/>
      <c r="P63" s="1">
        <f>SUM(OSRRefP22_9x_0)</f>
        <v>8778.7800000000007</v>
      </c>
      <c r="Q63" s="1"/>
      <c r="R63" s="5">
        <f t="shared" si="40"/>
        <v>1.160332678451716E-2</v>
      </c>
      <c r="S63" s="1"/>
      <c r="T63" s="1">
        <f>SUM(OSRRefT22_9x_0)</f>
        <v>4350</v>
      </c>
      <c r="U63" s="1"/>
      <c r="V63" s="5">
        <f t="shared" si="41"/>
        <v>5.4696341003394947E-3</v>
      </c>
      <c r="W63" s="1"/>
      <c r="X63" s="1">
        <f t="shared" si="42"/>
        <v>4428.7800000000007</v>
      </c>
      <c r="Y63" s="1"/>
      <c r="Z63" s="5">
        <f t="shared" si="43"/>
        <v>1.0181103448275863</v>
      </c>
    </row>
    <row r="64" spans="1:26" s="24" customFormat="1" hidden="1" outlineLevel="2" x14ac:dyDescent="0.25">
      <c r="A64" s="26"/>
      <c r="B64" s="11" t="str">
        <f>CONCATENATE("          ", "6269", " - ", "ENTERTAINMENT")</f>
        <v xml:space="preserve">          6269 - ENTERTAINMENT</v>
      </c>
      <c r="C64" s="11"/>
      <c r="D64" s="6">
        <v>1250</v>
      </c>
      <c r="E64" s="2"/>
      <c r="F64" s="7">
        <f t="shared" si="36"/>
        <v>1.2499845001921975E-2</v>
      </c>
      <c r="G64" s="2"/>
      <c r="H64" s="6">
        <v>600</v>
      </c>
      <c r="I64" s="2"/>
      <c r="J64" s="7">
        <f t="shared" si="37"/>
        <v>4.8192771084337354E-3</v>
      </c>
      <c r="K64" s="2"/>
      <c r="L64" s="6">
        <f t="shared" si="38"/>
        <v>650</v>
      </c>
      <c r="M64" s="2"/>
      <c r="N64" s="7">
        <f t="shared" si="39"/>
        <v>1.0833333333333333</v>
      </c>
      <c r="O64" s="11"/>
      <c r="P64" s="6">
        <v>7350</v>
      </c>
      <c r="Q64" s="2"/>
      <c r="R64" s="7">
        <f t="shared" si="40"/>
        <v>9.7148409991138999E-3</v>
      </c>
      <c r="S64" s="2"/>
      <c r="T64" s="6">
        <v>4350</v>
      </c>
      <c r="U64" s="2"/>
      <c r="V64" s="7">
        <f t="shared" si="41"/>
        <v>5.4696341003394947E-3</v>
      </c>
      <c r="W64" s="2"/>
      <c r="X64" s="6">
        <f t="shared" si="42"/>
        <v>3000</v>
      </c>
      <c r="Y64" s="2"/>
      <c r="Z64" s="7">
        <f t="shared" si="43"/>
        <v>0.68965517241379315</v>
      </c>
    </row>
    <row r="65" spans="1:26" s="24" customFormat="1" hidden="1" outlineLevel="2" x14ac:dyDescent="0.25">
      <c r="A65" s="26"/>
      <c r="B65" s="11" t="str">
        <f>CONCATENATE("          ", "6279", " - ", "GENERAL EXPENSE")</f>
        <v xml:space="preserve">          6279 - GENERAL EXPENSE</v>
      </c>
      <c r="C65" s="11"/>
      <c r="D65" s="6">
        <v>117.16</v>
      </c>
      <c r="E65" s="2"/>
      <c r="F65" s="7">
        <f t="shared" si="36"/>
        <v>1.1715854723401429E-3</v>
      </c>
      <c r="G65" s="2"/>
      <c r="H65" s="6"/>
      <c r="I65" s="2"/>
      <c r="J65" s="7">
        <f t="shared" si="37"/>
        <v>0</v>
      </c>
      <c r="K65" s="2"/>
      <c r="L65" s="6">
        <f t="shared" si="38"/>
        <v>117.16</v>
      </c>
      <c r="M65" s="2"/>
      <c r="N65" s="7">
        <f t="shared" si="39"/>
        <v>0</v>
      </c>
      <c r="O65" s="11"/>
      <c r="P65" s="6">
        <v>1428.78</v>
      </c>
      <c r="Q65" s="2"/>
      <c r="R65" s="7">
        <f t="shared" si="40"/>
        <v>1.8884857854032596E-3</v>
      </c>
      <c r="S65" s="2"/>
      <c r="T65" s="6"/>
      <c r="U65" s="2"/>
      <c r="V65" s="7">
        <f t="shared" si="41"/>
        <v>0</v>
      </c>
      <c r="W65" s="2"/>
      <c r="X65" s="6">
        <f t="shared" si="42"/>
        <v>1428.78</v>
      </c>
      <c r="Y65" s="2"/>
      <c r="Z65" s="7">
        <f t="shared" si="43"/>
        <v>0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SUM(OSRRefD22_10x_0)</f>
        <v>1917.84</v>
      </c>
      <c r="E66" s="1"/>
      <c r="F66" s="5">
        <f t="shared" ref="F66:F69" si="44">IF(D$12=0,0,D66/D$12)</f>
        <v>1.9178162190788831E-2</v>
      </c>
      <c r="G66" s="1"/>
      <c r="H66" s="1">
        <f>SUM(OSRRefH22_10x_0)</f>
        <v>1438</v>
      </c>
      <c r="I66" s="1"/>
      <c r="J66" s="5">
        <f t="shared" ref="J66:J69" si="45">IF(H$12=0,0,H66/H$12)</f>
        <v>1.1550200803212852E-2</v>
      </c>
      <c r="K66" s="1"/>
      <c r="L66" s="1">
        <f t="shared" ref="L66:L69" si="46">+D66-H66</f>
        <v>479.83999999999992</v>
      </c>
      <c r="M66" s="1"/>
      <c r="N66" s="5">
        <f t="shared" ref="N66:N69" si="47">IF(H66=0,0,L66/H66)</f>
        <v>0.33368567454798326</v>
      </c>
      <c r="O66" s="13"/>
      <c r="P66" s="1">
        <f>SUM(OSRRefP22_10x_0)</f>
        <v>13767.53</v>
      </c>
      <c r="Q66" s="1"/>
      <c r="R66" s="5">
        <f t="shared" ref="R66:R69" si="48">IF(P$12=0,0,P66/P$12)</f>
        <v>1.8197192503473552E-2</v>
      </c>
      <c r="S66" s="1"/>
      <c r="T66" s="1">
        <f>SUM(OSRRefT22_10x_0)</f>
        <v>8301</v>
      </c>
      <c r="U66" s="1"/>
      <c r="V66" s="5">
        <f t="shared" ref="V66:V69" si="49">IF(T$12=0,0,T66/T$12)</f>
        <v>1.043757072802716E-2</v>
      </c>
      <c r="W66" s="1"/>
      <c r="X66" s="1">
        <f t="shared" ref="X66:X69" si="50">+P66-T66</f>
        <v>5466.5300000000007</v>
      </c>
      <c r="Y66" s="1"/>
      <c r="Z66" s="5">
        <f t="shared" ref="Z66:Z69" si="51">IF(T66=0,0,X66/T66)</f>
        <v>0.6585387302734611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2623.85</v>
      </c>
      <c r="Q67" s="2"/>
      <c r="R67" s="7">
        <f t="shared" si="48"/>
        <v>3.4680660619761912E-3</v>
      </c>
      <c r="S67" s="2"/>
      <c r="T67" s="6"/>
      <c r="U67" s="2"/>
      <c r="V67" s="7">
        <f t="shared" si="49"/>
        <v>0</v>
      </c>
      <c r="W67" s="2"/>
      <c r="X67" s="6">
        <f t="shared" si="50"/>
        <v>2623.85</v>
      </c>
      <c r="Y67" s="2"/>
      <c r="Z67" s="7">
        <f t="shared" si="51"/>
        <v>0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1056.04</v>
      </c>
      <c r="E68" s="2"/>
      <c r="F68" s="7">
        <f t="shared" si="44"/>
        <v>1.0560269052663745E-2</v>
      </c>
      <c r="G68" s="2"/>
      <c r="H68" s="6">
        <v>188</v>
      </c>
      <c r="I68" s="2"/>
      <c r="J68" s="7">
        <f t="shared" si="45"/>
        <v>1.5100401606425702E-3</v>
      </c>
      <c r="K68" s="2"/>
      <c r="L68" s="6">
        <f t="shared" si="46"/>
        <v>868.04</v>
      </c>
      <c r="M68" s="2"/>
      <c r="N68" s="7">
        <f t="shared" si="47"/>
        <v>4.617234042553191</v>
      </c>
      <c r="O68" s="11"/>
      <c r="P68" s="6">
        <v>1245.08</v>
      </c>
      <c r="Q68" s="2"/>
      <c r="R68" s="7">
        <f t="shared" si="48"/>
        <v>1.6456808477791475E-3</v>
      </c>
      <c r="S68" s="2"/>
      <c r="T68" s="6">
        <v>376</v>
      </c>
      <c r="U68" s="2"/>
      <c r="V68" s="7">
        <f t="shared" si="49"/>
        <v>4.7277756821325283E-4</v>
      </c>
      <c r="W68" s="2"/>
      <c r="X68" s="6">
        <f t="shared" si="50"/>
        <v>869.07999999999993</v>
      </c>
      <c r="Y68" s="2"/>
      <c r="Z68" s="7">
        <f t="shared" si="51"/>
        <v>2.3113829787234041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861.8</v>
      </c>
      <c r="E69" s="2"/>
      <c r="F69" s="7">
        <f t="shared" si="44"/>
        <v>8.6178931381250858E-3</v>
      </c>
      <c r="G69" s="2"/>
      <c r="H69" s="6">
        <v>1250</v>
      </c>
      <c r="I69" s="2"/>
      <c r="J69" s="7">
        <f t="shared" si="45"/>
        <v>1.0040160642570281E-2</v>
      </c>
      <c r="K69" s="2"/>
      <c r="L69" s="6">
        <f t="shared" si="46"/>
        <v>-388.20000000000005</v>
      </c>
      <c r="M69" s="2"/>
      <c r="N69" s="7">
        <f t="shared" si="47"/>
        <v>-0.31056000000000006</v>
      </c>
      <c r="O69" s="11"/>
      <c r="P69" s="6">
        <v>9898.6</v>
      </c>
      <c r="Q69" s="2"/>
      <c r="R69" s="7">
        <f t="shared" si="48"/>
        <v>1.3083445593718213E-2</v>
      </c>
      <c r="S69" s="2"/>
      <c r="T69" s="6">
        <v>7925</v>
      </c>
      <c r="U69" s="2"/>
      <c r="V69" s="7">
        <f t="shared" si="49"/>
        <v>9.9647931598139065E-3</v>
      </c>
      <c r="W69" s="2"/>
      <c r="X69" s="6">
        <f t="shared" si="50"/>
        <v>1973.6000000000004</v>
      </c>
      <c r="Y69" s="2"/>
      <c r="Z69" s="7">
        <f t="shared" si="51"/>
        <v>0.24903470031545746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SUM(OSRRefD22_11x_0)</f>
        <v>137.69999999999999</v>
      </c>
      <c r="E70" s="1"/>
      <c r="F70" s="5">
        <f t="shared" ref="F70:F73" si="52">IF(D$12=0,0,D70/D$12)</f>
        <v>1.3769829254117248E-3</v>
      </c>
      <c r="G70" s="1"/>
      <c r="H70" s="1">
        <f>SUM(OSRRefH22_11x_0)</f>
        <v>561</v>
      </c>
      <c r="I70" s="1"/>
      <c r="J70" s="5">
        <f t="shared" ref="J70:J73" si="53">IF(H$12=0,0,H70/H$12)</f>
        <v>4.5060240963855419E-3</v>
      </c>
      <c r="K70" s="1"/>
      <c r="L70" s="1">
        <f t="shared" ref="L70:L73" si="54">+D70-H70</f>
        <v>-423.3</v>
      </c>
      <c r="M70" s="1"/>
      <c r="N70" s="5">
        <f t="shared" ref="N70:N73" si="55">IF(H70=0,0,L70/H70)</f>
        <v>-0.75454545454545452</v>
      </c>
      <c r="O70" s="13"/>
      <c r="P70" s="1">
        <f>SUM(OSRRefP22_11x_0)</f>
        <v>1621.15</v>
      </c>
      <c r="Q70" s="1"/>
      <c r="R70" s="5">
        <f t="shared" ref="R70:R73" si="56">IF(P$12=0,0,P70/P$12)</f>
        <v>2.1427502701651022E-3</v>
      </c>
      <c r="S70" s="1"/>
      <c r="T70" s="1">
        <f>SUM(OSRRefT22_11x_0)</f>
        <v>3619</v>
      </c>
      <c r="U70" s="1"/>
      <c r="V70" s="5">
        <f t="shared" ref="V70:V73" si="57">IF(T$12=0,0,T70/T$12)</f>
        <v>4.5504840940525587E-3</v>
      </c>
      <c r="W70" s="1"/>
      <c r="X70" s="1">
        <f t="shared" ref="X70:X73" si="58">+P70-T70</f>
        <v>-1997.85</v>
      </c>
      <c r="Y70" s="1"/>
      <c r="Z70" s="5">
        <f t="shared" ref="Z70:Z73" si="59">IF(T70=0,0,X70/T70)</f>
        <v>-0.55204476374689138</v>
      </c>
    </row>
    <row r="71" spans="1:26" s="24" customFormat="1" hidden="1" outlineLevel="2" x14ac:dyDescent="0.25">
      <c r="A71" s="26"/>
      <c r="B71" s="11" t="str">
        <f>CONCATENATE("          ", "6283", " - ", "PLANT SERVICE")</f>
        <v xml:space="preserve">          6283 - PLANT SERVICE</v>
      </c>
      <c r="C71" s="11"/>
      <c r="D71" s="6"/>
      <c r="E71" s="2"/>
      <c r="F71" s="7">
        <f t="shared" si="52"/>
        <v>0</v>
      </c>
      <c r="G71" s="2"/>
      <c r="H71" s="6">
        <v>30</v>
      </c>
      <c r="I71" s="2"/>
      <c r="J71" s="7">
        <f t="shared" si="53"/>
        <v>2.4096385542168674E-4</v>
      </c>
      <c r="K71" s="2"/>
      <c r="L71" s="6">
        <f t="shared" si="54"/>
        <v>-30</v>
      </c>
      <c r="M71" s="2"/>
      <c r="N71" s="7">
        <f t="shared" si="55"/>
        <v>-1</v>
      </c>
      <c r="O71" s="11"/>
      <c r="P71" s="6">
        <v>159</v>
      </c>
      <c r="Q71" s="2"/>
      <c r="R71" s="7">
        <f t="shared" si="56"/>
        <v>2.101577848787905E-4</v>
      </c>
      <c r="S71" s="2"/>
      <c r="T71" s="6">
        <v>180</v>
      </c>
      <c r="U71" s="2"/>
      <c r="V71" s="7">
        <f t="shared" si="57"/>
        <v>2.2632968691059977E-4</v>
      </c>
      <c r="W71" s="2"/>
      <c r="X71" s="6">
        <f t="shared" si="58"/>
        <v>-21</v>
      </c>
      <c r="Y71" s="2"/>
      <c r="Z71" s="7">
        <f t="shared" si="59"/>
        <v>-0.11666666666666667</v>
      </c>
    </row>
    <row r="72" spans="1:26" s="24" customFormat="1" hidden="1" outlineLevel="2" x14ac:dyDescent="0.25">
      <c r="A72" s="26"/>
      <c r="B72" s="11" t="str">
        <f>CONCATENATE("          ", "6285", " - ", "JANITORIAL SERVICES")</f>
        <v xml:space="preserve">          6285 - JANITORIAL SERVICES</v>
      </c>
      <c r="C72" s="11"/>
      <c r="D72" s="6"/>
      <c r="E72" s="2"/>
      <c r="F72" s="7">
        <f t="shared" si="52"/>
        <v>0</v>
      </c>
      <c r="G72" s="2"/>
      <c r="H72" s="6">
        <v>288</v>
      </c>
      <c r="I72" s="2"/>
      <c r="J72" s="7">
        <f t="shared" si="53"/>
        <v>2.3132530120481927E-3</v>
      </c>
      <c r="K72" s="2"/>
      <c r="L72" s="6">
        <f t="shared" si="54"/>
        <v>-288</v>
      </c>
      <c r="M72" s="2"/>
      <c r="N72" s="7">
        <f t="shared" si="55"/>
        <v>-1</v>
      </c>
      <c r="O72" s="11"/>
      <c r="P72" s="6">
        <v>350</v>
      </c>
      <c r="Q72" s="2"/>
      <c r="R72" s="7">
        <f t="shared" si="56"/>
        <v>4.6261147614828099E-4</v>
      </c>
      <c r="S72" s="2"/>
      <c r="T72" s="6">
        <v>1872</v>
      </c>
      <c r="U72" s="2"/>
      <c r="V72" s="7">
        <f t="shared" si="57"/>
        <v>2.3538287438702376E-3</v>
      </c>
      <c r="W72" s="2"/>
      <c r="X72" s="6">
        <f t="shared" si="58"/>
        <v>-1522</v>
      </c>
      <c r="Y72" s="2"/>
      <c r="Z72" s="7">
        <f t="shared" si="59"/>
        <v>-0.81303418803418803</v>
      </c>
    </row>
    <row r="73" spans="1:26" s="24" customFormat="1" hidden="1" outlineLevel="2" x14ac:dyDescent="0.25">
      <c r="A73" s="26"/>
      <c r="B73" s="11" t="str">
        <f>CONCATENATE("          ", "6286", " - ", "LAUNDRY EXPENSE")</f>
        <v xml:space="preserve">          6286 - LAUNDRY EXPENSE</v>
      </c>
      <c r="C73" s="11"/>
      <c r="D73" s="6">
        <v>137.69999999999999</v>
      </c>
      <c r="E73" s="2"/>
      <c r="F73" s="7">
        <f t="shared" si="52"/>
        <v>1.3769829254117248E-3</v>
      </c>
      <c r="G73" s="2"/>
      <c r="H73" s="6">
        <v>243</v>
      </c>
      <c r="I73" s="2"/>
      <c r="J73" s="7">
        <f t="shared" si="53"/>
        <v>1.9518072289156627E-3</v>
      </c>
      <c r="K73" s="2"/>
      <c r="L73" s="6">
        <f t="shared" si="54"/>
        <v>-105.30000000000001</v>
      </c>
      <c r="M73" s="2"/>
      <c r="N73" s="7">
        <f t="shared" si="55"/>
        <v>-0.4333333333333334</v>
      </c>
      <c r="O73" s="11"/>
      <c r="P73" s="6">
        <v>1112.1500000000001</v>
      </c>
      <c r="Q73" s="2"/>
      <c r="R73" s="7">
        <f t="shared" si="56"/>
        <v>1.4699810091380306E-3</v>
      </c>
      <c r="S73" s="2"/>
      <c r="T73" s="6">
        <v>1567</v>
      </c>
      <c r="U73" s="2"/>
      <c r="V73" s="7">
        <f t="shared" si="57"/>
        <v>1.9703256632717212E-3</v>
      </c>
      <c r="W73" s="2"/>
      <c r="X73" s="6">
        <f t="shared" si="58"/>
        <v>-454.84999999999991</v>
      </c>
      <c r="Y73" s="2"/>
      <c r="Z73" s="7">
        <f t="shared" si="59"/>
        <v>-0.29026802807913205</v>
      </c>
    </row>
    <row r="74" spans="1:26" s="25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SUM(OSRRefD22_12x_0)</f>
        <v>1174.71</v>
      </c>
      <c r="E74" s="1"/>
      <c r="F74" s="5">
        <f t="shared" ref="F74:F76" si="60">IF(D$12=0,0,D74/D$12)</f>
        <v>1.1746954337766211E-2</v>
      </c>
      <c r="G74" s="1"/>
      <c r="H74" s="1">
        <f>SUM(OSRRefH22_12x_0)</f>
        <v>194</v>
      </c>
      <c r="I74" s="1"/>
      <c r="J74" s="5">
        <f t="shared" ref="J74:J76" si="61">IF(H$12=0,0,H74/H$12)</f>
        <v>1.5582329317269075E-3</v>
      </c>
      <c r="K74" s="1"/>
      <c r="L74" s="1">
        <f t="shared" ref="L74:L76" si="62">+D74-H74</f>
        <v>980.71</v>
      </c>
      <c r="M74" s="1"/>
      <c r="N74" s="5">
        <f t="shared" ref="N74:N76" si="63">IF(H74=0,0,L74/H74)</f>
        <v>5.0552061855670107</v>
      </c>
      <c r="O74" s="13"/>
      <c r="P74" s="1">
        <f>SUM(OSRRefP22_12x_0)</f>
        <v>2158.2600000000002</v>
      </c>
      <c r="Q74" s="1"/>
      <c r="R74" s="5">
        <f t="shared" ref="R74:R76" si="64">IF(P$12=0,0,P74/P$12)</f>
        <v>2.8526738414622545E-3</v>
      </c>
      <c r="S74" s="1"/>
      <c r="T74" s="1">
        <f>SUM(OSRRefT22_12x_0)</f>
        <v>989</v>
      </c>
      <c r="U74" s="1"/>
      <c r="V74" s="5">
        <f t="shared" ref="V74:V76" si="65">IF(T$12=0,0,T74/T$12)</f>
        <v>1.2435558908587955E-3</v>
      </c>
      <c r="W74" s="1"/>
      <c r="X74" s="1">
        <f t="shared" ref="X74:X76" si="66">+P74-T74</f>
        <v>1169.2600000000002</v>
      </c>
      <c r="Y74" s="1"/>
      <c r="Z74" s="5">
        <f t="shared" ref="Z74:Z76" si="67">IF(T74=0,0,X74/T74)</f>
        <v>1.1822649140546009</v>
      </c>
    </row>
    <row r="75" spans="1:26" s="24" customFormat="1" hidden="1" outlineLevel="2" x14ac:dyDescent="0.25">
      <c r="A75" s="26"/>
      <c r="B75" s="11" t="str">
        <f>CONCATENATE("          ", "6258", " - ", "MEMBERSHIP DUES")</f>
        <v xml:space="preserve">          6258 - MEMBERSHIP DUES</v>
      </c>
      <c r="C75" s="11"/>
      <c r="D75" s="6">
        <v>978</v>
      </c>
      <c r="E75" s="2"/>
      <c r="F75" s="7">
        <f t="shared" si="60"/>
        <v>9.7798787295037531E-3</v>
      </c>
      <c r="G75" s="2"/>
      <c r="H75" s="6"/>
      <c r="I75" s="2"/>
      <c r="J75" s="7">
        <f t="shared" si="61"/>
        <v>0</v>
      </c>
      <c r="K75" s="2"/>
      <c r="L75" s="6">
        <f t="shared" si="62"/>
        <v>978</v>
      </c>
      <c r="M75" s="2"/>
      <c r="N75" s="7">
        <f t="shared" si="63"/>
        <v>0</v>
      </c>
      <c r="O75" s="11"/>
      <c r="P75" s="6">
        <v>978</v>
      </c>
      <c r="Q75" s="2"/>
      <c r="R75" s="7">
        <f t="shared" si="64"/>
        <v>1.292668639065768E-3</v>
      </c>
      <c r="S75" s="2"/>
      <c r="T75" s="6"/>
      <c r="U75" s="2"/>
      <c r="V75" s="7">
        <f t="shared" si="65"/>
        <v>0</v>
      </c>
      <c r="W75" s="2"/>
      <c r="X75" s="6">
        <f t="shared" si="66"/>
        <v>978</v>
      </c>
      <c r="Y75" s="2"/>
      <c r="Z75" s="7">
        <f t="shared" si="67"/>
        <v>0</v>
      </c>
    </row>
    <row r="76" spans="1:26" s="24" customFormat="1" hidden="1" outlineLevel="2" x14ac:dyDescent="0.25">
      <c r="A76" s="26"/>
      <c r="B76" s="11" t="str">
        <f>CONCATENATE("          ", "6275", " - ", "SUBSCRIPTIONS")</f>
        <v xml:space="preserve">          6275 - SUBSCRIPTIONS</v>
      </c>
      <c r="C76" s="11"/>
      <c r="D76" s="6">
        <v>196.71</v>
      </c>
      <c r="E76" s="2"/>
      <c r="F76" s="7">
        <f t="shared" si="60"/>
        <v>1.9670756082624573E-3</v>
      </c>
      <c r="G76" s="2"/>
      <c r="H76" s="6">
        <v>194</v>
      </c>
      <c r="I76" s="2"/>
      <c r="J76" s="7">
        <f t="shared" si="61"/>
        <v>1.5582329317269075E-3</v>
      </c>
      <c r="K76" s="2"/>
      <c r="L76" s="6">
        <f t="shared" si="62"/>
        <v>2.710000000000008</v>
      </c>
      <c r="M76" s="2"/>
      <c r="N76" s="7">
        <f t="shared" si="63"/>
        <v>1.3969072164948495E-2</v>
      </c>
      <c r="O76" s="11"/>
      <c r="P76" s="6">
        <v>1180.26</v>
      </c>
      <c r="Q76" s="2"/>
      <c r="R76" s="7">
        <f t="shared" si="64"/>
        <v>1.560005202396486E-3</v>
      </c>
      <c r="S76" s="2"/>
      <c r="T76" s="6">
        <v>989</v>
      </c>
      <c r="U76" s="2"/>
      <c r="V76" s="7">
        <f t="shared" si="65"/>
        <v>1.2435558908587955E-3</v>
      </c>
      <c r="W76" s="2"/>
      <c r="X76" s="6">
        <f t="shared" si="66"/>
        <v>191.26</v>
      </c>
      <c r="Y76" s="2"/>
      <c r="Z76" s="7">
        <f t="shared" si="67"/>
        <v>0.19338725985844285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SUM(OSRRefD22_13x_0)</f>
        <v>506.63</v>
      </c>
      <c r="E77" s="1"/>
      <c r="F77" s="5">
        <f t="shared" ref="F77:F84" si="68">IF(D$12=0,0,D77/D$12)</f>
        <v>5.0662371786589847E-3</v>
      </c>
      <c r="G77" s="1"/>
      <c r="H77" s="1">
        <f>SUM(OSRRefH22_13x_0)</f>
        <v>1375</v>
      </c>
      <c r="I77" s="1"/>
      <c r="J77" s="5">
        <f t="shared" ref="J77:J84" si="69">IF(H$12=0,0,H77/H$12)</f>
        <v>1.104417670682731E-2</v>
      </c>
      <c r="K77" s="1"/>
      <c r="L77" s="1">
        <f t="shared" ref="L77:L84" si="70">+D77-H77</f>
        <v>-868.37</v>
      </c>
      <c r="M77" s="1"/>
      <c r="N77" s="5">
        <f t="shared" ref="N77:N84" si="71">IF(H77=0,0,L77/H77)</f>
        <v>-0.6315418181818182</v>
      </c>
      <c r="O77" s="13"/>
      <c r="P77" s="1">
        <f>SUM(OSRRefP22_13x_0)</f>
        <v>6542.2799999999988</v>
      </c>
      <c r="Q77" s="1"/>
      <c r="R77" s="5">
        <f t="shared" ref="R77:R84" si="72">IF(P$12=0,0,P77/P$12)</f>
        <v>8.647239451929644E-3</v>
      </c>
      <c r="S77" s="1"/>
      <c r="T77" s="1">
        <f>SUM(OSRRefT22_13x_0)</f>
        <v>10980</v>
      </c>
      <c r="U77" s="1"/>
      <c r="V77" s="5">
        <f t="shared" ref="V77:V84" si="73">IF(T$12=0,0,T77/T$12)</f>
        <v>1.3806110901546586E-2</v>
      </c>
      <c r="W77" s="1"/>
      <c r="X77" s="1">
        <f t="shared" ref="X77:X84" si="74">+P77-T77</f>
        <v>-4437.7200000000012</v>
      </c>
      <c r="Y77" s="1"/>
      <c r="Z77" s="5">
        <f t="shared" ref="Z77:Z84" si="75">IF(T77=0,0,X77/T77)</f>
        <v>-0.40416393442622961</v>
      </c>
    </row>
    <row r="78" spans="1:26" s="24" customFormat="1" hidden="1" outlineLevel="2" x14ac:dyDescent="0.25">
      <c r="A78" s="26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68"/>
        <v>0</v>
      </c>
      <c r="G78" s="2"/>
      <c r="H78" s="6"/>
      <c r="I78" s="2"/>
      <c r="J78" s="7">
        <f t="shared" si="69"/>
        <v>0</v>
      </c>
      <c r="K78" s="2"/>
      <c r="L78" s="6">
        <f t="shared" si="70"/>
        <v>0</v>
      </c>
      <c r="M78" s="2"/>
      <c r="N78" s="7">
        <f t="shared" si="71"/>
        <v>0</v>
      </c>
      <c r="O78" s="11"/>
      <c r="P78" s="6"/>
      <c r="Q78" s="2"/>
      <c r="R78" s="7">
        <f t="shared" si="72"/>
        <v>0</v>
      </c>
      <c r="S78" s="2"/>
      <c r="T78" s="6">
        <v>2600</v>
      </c>
      <c r="U78" s="2"/>
      <c r="V78" s="7">
        <f t="shared" si="73"/>
        <v>3.2692065887086636E-3</v>
      </c>
      <c r="W78" s="2"/>
      <c r="X78" s="6">
        <f t="shared" si="74"/>
        <v>-2600</v>
      </c>
      <c r="Y78" s="2"/>
      <c r="Z78" s="7">
        <f t="shared" si="75"/>
        <v>-1</v>
      </c>
    </row>
    <row r="79" spans="1:26" s="24" customFormat="1" hidden="1" outlineLevel="2" x14ac:dyDescent="0.25">
      <c r="A79" s="26"/>
      <c r="B79" s="11" t="str">
        <f>CONCATENATE("          ", "6239", " - ", "KITCHEN SUPPLIES")</f>
        <v xml:space="preserve">          6239 - KITCHEN SUPPLIES</v>
      </c>
      <c r="C79" s="11"/>
      <c r="D79" s="6">
        <v>227.92</v>
      </c>
      <c r="E79" s="2"/>
      <c r="F79" s="7">
        <f t="shared" si="68"/>
        <v>2.2791717382704452E-3</v>
      </c>
      <c r="G79" s="2"/>
      <c r="H79" s="6"/>
      <c r="I79" s="2"/>
      <c r="J79" s="7">
        <f t="shared" si="69"/>
        <v>0</v>
      </c>
      <c r="K79" s="2"/>
      <c r="L79" s="6">
        <f t="shared" si="70"/>
        <v>227.92</v>
      </c>
      <c r="M79" s="2"/>
      <c r="N79" s="7">
        <f t="shared" si="71"/>
        <v>0</v>
      </c>
      <c r="O79" s="11"/>
      <c r="P79" s="6">
        <v>710.53</v>
      </c>
      <c r="Q79" s="2"/>
      <c r="R79" s="7">
        <f t="shared" si="72"/>
        <v>9.3914094899325159E-4</v>
      </c>
      <c r="S79" s="2"/>
      <c r="T79" s="6">
        <v>225</v>
      </c>
      <c r="U79" s="2"/>
      <c r="V79" s="7">
        <f t="shared" si="73"/>
        <v>2.8291210863824973E-4</v>
      </c>
      <c r="W79" s="2"/>
      <c r="X79" s="6">
        <f t="shared" si="74"/>
        <v>485.53</v>
      </c>
      <c r="Y79" s="2"/>
      <c r="Z79" s="7">
        <f t="shared" si="75"/>
        <v>2.1579111111111109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25.09</v>
      </c>
      <c r="E80" s="2"/>
      <c r="F80" s="7">
        <f t="shared" si="68"/>
        <v>2.5089688887857791E-4</v>
      </c>
      <c r="G80" s="2"/>
      <c r="H80" s="6">
        <v>75</v>
      </c>
      <c r="I80" s="2"/>
      <c r="J80" s="7">
        <f t="shared" si="69"/>
        <v>6.0240963855421692E-4</v>
      </c>
      <c r="K80" s="2"/>
      <c r="L80" s="6">
        <f t="shared" si="70"/>
        <v>-49.91</v>
      </c>
      <c r="M80" s="2"/>
      <c r="N80" s="7">
        <f t="shared" si="71"/>
        <v>-0.66546666666666665</v>
      </c>
      <c r="O80" s="11"/>
      <c r="P80" s="6">
        <v>1597.63</v>
      </c>
      <c r="Q80" s="2"/>
      <c r="R80" s="7">
        <f t="shared" si="72"/>
        <v>2.1116627789679377E-3</v>
      </c>
      <c r="S80" s="2"/>
      <c r="T80" s="6">
        <v>980</v>
      </c>
      <c r="U80" s="2"/>
      <c r="V80" s="7">
        <f t="shared" si="73"/>
        <v>1.2322394065132655E-3</v>
      </c>
      <c r="W80" s="2"/>
      <c r="X80" s="6">
        <f t="shared" si="74"/>
        <v>617.63000000000011</v>
      </c>
      <c r="Y80" s="2"/>
      <c r="Z80" s="7">
        <f t="shared" si="75"/>
        <v>0.63023469387755116</v>
      </c>
    </row>
    <row r="81" spans="1:26" s="24" customFormat="1" hidden="1" outlineLevel="2" x14ac:dyDescent="0.25">
      <c r="A81" s="26"/>
      <c r="B81" s="11" t="str">
        <f>CONCATENATE("          ", "6243", " - ", "PAPER SUPPLIES")</f>
        <v xml:space="preserve">          6243 - PAPER SUPPLIES</v>
      </c>
      <c r="C81" s="11"/>
      <c r="D81" s="6">
        <v>253.62</v>
      </c>
      <c r="E81" s="2"/>
      <c r="F81" s="7">
        <f t="shared" si="68"/>
        <v>2.5361685515099611E-3</v>
      </c>
      <c r="G81" s="2"/>
      <c r="H81" s="6">
        <v>500</v>
      </c>
      <c r="I81" s="2"/>
      <c r="J81" s="7">
        <f t="shared" si="69"/>
        <v>4.0160642570281121E-3</v>
      </c>
      <c r="K81" s="2"/>
      <c r="L81" s="6">
        <f t="shared" si="70"/>
        <v>-246.38</v>
      </c>
      <c r="M81" s="2"/>
      <c r="N81" s="7">
        <f t="shared" si="71"/>
        <v>-0.49275999999999998</v>
      </c>
      <c r="O81" s="11"/>
      <c r="P81" s="6">
        <v>2167.2199999999998</v>
      </c>
      <c r="Q81" s="2"/>
      <c r="R81" s="7">
        <f t="shared" si="72"/>
        <v>2.8645166952516498E-3</v>
      </c>
      <c r="S81" s="2"/>
      <c r="T81" s="6">
        <v>4575</v>
      </c>
      <c r="U81" s="2"/>
      <c r="V81" s="7">
        <f t="shared" si="73"/>
        <v>5.7525462089777438E-3</v>
      </c>
      <c r="W81" s="2"/>
      <c r="X81" s="6">
        <f t="shared" si="74"/>
        <v>-2407.7800000000002</v>
      </c>
      <c r="Y81" s="2"/>
      <c r="Z81" s="7">
        <f t="shared" si="75"/>
        <v>-0.52629071038251374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68"/>
        <v>0</v>
      </c>
      <c r="G82" s="2"/>
      <c r="H82" s="6"/>
      <c r="I82" s="2"/>
      <c r="J82" s="7">
        <f t="shared" si="69"/>
        <v>0</v>
      </c>
      <c r="K82" s="2"/>
      <c r="L82" s="6">
        <f t="shared" si="70"/>
        <v>0</v>
      </c>
      <c r="M82" s="2"/>
      <c r="N82" s="7">
        <f t="shared" si="71"/>
        <v>0</v>
      </c>
      <c r="O82" s="11"/>
      <c r="P82" s="6">
        <v>22.05</v>
      </c>
      <c r="Q82" s="2"/>
      <c r="R82" s="7">
        <f t="shared" si="72"/>
        <v>2.9144522997341704E-5</v>
      </c>
      <c r="S82" s="2"/>
      <c r="T82" s="6"/>
      <c r="U82" s="2"/>
      <c r="V82" s="7">
        <f t="shared" si="73"/>
        <v>0</v>
      </c>
      <c r="W82" s="2"/>
      <c r="X82" s="6">
        <f t="shared" si="74"/>
        <v>22.05</v>
      </c>
      <c r="Y82" s="2"/>
      <c r="Z82" s="7">
        <f t="shared" si="75"/>
        <v>0</v>
      </c>
    </row>
    <row r="83" spans="1:26" s="24" customFormat="1" hidden="1" outlineLevel="2" x14ac:dyDescent="0.25">
      <c r="A83" s="26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>
        <v>1264.6099999999999</v>
      </c>
      <c r="Q83" s="2"/>
      <c r="R83" s="7">
        <f t="shared" si="72"/>
        <v>1.6714945681482215E-3</v>
      </c>
      <c r="S83" s="2"/>
      <c r="T83" s="6">
        <v>1000</v>
      </c>
      <c r="U83" s="2"/>
      <c r="V83" s="7">
        <f t="shared" si="73"/>
        <v>1.257387149503332E-3</v>
      </c>
      <c r="W83" s="2"/>
      <c r="X83" s="6">
        <f t="shared" si="74"/>
        <v>264.6099999999999</v>
      </c>
      <c r="Y83" s="2"/>
      <c r="Z83" s="7">
        <f t="shared" si="75"/>
        <v>0.2646099999999999</v>
      </c>
    </row>
    <row r="84" spans="1:26" s="24" customFormat="1" hidden="1" outlineLevel="2" x14ac:dyDescent="0.25">
      <c r="A84" s="26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68"/>
        <v>0</v>
      </c>
      <c r="G84" s="2"/>
      <c r="H84" s="6">
        <v>800</v>
      </c>
      <c r="I84" s="2"/>
      <c r="J84" s="7">
        <f t="shared" si="69"/>
        <v>6.4257028112449802E-3</v>
      </c>
      <c r="K84" s="2"/>
      <c r="L84" s="6">
        <f t="shared" si="70"/>
        <v>-800</v>
      </c>
      <c r="M84" s="2"/>
      <c r="N84" s="7">
        <f t="shared" si="71"/>
        <v>-1</v>
      </c>
      <c r="O84" s="11"/>
      <c r="P84" s="6">
        <v>780.24</v>
      </c>
      <c r="Q84" s="2"/>
      <c r="R84" s="7">
        <f t="shared" si="72"/>
        <v>1.0312799375712422E-3</v>
      </c>
      <c r="S84" s="2"/>
      <c r="T84" s="6">
        <v>1600</v>
      </c>
      <c r="U84" s="2"/>
      <c r="V84" s="7">
        <f t="shared" si="73"/>
        <v>2.0118194392053312E-3</v>
      </c>
      <c r="W84" s="2"/>
      <c r="X84" s="6">
        <f t="shared" si="74"/>
        <v>-819.76</v>
      </c>
      <c r="Y84" s="2"/>
      <c r="Z84" s="7">
        <f t="shared" si="75"/>
        <v>-0.51234999999999997</v>
      </c>
    </row>
    <row r="85" spans="1:26" s="25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SUM(OSRRefD22_14x_0)</f>
        <v>156.44999999999999</v>
      </c>
      <c r="E85" s="1"/>
      <c r="F85" s="5">
        <f t="shared" ref="F85:F90" si="76">IF(D$12=0,0,D85/D$12)</f>
        <v>1.5644806004405543E-3</v>
      </c>
      <c r="G85" s="1"/>
      <c r="H85" s="1">
        <f>SUM(OSRRefH22_14x_0)</f>
        <v>160</v>
      </c>
      <c r="I85" s="1"/>
      <c r="J85" s="5">
        <f t="shared" ref="J85:J90" si="77">IF(H$12=0,0,H85/H$12)</f>
        <v>1.285140562248996E-3</v>
      </c>
      <c r="K85" s="1"/>
      <c r="L85" s="1">
        <f t="shared" ref="L85:L90" si="78">+D85-H85</f>
        <v>-3.5500000000000114</v>
      </c>
      <c r="M85" s="1"/>
      <c r="N85" s="5">
        <f t="shared" ref="N85:N90" si="79">IF(H85=0,0,L85/H85)</f>
        <v>-2.2187500000000072E-2</v>
      </c>
      <c r="O85" s="13"/>
      <c r="P85" s="1">
        <f>SUM(OSRRefP22_14x_0)</f>
        <v>853.35</v>
      </c>
      <c r="Q85" s="1"/>
      <c r="R85" s="5">
        <f t="shared" ref="R85:R90" si="80">IF(P$12=0,0,P85/P$12)</f>
        <v>1.1279128662032446E-3</v>
      </c>
      <c r="S85" s="1"/>
      <c r="T85" s="1">
        <f>SUM(OSRRefT22_14x_0)</f>
        <v>960</v>
      </c>
      <c r="U85" s="1"/>
      <c r="V85" s="5">
        <f t="shared" ref="V85:V90" si="81">IF(T$12=0,0,T85/T$12)</f>
        <v>1.2070916635231988E-3</v>
      </c>
      <c r="W85" s="1"/>
      <c r="X85" s="1">
        <f t="shared" ref="X85:X90" si="82">+P85-T85</f>
        <v>-106.64999999999998</v>
      </c>
      <c r="Y85" s="1"/>
      <c r="Z85" s="5">
        <f t="shared" ref="Z85:Z90" si="83">IF(T85=0,0,X85/T85)</f>
        <v>-0.11109374999999998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6">
        <v>156.44999999999999</v>
      </c>
      <c r="E86" s="2"/>
      <c r="F86" s="7">
        <f t="shared" si="76"/>
        <v>1.5644806004405543E-3</v>
      </c>
      <c r="G86" s="2"/>
      <c r="H86" s="6">
        <v>160</v>
      </c>
      <c r="I86" s="2"/>
      <c r="J86" s="7">
        <f t="shared" si="77"/>
        <v>1.285140562248996E-3</v>
      </c>
      <c r="K86" s="2"/>
      <c r="L86" s="6">
        <f t="shared" si="78"/>
        <v>-3.5500000000000114</v>
      </c>
      <c r="M86" s="2"/>
      <c r="N86" s="7">
        <f t="shared" si="79"/>
        <v>-2.2187500000000072E-2</v>
      </c>
      <c r="O86" s="11"/>
      <c r="P86" s="6">
        <v>853.35</v>
      </c>
      <c r="Q86" s="2"/>
      <c r="R86" s="7">
        <f t="shared" si="80"/>
        <v>1.1279128662032446E-3</v>
      </c>
      <c r="S86" s="2"/>
      <c r="T86" s="6">
        <v>960</v>
      </c>
      <c r="U86" s="2"/>
      <c r="V86" s="7">
        <f t="shared" si="81"/>
        <v>1.2070916635231988E-3</v>
      </c>
      <c r="W86" s="2"/>
      <c r="X86" s="6">
        <f t="shared" si="82"/>
        <v>-106.64999999999998</v>
      </c>
      <c r="Y86" s="2"/>
      <c r="Z86" s="7">
        <f t="shared" si="83"/>
        <v>-0.11109374999999998</v>
      </c>
    </row>
    <row r="87" spans="1:26" s="25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SUM(OSRRefD22_15x_0)</f>
        <v>139</v>
      </c>
      <c r="E87" s="1"/>
      <c r="F87" s="5">
        <f t="shared" si="76"/>
        <v>1.3899827642137237E-3</v>
      </c>
      <c r="G87" s="1"/>
      <c r="H87" s="1">
        <f>SUM(OSRRefH22_15x_0)</f>
        <v>160</v>
      </c>
      <c r="I87" s="1"/>
      <c r="J87" s="5">
        <f t="shared" si="77"/>
        <v>1.285140562248996E-3</v>
      </c>
      <c r="K87" s="1"/>
      <c r="L87" s="1">
        <f t="shared" si="78"/>
        <v>-21</v>
      </c>
      <c r="M87" s="1"/>
      <c r="N87" s="5">
        <f t="shared" si="79"/>
        <v>-0.13125000000000001</v>
      </c>
      <c r="O87" s="13"/>
      <c r="P87" s="1">
        <f>SUM(OSRRefP22_15x_0)</f>
        <v>279.95</v>
      </c>
      <c r="Q87" s="1"/>
      <c r="R87" s="5">
        <f t="shared" si="80"/>
        <v>3.7002309356488932E-4</v>
      </c>
      <c r="S87" s="1"/>
      <c r="T87" s="1">
        <f>SUM(OSRRefT22_15x_0)</f>
        <v>320</v>
      </c>
      <c r="U87" s="1"/>
      <c r="V87" s="5">
        <f t="shared" si="81"/>
        <v>4.0236388784106627E-4</v>
      </c>
      <c r="W87" s="1"/>
      <c r="X87" s="1">
        <f t="shared" si="82"/>
        <v>-40.050000000000011</v>
      </c>
      <c r="Y87" s="1"/>
      <c r="Z87" s="5">
        <f t="shared" si="83"/>
        <v>-0.12515625000000002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6">
        <v>139</v>
      </c>
      <c r="E88" s="2"/>
      <c r="F88" s="7">
        <f t="shared" si="76"/>
        <v>1.3899827642137237E-3</v>
      </c>
      <c r="G88" s="2"/>
      <c r="H88" s="6">
        <v>160</v>
      </c>
      <c r="I88" s="2"/>
      <c r="J88" s="7">
        <f t="shared" si="77"/>
        <v>1.285140562248996E-3</v>
      </c>
      <c r="K88" s="2"/>
      <c r="L88" s="6">
        <f t="shared" si="78"/>
        <v>-21</v>
      </c>
      <c r="M88" s="2"/>
      <c r="N88" s="7">
        <f t="shared" si="79"/>
        <v>-0.13125000000000001</v>
      </c>
      <c r="O88" s="11"/>
      <c r="P88" s="6">
        <v>279.95</v>
      </c>
      <c r="Q88" s="2"/>
      <c r="R88" s="7">
        <f t="shared" si="80"/>
        <v>3.7002309356488932E-4</v>
      </c>
      <c r="S88" s="2"/>
      <c r="T88" s="6">
        <v>320</v>
      </c>
      <c r="U88" s="2"/>
      <c r="V88" s="7">
        <f t="shared" si="81"/>
        <v>4.0236388784106627E-4</v>
      </c>
      <c r="W88" s="2"/>
      <c r="X88" s="6">
        <f t="shared" si="82"/>
        <v>-40.050000000000011</v>
      </c>
      <c r="Y88" s="2"/>
      <c r="Z88" s="7">
        <f t="shared" si="83"/>
        <v>-0.12515625000000002</v>
      </c>
    </row>
    <row r="89" spans="1:26" s="25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SUM(OSRRefD22_16x_0)</f>
        <v>0</v>
      </c>
      <c r="E89" s="1"/>
      <c r="F89" s="5">
        <f t="shared" si="76"/>
        <v>0</v>
      </c>
      <c r="G89" s="1"/>
      <c r="H89" s="1">
        <f>SUM(OSRRefH22_16x_0)</f>
        <v>0</v>
      </c>
      <c r="I89" s="1"/>
      <c r="J89" s="5">
        <f t="shared" si="77"/>
        <v>0</v>
      </c>
      <c r="K89" s="1"/>
      <c r="L89" s="1">
        <f t="shared" si="78"/>
        <v>0</v>
      </c>
      <c r="M89" s="1"/>
      <c r="N89" s="5">
        <f t="shared" si="79"/>
        <v>0</v>
      </c>
      <c r="O89" s="13"/>
      <c r="P89" s="1">
        <f>SUM(OSRRefP22_16x_0)</f>
        <v>0</v>
      </c>
      <c r="Q89" s="1"/>
      <c r="R89" s="5">
        <f t="shared" si="80"/>
        <v>0</v>
      </c>
      <c r="S89" s="1"/>
      <c r="T89" s="1">
        <f>SUM(OSRRefT22_16x_0)</f>
        <v>2000</v>
      </c>
      <c r="U89" s="1"/>
      <c r="V89" s="5">
        <f t="shared" si="81"/>
        <v>2.514774299006664E-3</v>
      </c>
      <c r="W89" s="1"/>
      <c r="X89" s="1">
        <f t="shared" si="82"/>
        <v>-2000</v>
      </c>
      <c r="Y89" s="1"/>
      <c r="Z89" s="5">
        <f t="shared" si="83"/>
        <v>-1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/>
      <c r="Q90" s="2"/>
      <c r="R90" s="7">
        <f t="shared" si="80"/>
        <v>0</v>
      </c>
      <c r="S90" s="2"/>
      <c r="T90" s="6">
        <v>2000</v>
      </c>
      <c r="U90" s="2"/>
      <c r="V90" s="7">
        <f t="shared" si="81"/>
        <v>2.514774299006664E-3</v>
      </c>
      <c r="W90" s="2"/>
      <c r="X90" s="6">
        <f t="shared" si="82"/>
        <v>-2000</v>
      </c>
      <c r="Y90" s="2"/>
      <c r="Z90" s="7">
        <f t="shared" si="83"/>
        <v>-1</v>
      </c>
    </row>
    <row r="91" spans="1:26" s="5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2">
        <f>+D23-D25+D92</f>
        <v>7617.3899999999994</v>
      </c>
      <c r="E94" s="14"/>
      <c r="F94" s="20">
        <f>IF(D$12=0,0,D94/D$12)</f>
        <v>7.617295545535234E-2</v>
      </c>
      <c r="G94" s="14"/>
      <c r="H94" s="22">
        <f>+H23-H25+H92</f>
        <v>23355.057506076933</v>
      </c>
      <c r="I94" s="14"/>
      <c r="J94" s="20">
        <f>IF(H$12=0,0,H94/H$12)</f>
        <v>0.1875908233419834</v>
      </c>
      <c r="K94" s="16"/>
      <c r="L94" s="22">
        <f>+D94-H94</f>
        <v>-15737.667506076934</v>
      </c>
      <c r="M94" s="16"/>
      <c r="N94" s="20">
        <f>IF(H94=0,0,L94/H94)</f>
        <v>-0.67384409145565272</v>
      </c>
      <c r="O94" s="28"/>
      <c r="P94" s="22">
        <f>+P23-P25+P92</f>
        <v>143560.38000000006</v>
      </c>
      <c r="Q94" s="14"/>
      <c r="R94" s="20">
        <f>IF(P$12=0,0,P94/P$12)</f>
        <v>0.18975051230916623</v>
      </c>
      <c r="S94" s="14"/>
      <c r="T94" s="22">
        <f>+T23-T25+T92</f>
        <v>168152.72280970763</v>
      </c>
      <c r="U94" s="14"/>
      <c r="V94" s="20">
        <f>IF(T$12=0,0,T94/T$12)</f>
        <v>0.21143307281492221</v>
      </c>
      <c r="W94" s="16"/>
      <c r="X94" s="22">
        <f>+P94-T94</f>
        <v>-24592.342809707567</v>
      </c>
      <c r="Y94" s="16"/>
      <c r="Z94" s="20">
        <f>IF(T94=0,0,X94/T94)</f>
        <v>-0.1462500422163121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12189.2</v>
      </c>
      <c r="E96" s="4"/>
      <c r="F96" s="12">
        <f>IF(D$12=0,0,D96/D$12)</f>
        <v>0.12189048855794188</v>
      </c>
      <c r="G96" s="4"/>
      <c r="H96" s="4">
        <v>17435</v>
      </c>
      <c r="I96" s="4"/>
      <c r="J96" s="12">
        <f>IF(H$12=0,0,H96/H$12)</f>
        <v>0.14004016064257027</v>
      </c>
      <c r="K96" s="4"/>
      <c r="L96" s="4">
        <f>+D96-H96</f>
        <v>-5245.7999999999993</v>
      </c>
      <c r="M96" s="4"/>
      <c r="N96" s="12">
        <f>IF(H96=0,0,L96/H96)</f>
        <v>-0.30087754516776594</v>
      </c>
      <c r="O96" s="10"/>
      <c r="P96" s="4">
        <v>81715.86</v>
      </c>
      <c r="Q96" s="4"/>
      <c r="R96" s="12">
        <f>IF(P$12=0,0,P96/P$12)</f>
        <v>0.10800769891236077</v>
      </c>
      <c r="S96" s="4"/>
      <c r="T96" s="4">
        <v>102448</v>
      </c>
      <c r="U96" s="4"/>
      <c r="V96" s="12">
        <f>IF(T$12=0,0,T96/T$12)</f>
        <v>0.12881679869231735</v>
      </c>
      <c r="W96" s="4"/>
      <c r="X96" s="4">
        <f>+P96-T96</f>
        <v>-20732.14</v>
      </c>
      <c r="Y96" s="4"/>
      <c r="Z96" s="12">
        <f>IF(T96=0,0,X96/T96)</f>
        <v>-0.20236744494768077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1">
        <f>+D94-D96</f>
        <v>-4571.8100000000013</v>
      </c>
      <c r="E98" s="14"/>
      <c r="F98" s="32">
        <f>IF(D$12=0,0,D98/D$12)</f>
        <v>-4.5717533102589539E-2</v>
      </c>
      <c r="G98" s="14"/>
      <c r="H98" s="31">
        <f>+H94-H96</f>
        <v>5920.0575060769334</v>
      </c>
      <c r="I98" s="14"/>
      <c r="J98" s="32">
        <f>IF(H$12=0,0,H98/H$12)</f>
        <v>4.7550662699413118E-2</v>
      </c>
      <c r="K98" s="16"/>
      <c r="L98" s="31">
        <f>D98-H98</f>
        <v>-10491.867506076935</v>
      </c>
      <c r="M98" s="16"/>
      <c r="N98" s="32">
        <f>IF(H98=0,0,L98/H98)</f>
        <v>-1.7722577010961538</v>
      </c>
      <c r="O98" s="28"/>
      <c r="P98" s="31">
        <f>+P94-P96</f>
        <v>61844.520000000062</v>
      </c>
      <c r="Q98" s="14"/>
      <c r="R98" s="32">
        <f>IF(P$12=0,0,P98/P$12)</f>
        <v>8.1742813396805475E-2</v>
      </c>
      <c r="S98" s="14"/>
      <c r="T98" s="31">
        <f>+T94-T96</f>
        <v>65704.722809707629</v>
      </c>
      <c r="U98" s="14"/>
      <c r="V98" s="32">
        <f>IF(T$12=0,0,T98/T$12)</f>
        <v>8.2616274122604846E-2</v>
      </c>
      <c r="W98" s="16"/>
      <c r="X98" s="31">
        <f>P98-T98</f>
        <v>-3860.2028097075672</v>
      </c>
      <c r="Y98" s="16"/>
      <c r="Z98" s="32">
        <f>IF(T98=0,0,X98/T98)</f>
        <v>-5.8750766225548041E-2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5">
        <f>SUM(D98:D100)</f>
        <v>-4571.8100000000013</v>
      </c>
      <c r="E101" s="14"/>
      <c r="F101" s="34">
        <f>IF(D$12=0,0,D101/D$12)</f>
        <v>-4.5717533102589539E-2</v>
      </c>
      <c r="G101" s="14"/>
      <c r="H101" s="35">
        <f>SUM(H98:H100)</f>
        <v>5920.0575060769334</v>
      </c>
      <c r="I101" s="14"/>
      <c r="J101" s="34">
        <f>IF(H$12=0,0,H101/H$12)</f>
        <v>4.7550662699413118E-2</v>
      </c>
      <c r="K101" s="16"/>
      <c r="L101" s="35">
        <f>+D101-H101</f>
        <v>-10491.867506076935</v>
      </c>
      <c r="M101" s="16"/>
      <c r="N101" s="34">
        <f>IF(H101=0,0,L101/H101)</f>
        <v>-1.7722577010961538</v>
      </c>
      <c r="O101" s="28"/>
      <c r="P101" s="35">
        <f>SUM(P98:P100)</f>
        <v>61844.520000000062</v>
      </c>
      <c r="Q101" s="14"/>
      <c r="R101" s="34">
        <f>IF(P$12=0,0,P101/P$12)</f>
        <v>8.1742813396805475E-2</v>
      </c>
      <c r="S101" s="14"/>
      <c r="T101" s="35">
        <f>SUM(T98:T100)</f>
        <v>65704.722809707629</v>
      </c>
      <c r="U101" s="14"/>
      <c r="V101" s="34">
        <f>IF(T$12=0,0,T101/T$12)</f>
        <v>8.2616274122604846E-2</v>
      </c>
      <c r="W101" s="16"/>
      <c r="X101" s="35">
        <f>+P101-T101</f>
        <v>-3860.2028097075672</v>
      </c>
      <c r="Y101" s="16"/>
      <c r="Z101" s="34">
        <f>IF(T101=0,0,X101/T101)</f>
        <v>-5.8750766225548041E-2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3">
        <v>43847.446302395831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5" t="s">
        <v>314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6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P12-P14</f>
        <v>805.48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6"/>
      <c r="X17" s="22">
        <f>+P17-T17</f>
        <v>805.48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7544.0199999999995</v>
      </c>
      <c r="E19" s="21"/>
      <c r="F19" s="30">
        <f t="shared" ref="F19:F29" si="8">IF(D$12=0,0,D19/D$12)</f>
        <v>0</v>
      </c>
      <c r="G19" s="21"/>
      <c r="H19" s="21">
        <f>SUM(OSRRefH22x_0)</f>
        <v>6331.7953308384567</v>
      </c>
      <c r="I19" s="21"/>
      <c r="J19" s="30">
        <f t="shared" ref="J19:J29" si="9">IF(H$12=0,0,H19/H$12)</f>
        <v>0</v>
      </c>
      <c r="K19" s="4"/>
      <c r="L19" s="21">
        <f t="shared" ref="L19:L29" si="10">+D19-H19</f>
        <v>1212.2246691615428</v>
      </c>
      <c r="M19" s="4"/>
      <c r="N19" s="30">
        <f t="shared" ref="N19:N29" si="11">IF(H19=0,0,L19/H19)</f>
        <v>0.19145038742132239</v>
      </c>
      <c r="O19" s="10"/>
      <c r="P19" s="21">
        <f>SUM(OSRRefP22x_0)</f>
        <v>68975.400000000009</v>
      </c>
      <c r="Q19" s="21"/>
      <c r="R19" s="30">
        <f t="shared" ref="R19:R29" si="12">IF(P$12=0,0,P19/P$12)</f>
        <v>0</v>
      </c>
      <c r="S19" s="21"/>
      <c r="T19" s="21">
        <f>SUM(OSRRefT22x_0)</f>
        <v>44615.919650449985</v>
      </c>
      <c r="U19" s="21"/>
      <c r="V19" s="30">
        <f t="shared" ref="V19:V29" si="13">IF(T$12=0,0,T19/T$12)</f>
        <v>0</v>
      </c>
      <c r="W19" s="4"/>
      <c r="X19" s="21">
        <f t="shared" ref="X19:X29" si="14">+P19-T19</f>
        <v>24359.480349550024</v>
      </c>
      <c r="Y19" s="4"/>
      <c r="Z19" s="30">
        <f t="shared" ref="Z19:Z29" si="15">IF(T19=0,0,X19/T19)</f>
        <v>0.54598180515829264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2646.2999999999997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506.16905377692274</v>
      </c>
      <c r="M20" s="1"/>
      <c r="N20" s="5">
        <f t="shared" si="11"/>
        <v>0.23651312302652069</v>
      </c>
      <c r="O20" s="13"/>
      <c r="P20" s="1">
        <f>SUM(OSRRefP22_0x_0)</f>
        <v>27456.609999999997</v>
      </c>
      <c r="Q20" s="1"/>
      <c r="R20" s="5">
        <f t="shared" si="12"/>
        <v>0</v>
      </c>
      <c r="S20" s="1"/>
      <c r="T20" s="1">
        <f>SUM(OSRRefT22_0x_0)</f>
        <v>13490.601150450002</v>
      </c>
      <c r="U20" s="1"/>
      <c r="V20" s="5">
        <f t="shared" si="13"/>
        <v>0</v>
      </c>
      <c r="W20" s="1"/>
      <c r="X20" s="1">
        <f t="shared" si="14"/>
        <v>13966.008849549995</v>
      </c>
      <c r="Y20" s="1"/>
      <c r="Z20" s="5">
        <f t="shared" si="15"/>
        <v>1.0352399195408823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241.11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-108.94369483846197</v>
      </c>
      <c r="M21" s="2"/>
      <c r="N21" s="7">
        <f t="shared" si="11"/>
        <v>-0.3112199540951448</v>
      </c>
      <c r="O21" s="11"/>
      <c r="P21" s="6">
        <v>3789.31</v>
      </c>
      <c r="Q21" s="2"/>
      <c r="R21" s="7">
        <f t="shared" si="12"/>
        <v>0</v>
      </c>
      <c r="S21" s="2"/>
      <c r="T21" s="6">
        <v>2275.3490164500022</v>
      </c>
      <c r="U21" s="2"/>
      <c r="V21" s="7">
        <f t="shared" si="13"/>
        <v>0</v>
      </c>
      <c r="W21" s="2"/>
      <c r="X21" s="6">
        <f t="shared" si="14"/>
        <v>1513.9609835499978</v>
      </c>
      <c r="Y21" s="2"/>
      <c r="Z21" s="7">
        <f t="shared" si="15"/>
        <v>0.6653752776407369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25.66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-61.247359230769206</v>
      </c>
      <c r="M22" s="2"/>
      <c r="N22" s="7">
        <f t="shared" si="11"/>
        <v>-0.70474307093069311</v>
      </c>
      <c r="O22" s="11"/>
      <c r="P22" s="6">
        <v>125.1</v>
      </c>
      <c r="Q22" s="2"/>
      <c r="R22" s="7">
        <f t="shared" si="12"/>
        <v>0</v>
      </c>
      <c r="S22" s="2"/>
      <c r="T22" s="6">
        <v>564.89783500000078</v>
      </c>
      <c r="U22" s="2"/>
      <c r="V22" s="7">
        <f t="shared" si="13"/>
        <v>0</v>
      </c>
      <c r="W22" s="2"/>
      <c r="X22" s="6">
        <f t="shared" si="14"/>
        <v>-439.79783500000076</v>
      </c>
      <c r="Y22" s="2"/>
      <c r="Z22" s="7">
        <f t="shared" si="15"/>
        <v>-0.77854402646099741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320.92999999999995</v>
      </c>
      <c r="M23" s="2"/>
      <c r="N23" s="7">
        <f t="shared" si="11"/>
        <v>0.46477914554670524</v>
      </c>
      <c r="O23" s="11"/>
      <c r="P23" s="6">
        <v>6068.58</v>
      </c>
      <c r="Q23" s="2"/>
      <c r="R23" s="7">
        <f t="shared" si="12"/>
        <v>0</v>
      </c>
      <c r="S23" s="2"/>
      <c r="T23" s="6">
        <v>4143</v>
      </c>
      <c r="U23" s="2"/>
      <c r="V23" s="7">
        <f t="shared" si="13"/>
        <v>0</v>
      </c>
      <c r="W23" s="2"/>
      <c r="X23" s="6">
        <f t="shared" si="14"/>
        <v>1925.58</v>
      </c>
      <c r="Y23" s="2"/>
      <c r="Z23" s="7">
        <f t="shared" si="15"/>
        <v>0.46477914554670524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19.62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7.7274140000000013</v>
      </c>
      <c r="M24" s="2"/>
      <c r="N24" s="7">
        <f t="shared" si="11"/>
        <v>0.64976734244343504</v>
      </c>
      <c r="O24" s="11"/>
      <c r="P24" s="6">
        <v>108.15</v>
      </c>
      <c r="Q24" s="2"/>
      <c r="R24" s="7">
        <f t="shared" si="12"/>
        <v>0</v>
      </c>
      <c r="S24" s="2"/>
      <c r="T24" s="6">
        <v>77.301809000000006</v>
      </c>
      <c r="U24" s="2"/>
      <c r="V24" s="7">
        <f t="shared" si="13"/>
        <v>0</v>
      </c>
      <c r="W24" s="2"/>
      <c r="X24" s="6">
        <f t="shared" si="14"/>
        <v>30.848191</v>
      </c>
      <c r="Y24" s="2"/>
      <c r="Z24" s="7">
        <f t="shared" si="15"/>
        <v>0.39906169595591218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120.89984769230801</v>
      </c>
      <c r="M25" s="2"/>
      <c r="N25" s="7">
        <f t="shared" si="11"/>
        <v>0.3073437244362679</v>
      </c>
      <c r="O25" s="11"/>
      <c r="P25" s="6">
        <v>3994.94</v>
      </c>
      <c r="Q25" s="2"/>
      <c r="R25" s="7">
        <f t="shared" si="12"/>
        <v>0</v>
      </c>
      <c r="S25" s="2"/>
      <c r="T25" s="6">
        <v>2556.9059899999979</v>
      </c>
      <c r="U25" s="2"/>
      <c r="V25" s="7">
        <f t="shared" si="13"/>
        <v>0</v>
      </c>
      <c r="W25" s="2"/>
      <c r="X25" s="6">
        <f t="shared" si="14"/>
        <v>1438.0340100000021</v>
      </c>
      <c r="Y25" s="2"/>
      <c r="Z25" s="7">
        <f t="shared" si="15"/>
        <v>0.56241176469691145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464.78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7.3728461538460124</v>
      </c>
      <c r="M27" s="2"/>
      <c r="N27" s="7">
        <f t="shared" si="11"/>
        <v>1.6118781903279596E-2</v>
      </c>
      <c r="O27" s="11"/>
      <c r="P27" s="6">
        <v>4383.8100000000004</v>
      </c>
      <c r="Q27" s="2"/>
      <c r="R27" s="7">
        <f t="shared" si="12"/>
        <v>0</v>
      </c>
      <c r="S27" s="2"/>
      <c r="T27" s="6">
        <v>2973.1464999999998</v>
      </c>
      <c r="U27" s="2"/>
      <c r="V27" s="7">
        <f t="shared" si="13"/>
        <v>0</v>
      </c>
      <c r="W27" s="2"/>
      <c r="X27" s="6">
        <f t="shared" si="14"/>
        <v>1410.6635000000006</v>
      </c>
      <c r="Y27" s="2"/>
      <c r="Z27" s="7">
        <f t="shared" si="15"/>
        <v>0.47446821069866574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232.08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232.08</v>
      </c>
      <c r="M28" s="2"/>
      <c r="N28" s="7">
        <f t="shared" si="11"/>
        <v>0</v>
      </c>
      <c r="O28" s="11"/>
      <c r="P28" s="6">
        <v>8119.96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8119.96</v>
      </c>
      <c r="Y28" s="2"/>
      <c r="Z28" s="7">
        <f t="shared" si="15"/>
        <v>0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137.35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-12.650000000000006</v>
      </c>
      <c r="M29" s="2"/>
      <c r="N29" s="7">
        <f t="shared" si="11"/>
        <v>-8.4333333333333371E-2</v>
      </c>
      <c r="O29" s="11"/>
      <c r="P29" s="6">
        <v>866.76</v>
      </c>
      <c r="Q29" s="2"/>
      <c r="R29" s="7">
        <f t="shared" si="12"/>
        <v>0</v>
      </c>
      <c r="S29" s="2"/>
      <c r="T29" s="6">
        <v>900</v>
      </c>
      <c r="U29" s="2"/>
      <c r="V29" s="7">
        <f t="shared" si="13"/>
        <v>0</v>
      </c>
      <c r="W29" s="2"/>
      <c r="X29" s="6">
        <f t="shared" si="14"/>
        <v>-33.240000000000009</v>
      </c>
      <c r="Y29" s="2"/>
      <c r="Z29" s="7">
        <f t="shared" si="15"/>
        <v>-3.6933333333333346E-2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4779.93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663.26561538462011</v>
      </c>
      <c r="M30" s="1"/>
      <c r="N30" s="5">
        <f t="shared" ref="N30:N40" si="19">IF(H30=0,0,L30/H30)</f>
        <v>0.16111724284917361</v>
      </c>
      <c r="O30" s="13"/>
      <c r="P30" s="1">
        <f>SUM(OSRRefP22_1x_0)</f>
        <v>27879.11</v>
      </c>
      <c r="Q30" s="1"/>
      <c r="R30" s="5">
        <f t="shared" ref="R30:R40" si="20">IF(P$12=0,0,P30/P$12)</f>
        <v>0</v>
      </c>
      <c r="S30" s="1"/>
      <c r="T30" s="1">
        <f>SUM(OSRRefT22_1x_0)</f>
        <v>26758.318499999979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1120.7915000000212</v>
      </c>
      <c r="Y30" s="1"/>
      <c r="Z30" s="5">
        <f t="shared" ref="Z30:Z40" si="23">IF(T30=0,0,X30/T30)</f>
        <v>4.1885722378258633E-2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4779.93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663.26561538462011</v>
      </c>
      <c r="M31" s="2"/>
      <c r="N31" s="7">
        <f t="shared" si="19"/>
        <v>0.16111724284917361</v>
      </c>
      <c r="O31" s="11"/>
      <c r="P31" s="6">
        <v>27879.11</v>
      </c>
      <c r="Q31" s="2"/>
      <c r="R31" s="7">
        <f t="shared" si="20"/>
        <v>0</v>
      </c>
      <c r="S31" s="2"/>
      <c r="T31" s="6">
        <v>26758.318499999979</v>
      </c>
      <c r="U31" s="2"/>
      <c r="V31" s="7">
        <f t="shared" si="21"/>
        <v>0</v>
      </c>
      <c r="W31" s="2"/>
      <c r="X31" s="6">
        <f t="shared" si="22"/>
        <v>1120.7915000000212</v>
      </c>
      <c r="Y31" s="2"/>
      <c r="Z31" s="7">
        <f t="shared" si="23"/>
        <v>4.1885722378258633E-2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5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5" customFormat="1" outlineLevel="1" collapsed="1" x14ac:dyDescent="0.25">
      <c r="A43" s="27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6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5" customFormat="1" outlineLevel="1" collapsed="1" x14ac:dyDescent="0.25">
      <c r="A45" s="27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28.39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28.39</v>
      </c>
      <c r="M45" s="1"/>
      <c r="N45" s="5">
        <f t="shared" si="27"/>
        <v>0</v>
      </c>
      <c r="O45" s="13"/>
      <c r="P45" s="1">
        <f>SUM(OSRRefP22_4x_0)</f>
        <v>65.92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65.92</v>
      </c>
      <c r="Y45" s="1"/>
      <c r="Z45" s="5">
        <f t="shared" si="31"/>
        <v>0</v>
      </c>
    </row>
    <row r="46" spans="1:26" s="24" customFormat="1" hidden="1" outlineLevel="2" x14ac:dyDescent="0.25">
      <c r="A46" s="26"/>
      <c r="B46" s="11" t="str">
        <f>CONCATENATE("          ", "6241", " - ", "OFFICE EXPENSE")</f>
        <v xml:space="preserve">          6241 - OFFICE EXPENSE</v>
      </c>
      <c r="C46" s="11"/>
      <c r="D46" s="6">
        <v>28.39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28.39</v>
      </c>
      <c r="M46" s="2"/>
      <c r="N46" s="7">
        <f t="shared" si="27"/>
        <v>0</v>
      </c>
      <c r="O46" s="11"/>
      <c r="P46" s="6">
        <v>65.92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65.92</v>
      </c>
      <c r="Y46" s="2"/>
      <c r="Z46" s="7">
        <f t="shared" si="31"/>
        <v>0</v>
      </c>
    </row>
    <row r="47" spans="1:26" s="25" customFormat="1" outlineLevel="1" collapsed="1" x14ac:dyDescent="0.25">
      <c r="A47" s="27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89.4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14.400000000000006</v>
      </c>
      <c r="M47" s="1"/>
      <c r="N47" s="5">
        <f t="shared" si="27"/>
        <v>0.19200000000000009</v>
      </c>
      <c r="O47" s="13"/>
      <c r="P47" s="1">
        <f>SUM(OSRRefP22_5x_0)</f>
        <v>736.8</v>
      </c>
      <c r="Q47" s="1"/>
      <c r="R47" s="5">
        <f t="shared" si="28"/>
        <v>0</v>
      </c>
      <c r="S47" s="1"/>
      <c r="T47" s="1">
        <f>SUM(OSRRefT22_5x_0)</f>
        <v>750</v>
      </c>
      <c r="U47" s="1"/>
      <c r="V47" s="5">
        <f t="shared" si="29"/>
        <v>0</v>
      </c>
      <c r="W47" s="1"/>
      <c r="X47" s="1">
        <f t="shared" si="30"/>
        <v>-13.200000000000045</v>
      </c>
      <c r="Y47" s="1"/>
      <c r="Z47" s="5">
        <f t="shared" si="31"/>
        <v>-1.760000000000006E-2</v>
      </c>
    </row>
    <row r="48" spans="1:26" s="24" customFormat="1" hidden="1" outlineLevel="2" x14ac:dyDescent="0.25">
      <c r="A48" s="26"/>
      <c r="B48" s="11" t="str">
        <f>CONCATENATE("          ", "6309", " - ", "TELEPHONE")</f>
        <v xml:space="preserve">          6309 - TELEPHONE</v>
      </c>
      <c r="C48" s="11"/>
      <c r="D48" s="6">
        <v>89.4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14.400000000000006</v>
      </c>
      <c r="M48" s="2"/>
      <c r="N48" s="7">
        <f t="shared" si="27"/>
        <v>0.19200000000000009</v>
      </c>
      <c r="O48" s="11"/>
      <c r="P48" s="6">
        <v>736.8</v>
      </c>
      <c r="Q48" s="2"/>
      <c r="R48" s="7">
        <f t="shared" si="28"/>
        <v>0</v>
      </c>
      <c r="S48" s="2"/>
      <c r="T48" s="6">
        <v>750</v>
      </c>
      <c r="U48" s="2"/>
      <c r="V48" s="7">
        <f t="shared" si="29"/>
        <v>0</v>
      </c>
      <c r="W48" s="2"/>
      <c r="X48" s="6">
        <f t="shared" si="30"/>
        <v>-13.200000000000045</v>
      </c>
      <c r="Y48" s="2"/>
      <c r="Z48" s="7">
        <f t="shared" si="31"/>
        <v>-1.760000000000006E-2</v>
      </c>
    </row>
    <row r="49" spans="1:26" s="53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8" t="s">
        <v>0</v>
      </c>
      <c r="C50" s="10"/>
      <c r="D50" s="4">
        <f>SUM(OSRRefD25x_0)</f>
        <v>7143.65</v>
      </c>
      <c r="E50" s="4"/>
      <c r="F50" s="12">
        <f t="shared" ref="F50:F51" si="32">IF(D$12=0,0,D50/D$12)</f>
        <v>0</v>
      </c>
      <c r="G50" s="4"/>
      <c r="H50" s="4">
        <f>SUM(OSRRefH25x_0)</f>
        <v>21814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-14670.35</v>
      </c>
      <c r="M50" s="4"/>
      <c r="N50" s="12">
        <f t="shared" ref="N50:N51" si="35">IF(H50=0,0,L50/H50)</f>
        <v>-0.6725199413220867</v>
      </c>
      <c r="O50" s="10"/>
      <c r="P50" s="4">
        <f>SUM(OSRRefP25x_0)</f>
        <v>78627.399999999994</v>
      </c>
      <c r="Q50" s="4"/>
      <c r="R50" s="12">
        <f t="shared" ref="R50:R51" si="36">IF(P$12=0,0,P50/P$12)</f>
        <v>0</v>
      </c>
      <c r="S50" s="4"/>
      <c r="T50" s="4">
        <f>SUM(OSRRefT25x_0)</f>
        <v>108573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-29945.600000000006</v>
      </c>
      <c r="Y50" s="4"/>
      <c r="Z50" s="12">
        <f t="shared" ref="Z50:Z51" si="39">IF(T50=0,0,X50/T50)</f>
        <v>-0.27581074484448259</v>
      </c>
    </row>
    <row r="51" spans="1:26" s="24" customFormat="1" hidden="1" outlineLevel="1" x14ac:dyDescent="0.25">
      <c r="A51" s="44"/>
      <c r="B51" s="11" t="str">
        <f>CONCATENATE("          ", "9150", " - ", "MISC. INCOME")</f>
        <v xml:space="preserve">          9150 - MISC. INCOME</v>
      </c>
      <c r="C51" s="11"/>
      <c r="D51" s="2">
        <f>--7143.65</f>
        <v>7143.65</v>
      </c>
      <c r="E51" s="2"/>
      <c r="F51" s="19">
        <f t="shared" si="32"/>
        <v>0</v>
      </c>
      <c r="G51" s="2"/>
      <c r="H51" s="2">
        <v>21814</v>
      </c>
      <c r="I51" s="2"/>
      <c r="J51" s="19">
        <f t="shared" si="33"/>
        <v>0</v>
      </c>
      <c r="K51" s="2"/>
      <c r="L51" s="2">
        <f t="shared" si="34"/>
        <v>-14670.35</v>
      </c>
      <c r="M51" s="2"/>
      <c r="N51" s="19">
        <f t="shared" si="35"/>
        <v>-0.6725199413220867</v>
      </c>
      <c r="O51" s="11"/>
      <c r="P51" s="2">
        <f>--78627.4</f>
        <v>78627.399999999994</v>
      </c>
      <c r="Q51" s="2"/>
      <c r="R51" s="19">
        <f t="shared" si="36"/>
        <v>0</v>
      </c>
      <c r="S51" s="2"/>
      <c r="T51" s="2">
        <v>108573</v>
      </c>
      <c r="U51" s="2"/>
      <c r="V51" s="19">
        <f t="shared" si="37"/>
        <v>0</v>
      </c>
      <c r="W51" s="2"/>
      <c r="X51" s="2">
        <f t="shared" si="38"/>
        <v>-29945.600000000006</v>
      </c>
      <c r="Y51" s="2"/>
      <c r="Z51" s="19">
        <f t="shared" si="39"/>
        <v>-0.27581074484448259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2">
        <f>+D17-D19+D50</f>
        <v>-400.36999999999989</v>
      </c>
      <c r="E53" s="14"/>
      <c r="F53" s="20">
        <f>IF(D$12=0,0,D53/D$12)</f>
        <v>0</v>
      </c>
      <c r="G53" s="14"/>
      <c r="H53" s="22">
        <f>+H17-H19+H50</f>
        <v>15482.204669161543</v>
      </c>
      <c r="I53" s="14"/>
      <c r="J53" s="20">
        <f>IF(H$12=0,0,H53/H$12)</f>
        <v>0</v>
      </c>
      <c r="K53" s="16"/>
      <c r="L53" s="22">
        <f>+D53-H53</f>
        <v>-15882.574669161542</v>
      </c>
      <c r="M53" s="16"/>
      <c r="N53" s="20">
        <f>IF(H53=0,0,L53/H53)</f>
        <v>-1.0258600120948849</v>
      </c>
      <c r="O53" s="28"/>
      <c r="P53" s="22">
        <f>+P17-P19+P50</f>
        <v>10457.479999999981</v>
      </c>
      <c r="Q53" s="14"/>
      <c r="R53" s="20">
        <f>IF(P$12=0,0,P53/P$12)</f>
        <v>0</v>
      </c>
      <c r="S53" s="14"/>
      <c r="T53" s="22">
        <f>+T17-T19+T50</f>
        <v>63957.080349550015</v>
      </c>
      <c r="U53" s="14"/>
      <c r="V53" s="20">
        <f>IF(T$12=0,0,T53/T$12)</f>
        <v>0</v>
      </c>
      <c r="W53" s="16"/>
      <c r="X53" s="22">
        <f>+P53-T53</f>
        <v>-53499.600349550034</v>
      </c>
      <c r="Y53" s="16"/>
      <c r="Z53" s="20">
        <f>IF(T53=0,0,X53/T53)</f>
        <v>-0.83649222349041208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1">
        <f>+D53-D55</f>
        <v>-400.36999999999989</v>
      </c>
      <c r="E57" s="14"/>
      <c r="F57" s="32">
        <f>IF(D$12=0,0,D57/D$12)</f>
        <v>0</v>
      </c>
      <c r="G57" s="14"/>
      <c r="H57" s="31">
        <f>+H53-H55</f>
        <v>15482.204669161543</v>
      </c>
      <c r="I57" s="14"/>
      <c r="J57" s="32">
        <f>IF(H$12=0,0,H57/H$12)</f>
        <v>0</v>
      </c>
      <c r="K57" s="16"/>
      <c r="L57" s="31">
        <f>D57-H57</f>
        <v>-15882.574669161542</v>
      </c>
      <c r="M57" s="16"/>
      <c r="N57" s="32">
        <f>IF(H57=0,0,L57/H57)</f>
        <v>-1.0258600120948849</v>
      </c>
      <c r="O57" s="28"/>
      <c r="P57" s="31">
        <f>+P53-P55</f>
        <v>10457.479999999981</v>
      </c>
      <c r="Q57" s="14"/>
      <c r="R57" s="32">
        <f>IF(P$12=0,0,P57/P$12)</f>
        <v>0</v>
      </c>
      <c r="S57" s="14"/>
      <c r="T57" s="31">
        <f>+T53-T55</f>
        <v>63957.080349550015</v>
      </c>
      <c r="U57" s="14"/>
      <c r="V57" s="32">
        <f>IF(T$12=0,0,T57/T$12)</f>
        <v>0</v>
      </c>
      <c r="W57" s="16"/>
      <c r="X57" s="31">
        <f>P57-T57</f>
        <v>-53499.600349550034</v>
      </c>
      <c r="Y57" s="16"/>
      <c r="Z57" s="32">
        <f>IF(T57=0,0,X57/T57)</f>
        <v>-0.83649222349041208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5">
        <f>SUM(D57:D59)</f>
        <v>-400.36999999999989</v>
      </c>
      <c r="E60" s="14"/>
      <c r="F60" s="34">
        <f>IF(D$12=0,0,D60/D$12)</f>
        <v>0</v>
      </c>
      <c r="G60" s="14"/>
      <c r="H60" s="35">
        <f>SUM(H57:H59)</f>
        <v>15482.204669161543</v>
      </c>
      <c r="I60" s="14"/>
      <c r="J60" s="34">
        <f>IF(H$12=0,0,H60/H$12)</f>
        <v>0</v>
      </c>
      <c r="K60" s="16"/>
      <c r="L60" s="35">
        <f>+D60-H60</f>
        <v>-15882.574669161542</v>
      </c>
      <c r="M60" s="16"/>
      <c r="N60" s="34">
        <f>IF(H60=0,0,L60/H60)</f>
        <v>-1.0258600120948849</v>
      </c>
      <c r="O60" s="28"/>
      <c r="P60" s="35">
        <f>SUM(P57:P59)</f>
        <v>10457.479999999981</v>
      </c>
      <c r="Q60" s="14"/>
      <c r="R60" s="34">
        <f>IF(P$12=0,0,P60/P$12)</f>
        <v>0</v>
      </c>
      <c r="S60" s="14"/>
      <c r="T60" s="35">
        <f>SUM(T57:T59)</f>
        <v>63957.080349550015</v>
      </c>
      <c r="U60" s="14"/>
      <c r="V60" s="34">
        <f>IF(T$12=0,0,T60/T$12)</f>
        <v>0</v>
      </c>
      <c r="W60" s="16"/>
      <c r="X60" s="35">
        <f>+P60-T60</f>
        <v>-53499.600349550034</v>
      </c>
      <c r="Y60" s="16"/>
      <c r="Z60" s="34">
        <f>IF(T60=0,0,X60/T60)</f>
        <v>-0.83649222349041208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63">
        <v>43847.446330983796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5" t="s">
        <v>314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6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5000</v>
      </c>
      <c r="U13" s="2"/>
      <c r="V13" s="19"/>
      <c r="W13" s="2"/>
      <c r="X13" s="2">
        <f t="shared" si="2"/>
        <v>-5000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--19851.87</f>
        <v>19851.87</v>
      </c>
      <c r="Q14" s="2"/>
      <c r="R14" s="19"/>
      <c r="S14" s="2"/>
      <c r="T14" s="2"/>
      <c r="U14" s="2"/>
      <c r="V14" s="19"/>
      <c r="W14" s="2"/>
      <c r="X14" s="2">
        <f t="shared" si="2"/>
        <v>19851.87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15000</v>
      </c>
      <c r="U15" s="2"/>
      <c r="V15" s="19"/>
      <c r="W15" s="2"/>
      <c r="X15" s="2">
        <f t="shared" si="2"/>
        <v>-15000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4834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4834</v>
      </c>
      <c r="M17" s="4"/>
      <c r="N17" s="12">
        <f t="shared" ref="N17:N20" si="8">IF(H17=0,0,L17/H17)</f>
        <v>0</v>
      </c>
      <c r="O17" s="10"/>
      <c r="P17" s="4">
        <f>SUM(OSRRefP16x_0)</f>
        <v>9644.7900000000009</v>
      </c>
      <c r="Q17" s="4"/>
      <c r="R17" s="12">
        <f t="shared" ref="R17:R20" si="9">IF(P$12=0,0,P17/P$12)</f>
        <v>0.48583785809598801</v>
      </c>
      <c r="S17" s="4"/>
      <c r="T17" s="4">
        <f>SUM(OSRRefT16x_0)</f>
        <v>5000</v>
      </c>
      <c r="U17" s="4"/>
      <c r="V17" s="12">
        <f t="shared" ref="V17:V20" si="10">IF(T$12=0,0,T17/T$12)</f>
        <v>0.25</v>
      </c>
      <c r="W17" s="4"/>
      <c r="X17" s="4">
        <f t="shared" ref="X17:X20" si="11">+P17-T17</f>
        <v>4644.7900000000009</v>
      </c>
      <c r="Y17" s="4"/>
      <c r="Z17" s="12">
        <f t="shared" ref="Z17:Z20" si="12">IF(T17=0,0,X17/T17)</f>
        <v>0.92895800000000017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5000</v>
      </c>
      <c r="U18" s="2"/>
      <c r="V18" s="19">
        <f t="shared" si="10"/>
        <v>0.25</v>
      </c>
      <c r="W18" s="2"/>
      <c r="X18" s="2">
        <f t="shared" si="11"/>
        <v>-5000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6367.79</v>
      </c>
      <c r="Q19" s="2"/>
      <c r="R19" s="19">
        <f t="shared" si="9"/>
        <v>0.32076524780788912</v>
      </c>
      <c r="S19" s="2"/>
      <c r="T19" s="2"/>
      <c r="U19" s="2"/>
      <c r="V19" s="19">
        <f t="shared" si="10"/>
        <v>0</v>
      </c>
      <c r="W19" s="2"/>
      <c r="X19" s="2">
        <f t="shared" si="11"/>
        <v>6367.79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4834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4834</v>
      </c>
      <c r="M20" s="2"/>
      <c r="N20" s="19">
        <f t="shared" si="8"/>
        <v>0</v>
      </c>
      <c r="O20" s="11"/>
      <c r="P20" s="2">
        <v>3277</v>
      </c>
      <c r="Q20" s="2"/>
      <c r="R20" s="19">
        <f t="shared" si="9"/>
        <v>0.1650726102880988</v>
      </c>
      <c r="S20" s="2"/>
      <c r="T20" s="2"/>
      <c r="U20" s="2"/>
      <c r="V20" s="19">
        <f t="shared" si="10"/>
        <v>0</v>
      </c>
      <c r="W20" s="2"/>
      <c r="X20" s="2">
        <f t="shared" si="11"/>
        <v>3277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-4834</v>
      </c>
      <c r="E22" s="14"/>
      <c r="F22" s="20">
        <f>IF(D$12=0,0,D22/D$12)</f>
        <v>0</v>
      </c>
      <c r="G22" s="14"/>
      <c r="H22" s="22">
        <f>H12-H17</f>
        <v>0</v>
      </c>
      <c r="I22" s="14"/>
      <c r="J22" s="20">
        <f>IF(H$12=0,0,H22/H$12)</f>
        <v>0</v>
      </c>
      <c r="K22" s="16"/>
      <c r="L22" s="22">
        <f>+D22-H22</f>
        <v>-4834</v>
      </c>
      <c r="M22" s="16"/>
      <c r="N22" s="20">
        <f>IF(H22=0,0,L22/H22)</f>
        <v>0</v>
      </c>
      <c r="O22" s="28"/>
      <c r="P22" s="22">
        <f>P12-P17</f>
        <v>10207.079999999998</v>
      </c>
      <c r="Q22" s="14"/>
      <c r="R22" s="20">
        <f>IF(P$12=0,0,P22/P$12)</f>
        <v>0.51416214190401199</v>
      </c>
      <c r="S22" s="14"/>
      <c r="T22" s="22">
        <f>T12-T17</f>
        <v>15000</v>
      </c>
      <c r="U22" s="14"/>
      <c r="V22" s="20">
        <f>IF(T$12=0,0,T22/T$12)</f>
        <v>0.75</v>
      </c>
      <c r="W22" s="16"/>
      <c r="X22" s="22">
        <f>+P22-T22</f>
        <v>-4792.9200000000019</v>
      </c>
      <c r="Y22" s="16"/>
      <c r="Z22" s="20">
        <f>IF(T22=0,0,X22/T22)</f>
        <v>-0.31952800000000015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946.06</v>
      </c>
      <c r="E24" s="21"/>
      <c r="F24" s="30">
        <f t="shared" ref="F24:F33" si="13">IF(D$12=0,0,D24/D$12)</f>
        <v>0</v>
      </c>
      <c r="G24" s="21"/>
      <c r="H24" s="21">
        <f>SUM(OSRRefH22x_0)</f>
        <v>2156.6800000000003</v>
      </c>
      <c r="I24" s="21"/>
      <c r="J24" s="30">
        <f t="shared" ref="J24:J33" si="14">IF(H$12=0,0,H24/H$12)</f>
        <v>0</v>
      </c>
      <c r="K24" s="4"/>
      <c r="L24" s="21">
        <f t="shared" ref="L24:L33" si="15">+D24-H24</f>
        <v>-1210.6200000000003</v>
      </c>
      <c r="M24" s="4"/>
      <c r="N24" s="30">
        <f t="shared" ref="N24:N33" si="16">IF(H24=0,0,L24/H24)</f>
        <v>-0.56133501493035598</v>
      </c>
      <c r="O24" s="10"/>
      <c r="P24" s="21">
        <f>SUM(OSRRefP22x_0)</f>
        <v>20640.849999999999</v>
      </c>
      <c r="Q24" s="21"/>
      <c r="R24" s="30">
        <f t="shared" ref="R24:R33" si="17">IF(P$12=0,0,P24/P$12)</f>
        <v>1.0397433591898395</v>
      </c>
      <c r="S24" s="21"/>
      <c r="T24" s="21">
        <f>SUM(OSRRefT22x_0)</f>
        <v>23404.393599999999</v>
      </c>
      <c r="U24" s="21"/>
      <c r="V24" s="30">
        <f t="shared" ref="V24:V33" si="18">IF(T$12=0,0,T24/T$12)</f>
        <v>1.17021968</v>
      </c>
      <c r="W24" s="4"/>
      <c r="X24" s="21">
        <f t="shared" ref="X24:X33" si="19">+P24-T24</f>
        <v>-2763.5436000000009</v>
      </c>
      <c r="Y24" s="4"/>
      <c r="Z24" s="30">
        <f t="shared" ref="Z24:Z33" si="20">IF(T24=0,0,X24/T24)</f>
        <v>-0.11807798344324549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58.68</v>
      </c>
      <c r="I25" s="1"/>
      <c r="J25" s="5">
        <f t="shared" si="14"/>
        <v>0</v>
      </c>
      <c r="K25" s="1"/>
      <c r="L25" s="1">
        <f t="shared" si="15"/>
        <v>-58.68</v>
      </c>
      <c r="M25" s="1"/>
      <c r="N25" s="5">
        <f t="shared" si="16"/>
        <v>-1</v>
      </c>
      <c r="O25" s="13"/>
      <c r="P25" s="1">
        <f>SUM(OSRRefP22_0x_0)</f>
        <v>355.92</v>
      </c>
      <c r="Q25" s="1"/>
      <c r="R25" s="5">
        <f t="shared" si="17"/>
        <v>1.7928789580024453E-2</v>
      </c>
      <c r="S25" s="1"/>
      <c r="T25" s="1">
        <f>SUM(OSRRefT22_0x_0)</f>
        <v>480.39359999999999</v>
      </c>
      <c r="U25" s="1"/>
      <c r="V25" s="5">
        <f t="shared" si="18"/>
        <v>2.4019679999999998E-2</v>
      </c>
      <c r="W25" s="1"/>
      <c r="X25" s="1">
        <f t="shared" si="19"/>
        <v>-124.47359999999998</v>
      </c>
      <c r="Y25" s="1"/>
      <c r="Z25" s="5">
        <f t="shared" si="20"/>
        <v>-0.25910753182390434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366.32</v>
      </c>
      <c r="Q26" s="2"/>
      <c r="R26" s="7">
        <f t="shared" si="17"/>
        <v>1.8452669698119119E-2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366.32</v>
      </c>
      <c r="Y26" s="2"/>
      <c r="Z26" s="7">
        <f t="shared" si="20"/>
        <v>0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-10.4</v>
      </c>
      <c r="Q27" s="2"/>
      <c r="R27" s="7">
        <f t="shared" si="17"/>
        <v>-5.2388011809466816E-4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-10.4</v>
      </c>
      <c r="Y27" s="2"/>
      <c r="Z27" s="7">
        <f t="shared" si="20"/>
        <v>0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4.68</v>
      </c>
      <c r="I29" s="2"/>
      <c r="J29" s="7">
        <f t="shared" si="14"/>
        <v>0</v>
      </c>
      <c r="K29" s="2"/>
      <c r="L29" s="6">
        <f t="shared" si="15"/>
        <v>-4.68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38.313600000000001</v>
      </c>
      <c r="U29" s="2"/>
      <c r="V29" s="7">
        <f t="shared" si="18"/>
        <v>1.9156800000000001E-3</v>
      </c>
      <c r="W29" s="2"/>
      <c r="X29" s="6">
        <f t="shared" si="19"/>
        <v>-38.313600000000001</v>
      </c>
      <c r="Y29" s="2"/>
      <c r="Z29" s="7">
        <f t="shared" si="20"/>
        <v>-1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6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54</v>
      </c>
      <c r="I33" s="2"/>
      <c r="J33" s="7">
        <f t="shared" si="14"/>
        <v>0</v>
      </c>
      <c r="K33" s="2"/>
      <c r="L33" s="6">
        <f t="shared" si="15"/>
        <v>-54</v>
      </c>
      <c r="M33" s="2"/>
      <c r="N33" s="7">
        <f t="shared" si="16"/>
        <v>-1</v>
      </c>
      <c r="O33" s="11"/>
      <c r="P33" s="6"/>
      <c r="Q33" s="2"/>
      <c r="R33" s="7">
        <f t="shared" si="17"/>
        <v>0</v>
      </c>
      <c r="S33" s="2"/>
      <c r="T33" s="6">
        <v>442.08</v>
      </c>
      <c r="U33" s="2"/>
      <c r="V33" s="7">
        <f t="shared" si="18"/>
        <v>2.2103999999999999E-2</v>
      </c>
      <c r="W33" s="2"/>
      <c r="X33" s="6">
        <f t="shared" si="19"/>
        <v>-442.08</v>
      </c>
      <c r="Y33" s="2"/>
      <c r="Z33" s="7">
        <f t="shared" si="20"/>
        <v>-1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60.56</v>
      </c>
      <c r="E34" s="1"/>
      <c r="F34" s="5">
        <f t="shared" ref="F34:F44" si="21">IF(D$12=0,0,D34/D$12)</f>
        <v>0</v>
      </c>
      <c r="G34" s="1"/>
      <c r="H34" s="1">
        <f>SUM(OSRRefH22_1x_0)</f>
        <v>1800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-1739.44</v>
      </c>
      <c r="M34" s="1"/>
      <c r="N34" s="5">
        <f t="shared" ref="N34:N44" si="24">IF(H34=0,0,L34/H34)</f>
        <v>-0.96635555555555563</v>
      </c>
      <c r="O34" s="13"/>
      <c r="P34" s="1">
        <f>SUM(OSRRefP22_1x_0)</f>
        <v>5587.09</v>
      </c>
      <c r="Q34" s="1"/>
      <c r="R34" s="5">
        <f t="shared" ref="R34:R44" si="25">IF(P$12=0,0,P34/P$12)</f>
        <v>0.28143897778899418</v>
      </c>
      <c r="S34" s="1"/>
      <c r="T34" s="1">
        <f>SUM(OSRRefT22_1x_0)</f>
        <v>14736</v>
      </c>
      <c r="U34" s="1"/>
      <c r="V34" s="5">
        <f t="shared" ref="V34:V44" si="26">IF(T$12=0,0,T34/T$12)</f>
        <v>0.73680000000000001</v>
      </c>
      <c r="W34" s="1"/>
      <c r="X34" s="1">
        <f t="shared" ref="X34:X44" si="27">+P34-T34</f>
        <v>-9148.91</v>
      </c>
      <c r="Y34" s="1"/>
      <c r="Z34" s="5">
        <f t="shared" ref="Z34:Z44" si="28">IF(T34=0,0,X34/T34)</f>
        <v>-0.62085437024972856</v>
      </c>
    </row>
    <row r="35" spans="1:26" s="24" customFormat="1" hidden="1" outlineLevel="2" x14ac:dyDescent="0.25">
      <c r="A35" s="26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6">
        <v>60.56</v>
      </c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60.56</v>
      </c>
      <c r="M38" s="2"/>
      <c r="N38" s="7">
        <f t="shared" si="24"/>
        <v>0</v>
      </c>
      <c r="O38" s="11"/>
      <c r="P38" s="6">
        <v>60.56</v>
      </c>
      <c r="Q38" s="2"/>
      <c r="R38" s="7">
        <f t="shared" si="25"/>
        <v>3.0505942261358754E-3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60.56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1800</v>
      </c>
      <c r="I39" s="2"/>
      <c r="J39" s="7">
        <f t="shared" si="22"/>
        <v>0</v>
      </c>
      <c r="K39" s="2"/>
      <c r="L39" s="6">
        <f t="shared" si="23"/>
        <v>-1800</v>
      </c>
      <c r="M39" s="2"/>
      <c r="N39" s="7">
        <f t="shared" si="24"/>
        <v>-1</v>
      </c>
      <c r="O39" s="11"/>
      <c r="P39" s="6">
        <v>2489.34</v>
      </c>
      <c r="Q39" s="2"/>
      <c r="R39" s="7">
        <f t="shared" si="25"/>
        <v>0.12539574357478667</v>
      </c>
      <c r="S39" s="2"/>
      <c r="T39" s="6">
        <v>10896</v>
      </c>
      <c r="U39" s="2"/>
      <c r="V39" s="7">
        <f t="shared" si="26"/>
        <v>0.54479999999999995</v>
      </c>
      <c r="W39" s="2"/>
      <c r="X39" s="6">
        <f t="shared" si="27"/>
        <v>-8406.66</v>
      </c>
      <c r="Y39" s="2"/>
      <c r="Z39" s="7">
        <f t="shared" si="28"/>
        <v>-0.77153634361233481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247.5</v>
      </c>
      <c r="Q40" s="2"/>
      <c r="R40" s="7">
        <f t="shared" si="25"/>
        <v>1.2467339348887536E-2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247.5</v>
      </c>
      <c r="Y40" s="2"/>
      <c r="Z40" s="7">
        <f t="shared" si="28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2156.69</v>
      </c>
      <c r="Q41" s="2"/>
      <c r="R41" s="7">
        <f t="shared" si="25"/>
        <v>0.10863913575899903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2156.69</v>
      </c>
      <c r="Y41" s="2"/>
      <c r="Z41" s="7">
        <f t="shared" si="28"/>
        <v>0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633</v>
      </c>
      <c r="Q42" s="2"/>
      <c r="R42" s="7">
        <f t="shared" si="25"/>
        <v>3.1886164880185093E-2</v>
      </c>
      <c r="S42" s="2"/>
      <c r="T42" s="6">
        <v>3840</v>
      </c>
      <c r="U42" s="2"/>
      <c r="V42" s="7">
        <f t="shared" si="26"/>
        <v>0.192</v>
      </c>
      <c r="W42" s="2"/>
      <c r="X42" s="6">
        <f t="shared" si="27"/>
        <v>-3207</v>
      </c>
      <c r="Y42" s="2"/>
      <c r="Z42" s="7">
        <f t="shared" si="28"/>
        <v>-0.83515625000000004</v>
      </c>
    </row>
    <row r="43" spans="1:26" s="24" customFormat="1" hidden="1" outlineLevel="2" x14ac:dyDescent="0.25">
      <c r="A43" s="26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6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667.5</v>
      </c>
      <c r="E45" s="1"/>
      <c r="F45" s="5">
        <f t="shared" ref="F45:F57" si="29">IF(D$12=0,0,D45/D$12)</f>
        <v>0</v>
      </c>
      <c r="G45" s="1"/>
      <c r="H45" s="1">
        <f>SUM(OSRRefH22_2x_0)</f>
        <v>0</v>
      </c>
      <c r="I45" s="1"/>
      <c r="J45" s="5">
        <f t="shared" ref="J45:J57" si="30">IF(H$12=0,0,H45/H$12)</f>
        <v>0</v>
      </c>
      <c r="K45" s="1"/>
      <c r="L45" s="1">
        <f t="shared" ref="L45:L57" si="31">+D45-H45</f>
        <v>667.5</v>
      </c>
      <c r="M45" s="1"/>
      <c r="N45" s="5">
        <f t="shared" ref="N45:N57" si="32">IF(H45=0,0,L45/H45)</f>
        <v>0</v>
      </c>
      <c r="O45" s="13"/>
      <c r="P45" s="1">
        <f>SUM(OSRRefP22_2x_0)</f>
        <v>1600.53</v>
      </c>
      <c r="Q45" s="1"/>
      <c r="R45" s="5">
        <f t="shared" ref="R45:R57" si="33">IF(P$12=0,0,P45/P$12)</f>
        <v>8.0623638982121076E-2</v>
      </c>
      <c r="S45" s="1"/>
      <c r="T45" s="1">
        <f>SUM(OSRRefT22_2x_0)</f>
        <v>100</v>
      </c>
      <c r="U45" s="1"/>
      <c r="V45" s="5">
        <f t="shared" ref="V45:V57" si="34">IF(T$12=0,0,T45/T$12)</f>
        <v>5.0000000000000001E-3</v>
      </c>
      <c r="W45" s="1"/>
      <c r="X45" s="1">
        <f t="shared" ref="X45:X57" si="35">+P45-T45</f>
        <v>1500.53</v>
      </c>
      <c r="Y45" s="1"/>
      <c r="Z45" s="5">
        <f t="shared" ref="Z45:Z57" si="36">IF(T45=0,0,X45/T45)</f>
        <v>15.0053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>
        <v>667.5</v>
      </c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667.5</v>
      </c>
      <c r="M46" s="2"/>
      <c r="N46" s="7">
        <f t="shared" si="32"/>
        <v>0</v>
      </c>
      <c r="O46" s="11"/>
      <c r="P46" s="6">
        <v>1600.53</v>
      </c>
      <c r="Q46" s="2"/>
      <c r="R46" s="7">
        <f t="shared" si="33"/>
        <v>8.0623638982121076E-2</v>
      </c>
      <c r="S46" s="2"/>
      <c r="T46" s="6">
        <v>100</v>
      </c>
      <c r="U46" s="2"/>
      <c r="V46" s="7">
        <f t="shared" si="34"/>
        <v>5.0000000000000001E-3</v>
      </c>
      <c r="W46" s="2"/>
      <c r="X46" s="6">
        <f t="shared" si="35"/>
        <v>1500.53</v>
      </c>
      <c r="Y46" s="2"/>
      <c r="Z46" s="7">
        <f t="shared" si="36"/>
        <v>15.0053</v>
      </c>
    </row>
    <row r="47" spans="1:26" s="25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1.85</v>
      </c>
      <c r="Q47" s="1"/>
      <c r="R47" s="5">
        <f t="shared" si="33"/>
        <v>9.3190213314916939E-5</v>
      </c>
      <c r="S47" s="1"/>
      <c r="T47" s="1">
        <f>SUM(OSRRefT22_3x_0)</f>
        <v>25</v>
      </c>
      <c r="U47" s="1"/>
      <c r="V47" s="5">
        <f t="shared" si="34"/>
        <v>1.25E-3</v>
      </c>
      <c r="W47" s="1"/>
      <c r="X47" s="1">
        <f t="shared" si="35"/>
        <v>-23.15</v>
      </c>
      <c r="Y47" s="1"/>
      <c r="Z47" s="5">
        <f t="shared" si="36"/>
        <v>-0.92599999999999993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1.85</v>
      </c>
      <c r="Q48" s="2"/>
      <c r="R48" s="7">
        <f t="shared" si="33"/>
        <v>9.3190213314916939E-5</v>
      </c>
      <c r="S48" s="2"/>
      <c r="T48" s="6">
        <v>25</v>
      </c>
      <c r="U48" s="2"/>
      <c r="V48" s="7">
        <f t="shared" si="34"/>
        <v>1.25E-3</v>
      </c>
      <c r="W48" s="2"/>
      <c r="X48" s="6">
        <f t="shared" si="35"/>
        <v>-23.15</v>
      </c>
      <c r="Y48" s="2"/>
      <c r="Z48" s="7">
        <f t="shared" si="36"/>
        <v>-0.92599999999999993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SUM(OSRRefP22_4x_0)</f>
        <v>348.55</v>
      </c>
      <c r="Q49" s="1"/>
      <c r="R49" s="5">
        <f t="shared" si="33"/>
        <v>1.7557539919413136E-2</v>
      </c>
      <c r="S49" s="1"/>
      <c r="T49" s="1">
        <f>SUM(OSRRefT22_4x_0)</f>
        <v>150</v>
      </c>
      <c r="U49" s="1"/>
      <c r="V49" s="5">
        <f t="shared" si="34"/>
        <v>7.4999999999999997E-3</v>
      </c>
      <c r="W49" s="1"/>
      <c r="X49" s="1">
        <f t="shared" si="35"/>
        <v>198.55</v>
      </c>
      <c r="Y49" s="1"/>
      <c r="Z49" s="5">
        <f t="shared" si="36"/>
        <v>1.3236666666666668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348.55</v>
      </c>
      <c r="Q50" s="2"/>
      <c r="R50" s="7">
        <f t="shared" si="33"/>
        <v>1.7557539919413136E-2</v>
      </c>
      <c r="S50" s="2"/>
      <c r="T50" s="6">
        <v>150</v>
      </c>
      <c r="U50" s="2"/>
      <c r="V50" s="7">
        <f t="shared" si="34"/>
        <v>7.4999999999999997E-3</v>
      </c>
      <c r="W50" s="2"/>
      <c r="X50" s="6">
        <f t="shared" si="35"/>
        <v>198.55</v>
      </c>
      <c r="Y50" s="2"/>
      <c r="Z50" s="7">
        <f t="shared" si="36"/>
        <v>1.3236666666666668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114.64</v>
      </c>
      <c r="Q51" s="1"/>
      <c r="R51" s="5">
        <f t="shared" si="33"/>
        <v>5.7747708402281503E-3</v>
      </c>
      <c r="S51" s="1"/>
      <c r="T51" s="1">
        <f>SUM(OSRRefT22_5x_0)</f>
        <v>100</v>
      </c>
      <c r="U51" s="1"/>
      <c r="V51" s="5">
        <f t="shared" si="34"/>
        <v>5.0000000000000001E-3</v>
      </c>
      <c r="W51" s="1"/>
      <c r="X51" s="1">
        <f t="shared" si="35"/>
        <v>14.64</v>
      </c>
      <c r="Y51" s="1"/>
      <c r="Z51" s="5">
        <f t="shared" si="36"/>
        <v>0.1464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114.64</v>
      </c>
      <c r="Q52" s="2"/>
      <c r="R52" s="7">
        <f t="shared" si="33"/>
        <v>5.7747708402281503E-3</v>
      </c>
      <c r="S52" s="2"/>
      <c r="T52" s="6">
        <v>100</v>
      </c>
      <c r="U52" s="2"/>
      <c r="V52" s="7">
        <f t="shared" si="34"/>
        <v>5.0000000000000001E-3</v>
      </c>
      <c r="W52" s="2"/>
      <c r="X52" s="6">
        <f t="shared" si="35"/>
        <v>14.64</v>
      </c>
      <c r="Y52" s="2"/>
      <c r="Z52" s="7">
        <f t="shared" si="36"/>
        <v>0.1464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4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4</v>
      </c>
      <c r="M53" s="1"/>
      <c r="N53" s="5">
        <f t="shared" si="32"/>
        <v>0</v>
      </c>
      <c r="O53" s="13"/>
      <c r="P53" s="1">
        <f>SUM(OSRRefP22_6x_0)</f>
        <v>3271.75</v>
      </c>
      <c r="Q53" s="1"/>
      <c r="R53" s="5">
        <f t="shared" si="33"/>
        <v>0.16480815157463757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3271.75</v>
      </c>
      <c r="Y53" s="1"/>
      <c r="Z53" s="5">
        <f t="shared" si="36"/>
        <v>0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>
        <v>4</v>
      </c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4</v>
      </c>
      <c r="M54" s="2"/>
      <c r="N54" s="7">
        <f t="shared" si="32"/>
        <v>0</v>
      </c>
      <c r="O54" s="11"/>
      <c r="P54" s="6">
        <v>3271.75</v>
      </c>
      <c r="Q54" s="2"/>
      <c r="R54" s="7">
        <f t="shared" si="33"/>
        <v>0.16480815157463757</v>
      </c>
      <c r="S54" s="2"/>
      <c r="T54" s="6"/>
      <c r="U54" s="2"/>
      <c r="V54" s="7">
        <f t="shared" si="34"/>
        <v>0</v>
      </c>
      <c r="W54" s="2"/>
      <c r="X54" s="6">
        <f t="shared" si="35"/>
        <v>3271.75</v>
      </c>
      <c r="Y54" s="2"/>
      <c r="Z54" s="7">
        <f t="shared" si="36"/>
        <v>0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434.72</v>
      </c>
      <c r="Q55" s="1"/>
      <c r="R55" s="5">
        <f t="shared" si="33"/>
        <v>2.1898188936357133E-2</v>
      </c>
      <c r="S55" s="1"/>
      <c r="T55" s="1">
        <f>SUM(OSRRefT22_7x_0)</f>
        <v>1500</v>
      </c>
      <c r="U55" s="1"/>
      <c r="V55" s="5">
        <f t="shared" si="34"/>
        <v>7.4999999999999997E-2</v>
      </c>
      <c r="W55" s="1"/>
      <c r="X55" s="1">
        <f t="shared" si="35"/>
        <v>-1065.28</v>
      </c>
      <c r="Y55" s="1"/>
      <c r="Z55" s="5">
        <f t="shared" si="36"/>
        <v>-0.71018666666666663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296.64</v>
      </c>
      <c r="Q56" s="2"/>
      <c r="R56" s="7">
        <f t="shared" si="33"/>
        <v>1.4942672906884842E-2</v>
      </c>
      <c r="S56" s="2"/>
      <c r="T56" s="6"/>
      <c r="U56" s="2"/>
      <c r="V56" s="7">
        <f t="shared" si="34"/>
        <v>0</v>
      </c>
      <c r="W56" s="2"/>
      <c r="X56" s="6">
        <f t="shared" si="35"/>
        <v>296.64</v>
      </c>
      <c r="Y56" s="2"/>
      <c r="Z56" s="7">
        <f t="shared" si="36"/>
        <v>0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138.08000000000001</v>
      </c>
      <c r="Q57" s="2"/>
      <c r="R57" s="7">
        <f t="shared" si="33"/>
        <v>6.9555160294722876E-3</v>
      </c>
      <c r="S57" s="2"/>
      <c r="T57" s="6">
        <v>1500</v>
      </c>
      <c r="U57" s="2"/>
      <c r="V57" s="7">
        <f t="shared" si="34"/>
        <v>7.4999999999999997E-2</v>
      </c>
      <c r="W57" s="2"/>
      <c r="X57" s="6">
        <f t="shared" si="35"/>
        <v>-1361.92</v>
      </c>
      <c r="Y57" s="2"/>
      <c r="Z57" s="7">
        <f t="shared" si="36"/>
        <v>-0.90794666666666668</v>
      </c>
    </row>
    <row r="58" spans="1:26" s="25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0</v>
      </c>
      <c r="I58" s="1"/>
      <c r="J58" s="5">
        <f t="shared" ref="J58:J60" si="38">IF(H$12=0,0,H58/H$12)</f>
        <v>0</v>
      </c>
      <c r="K58" s="1"/>
      <c r="L58" s="1">
        <f t="shared" ref="L58:L60" si="39">+D58-H58</f>
        <v>0</v>
      </c>
      <c r="M58" s="1"/>
      <c r="N58" s="5">
        <f t="shared" ref="N58:N60" si="40">IF(H58=0,0,L58/H58)</f>
        <v>0</v>
      </c>
      <c r="O58" s="13"/>
      <c r="P58" s="1">
        <f>SUM(OSRRefP22_8x_0)</f>
        <v>6595.88</v>
      </c>
      <c r="Q58" s="1"/>
      <c r="R58" s="5">
        <f t="shared" ref="R58:R60" si="41">IF(P$12=0,0,P58/P$12)</f>
        <v>0.33225484551329426</v>
      </c>
      <c r="S58" s="1"/>
      <c r="T58" s="1">
        <f>SUM(OSRRefT22_8x_0)</f>
        <v>4000</v>
      </c>
      <c r="U58" s="1"/>
      <c r="V58" s="5">
        <f t="shared" ref="V58:V60" si="42">IF(T$12=0,0,T58/T$12)</f>
        <v>0.2</v>
      </c>
      <c r="W58" s="1"/>
      <c r="X58" s="1">
        <f t="shared" ref="X58:X60" si="43">+P58-T58</f>
        <v>2595.88</v>
      </c>
      <c r="Y58" s="1"/>
      <c r="Z58" s="5">
        <f t="shared" ref="Z58:Z60" si="44">IF(T58=0,0,X58/T58)</f>
        <v>0.64897000000000005</v>
      </c>
    </row>
    <row r="59" spans="1:26" s="24" customFormat="1" hidden="1" outlineLevel="2" x14ac:dyDescent="0.25">
      <c r="A59" s="26"/>
      <c r="B59" s="11" t="str">
        <f>CONCATENATE("          ", "6253", " - ", "ROYALTY DUE ATHLETICS-LRG")</f>
        <v xml:space="preserve">          6253 - ROYALTY DUE ATHLETICS-LRG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4000</v>
      </c>
      <c r="U59" s="2"/>
      <c r="V59" s="7">
        <f t="shared" si="42"/>
        <v>0.2</v>
      </c>
      <c r="W59" s="2"/>
      <c r="X59" s="6">
        <f t="shared" si="43"/>
        <v>-4000</v>
      </c>
      <c r="Y59" s="2"/>
      <c r="Z59" s="7">
        <f t="shared" si="44"/>
        <v>-1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6595.88</v>
      </c>
      <c r="Q60" s="2"/>
      <c r="R60" s="7">
        <f t="shared" si="41"/>
        <v>0.33225484551329426</v>
      </c>
      <c r="S60" s="2"/>
      <c r="T60" s="6"/>
      <c r="U60" s="2"/>
      <c r="V60" s="7">
        <f t="shared" si="42"/>
        <v>0</v>
      </c>
      <c r="W60" s="2"/>
      <c r="X60" s="6">
        <f t="shared" si="43"/>
        <v>6595.88</v>
      </c>
      <c r="Y60" s="2"/>
      <c r="Z60" s="7">
        <f t="shared" si="44"/>
        <v>0</v>
      </c>
    </row>
    <row r="61" spans="1:26" s="25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SUM(OSRRefD22_9x_0)</f>
        <v>0</v>
      </c>
      <c r="E61" s="1"/>
      <c r="F61" s="5">
        <f t="shared" ref="F61:F67" si="45">IF(D$12=0,0,D61/D$12)</f>
        <v>0</v>
      </c>
      <c r="G61" s="1"/>
      <c r="H61" s="1">
        <f>SUM(OSRRefH22_9x_0)</f>
        <v>0</v>
      </c>
      <c r="I61" s="1"/>
      <c r="J61" s="5">
        <f t="shared" ref="J61:J67" si="46">IF(H$12=0,0,H61/H$12)</f>
        <v>0</v>
      </c>
      <c r="K61" s="1"/>
      <c r="L61" s="1">
        <f t="shared" ref="L61:L67" si="47">+D61-H61</f>
        <v>0</v>
      </c>
      <c r="M61" s="1"/>
      <c r="N61" s="5">
        <f t="shared" ref="N61:N67" si="48">IF(H61=0,0,L61/H61)</f>
        <v>0</v>
      </c>
      <c r="O61" s="13"/>
      <c r="P61" s="1">
        <f>SUM(OSRRefP22_9x_0)</f>
        <v>32.5</v>
      </c>
      <c r="Q61" s="1"/>
      <c r="R61" s="5">
        <f t="shared" ref="R61:R67" si="49">IF(P$12=0,0,P61/P$12)</f>
        <v>1.6371253690458381E-3</v>
      </c>
      <c r="S61" s="1"/>
      <c r="T61" s="1">
        <f>SUM(OSRRefT22_9x_0)</f>
        <v>25</v>
      </c>
      <c r="U61" s="1"/>
      <c r="V61" s="5">
        <f t="shared" ref="V61:V67" si="50">IF(T$12=0,0,T61/T$12)</f>
        <v>1.25E-3</v>
      </c>
      <c r="W61" s="1"/>
      <c r="X61" s="1">
        <f t="shared" ref="X61:X67" si="51">+P61-T61</f>
        <v>7.5</v>
      </c>
      <c r="Y61" s="1"/>
      <c r="Z61" s="5">
        <f t="shared" ref="Z61:Z67" si="52">IF(T61=0,0,X61/T61)</f>
        <v>0.3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32.5</v>
      </c>
      <c r="Q62" s="2"/>
      <c r="R62" s="7">
        <f t="shared" si="49"/>
        <v>1.6371253690458381E-3</v>
      </c>
      <c r="S62" s="2"/>
      <c r="T62" s="6">
        <v>25</v>
      </c>
      <c r="U62" s="2"/>
      <c r="V62" s="7">
        <f t="shared" si="50"/>
        <v>1.25E-3</v>
      </c>
      <c r="W62" s="2"/>
      <c r="X62" s="6">
        <f t="shared" si="51"/>
        <v>7.5</v>
      </c>
      <c r="Y62" s="2"/>
      <c r="Z62" s="7">
        <f t="shared" si="52"/>
        <v>0.3</v>
      </c>
    </row>
    <row r="63" spans="1:26" s="25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si="45"/>
        <v>0</v>
      </c>
      <c r="G63" s="1"/>
      <c r="H63" s="1">
        <f>SUM(OSRRefH22_10x_0)</f>
        <v>0</v>
      </c>
      <c r="I63" s="1"/>
      <c r="J63" s="5">
        <f t="shared" si="46"/>
        <v>0</v>
      </c>
      <c r="K63" s="1"/>
      <c r="L63" s="1">
        <f t="shared" si="47"/>
        <v>0</v>
      </c>
      <c r="M63" s="1"/>
      <c r="N63" s="5">
        <f t="shared" si="48"/>
        <v>0</v>
      </c>
      <c r="O63" s="13"/>
      <c r="P63" s="1">
        <f>SUM(OSRRefP22_10x_0)</f>
        <v>1013.37</v>
      </c>
      <c r="Q63" s="1"/>
      <c r="R63" s="5">
        <f t="shared" si="49"/>
        <v>5.1046576468614796E-2</v>
      </c>
      <c r="S63" s="1"/>
      <c r="T63" s="1">
        <f>SUM(OSRRefT22_10x_0)</f>
        <v>500</v>
      </c>
      <c r="U63" s="1"/>
      <c r="V63" s="5">
        <f t="shared" si="50"/>
        <v>2.5000000000000001E-2</v>
      </c>
      <c r="W63" s="1"/>
      <c r="X63" s="1">
        <f t="shared" si="51"/>
        <v>513.37</v>
      </c>
      <c r="Y63" s="1"/>
      <c r="Z63" s="5">
        <f t="shared" si="52"/>
        <v>1.02674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>
        <v>875.42</v>
      </c>
      <c r="Q64" s="2"/>
      <c r="R64" s="7">
        <f t="shared" si="49"/>
        <v>4.4097608940618691E-2</v>
      </c>
      <c r="S64" s="2"/>
      <c r="T64" s="6"/>
      <c r="U64" s="2"/>
      <c r="V64" s="7">
        <f t="shared" si="50"/>
        <v>0</v>
      </c>
      <c r="W64" s="2"/>
      <c r="X64" s="6">
        <f t="shared" si="51"/>
        <v>875.42</v>
      </c>
      <c r="Y64" s="2"/>
      <c r="Z64" s="7">
        <f t="shared" si="52"/>
        <v>0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33.06</v>
      </c>
      <c r="Q65" s="2"/>
      <c r="R65" s="7">
        <f t="shared" si="49"/>
        <v>1.6653342984817049E-3</v>
      </c>
      <c r="S65" s="2"/>
      <c r="T65" s="6"/>
      <c r="U65" s="2"/>
      <c r="V65" s="7">
        <f t="shared" si="50"/>
        <v>0</v>
      </c>
      <c r="W65" s="2"/>
      <c r="X65" s="6">
        <f t="shared" si="51"/>
        <v>33.06</v>
      </c>
      <c r="Y65" s="2"/>
      <c r="Z65" s="7">
        <f t="shared" si="52"/>
        <v>0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500</v>
      </c>
      <c r="U66" s="2"/>
      <c r="V66" s="7">
        <f t="shared" si="50"/>
        <v>2.5000000000000001E-2</v>
      </c>
      <c r="W66" s="2"/>
      <c r="X66" s="6">
        <f t="shared" si="51"/>
        <v>-500</v>
      </c>
      <c r="Y66" s="2"/>
      <c r="Z66" s="7">
        <f t="shared" si="52"/>
        <v>-1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104.89</v>
      </c>
      <c r="Q67" s="2"/>
      <c r="R67" s="7">
        <f t="shared" si="49"/>
        <v>5.2836332295143991E-3</v>
      </c>
      <c r="S67" s="2"/>
      <c r="T67" s="6"/>
      <c r="U67" s="2"/>
      <c r="V67" s="7">
        <f t="shared" si="50"/>
        <v>0</v>
      </c>
      <c r="W67" s="2"/>
      <c r="X67" s="6">
        <f t="shared" si="51"/>
        <v>104.89</v>
      </c>
      <c r="Y67" s="2"/>
      <c r="Z67" s="7">
        <f t="shared" si="52"/>
        <v>0</v>
      </c>
    </row>
    <row r="68" spans="1:26" s="25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SUM(OSRRefD22_11x_0)</f>
        <v>214</v>
      </c>
      <c r="E68" s="1"/>
      <c r="F68" s="5">
        <f t="shared" ref="F68:F70" si="53">IF(D$12=0,0,D68/D$12)</f>
        <v>0</v>
      </c>
      <c r="G68" s="1"/>
      <c r="H68" s="1">
        <f>SUM(OSRRefH22_11x_0)</f>
        <v>298</v>
      </c>
      <c r="I68" s="1"/>
      <c r="J68" s="5">
        <f t="shared" ref="J68:J70" si="54">IF(H$12=0,0,H68/H$12)</f>
        <v>0</v>
      </c>
      <c r="K68" s="1"/>
      <c r="L68" s="1">
        <f t="shared" ref="L68:L70" si="55">+D68-H68</f>
        <v>-84</v>
      </c>
      <c r="M68" s="1"/>
      <c r="N68" s="5">
        <f t="shared" ref="N68:N70" si="56">IF(H68=0,0,L68/H68)</f>
        <v>-0.28187919463087246</v>
      </c>
      <c r="O68" s="13"/>
      <c r="P68" s="1">
        <f>SUM(OSRRefP22_11x_0)</f>
        <v>1284.05</v>
      </c>
      <c r="Q68" s="1"/>
      <c r="R68" s="5">
        <f t="shared" ref="R68:R70" si="57">IF(P$12=0,0,P68/P$12)</f>
        <v>6.4681564003794101E-2</v>
      </c>
      <c r="S68" s="1"/>
      <c r="T68" s="1">
        <f>SUM(OSRRefT22_11x_0)</f>
        <v>1788</v>
      </c>
      <c r="U68" s="1"/>
      <c r="V68" s="5">
        <f t="shared" ref="V68:V70" si="58">IF(T$12=0,0,T68/T$12)</f>
        <v>8.9399999999999993E-2</v>
      </c>
      <c r="W68" s="1"/>
      <c r="X68" s="1">
        <f t="shared" ref="X68:X70" si="59">+P68-T68</f>
        <v>-503.95000000000005</v>
      </c>
      <c r="Y68" s="1"/>
      <c r="Z68" s="5">
        <f t="shared" ref="Z68:Z70" si="60">IF(T68=0,0,X68/T68)</f>
        <v>-0.28185123042505594</v>
      </c>
    </row>
    <row r="69" spans="1:26" s="24" customFormat="1" hidden="1" outlineLevel="2" x14ac:dyDescent="0.25">
      <c r="A69" s="26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53"/>
        <v>0</v>
      </c>
      <c r="G69" s="2"/>
      <c r="H69" s="6">
        <v>298</v>
      </c>
      <c r="I69" s="2"/>
      <c r="J69" s="7">
        <f t="shared" si="54"/>
        <v>0</v>
      </c>
      <c r="K69" s="2"/>
      <c r="L69" s="6">
        <f t="shared" si="55"/>
        <v>-298</v>
      </c>
      <c r="M69" s="2"/>
      <c r="N69" s="7">
        <f t="shared" si="56"/>
        <v>-1</v>
      </c>
      <c r="O69" s="11"/>
      <c r="P69" s="6"/>
      <c r="Q69" s="2"/>
      <c r="R69" s="7">
        <f t="shared" si="57"/>
        <v>0</v>
      </c>
      <c r="S69" s="2"/>
      <c r="T69" s="6">
        <v>1788</v>
      </c>
      <c r="U69" s="2"/>
      <c r="V69" s="7">
        <f t="shared" si="58"/>
        <v>8.9399999999999993E-2</v>
      </c>
      <c r="W69" s="2"/>
      <c r="X69" s="6">
        <f t="shared" si="59"/>
        <v>-1788</v>
      </c>
      <c r="Y69" s="2"/>
      <c r="Z69" s="7">
        <f t="shared" si="60"/>
        <v>-1</v>
      </c>
    </row>
    <row r="70" spans="1:26" s="24" customFormat="1" hidden="1" outlineLevel="2" x14ac:dyDescent="0.25">
      <c r="A70" s="26"/>
      <c r="B70" s="11" t="str">
        <f>CONCATENATE("          ", "6309", " - ", "TELEPHONE")</f>
        <v xml:space="preserve">          6309 - TELEPHONE</v>
      </c>
      <c r="C70" s="11"/>
      <c r="D70" s="6">
        <v>214</v>
      </c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214</v>
      </c>
      <c r="M70" s="2"/>
      <c r="N70" s="7">
        <f t="shared" si="56"/>
        <v>0</v>
      </c>
      <c r="O70" s="11"/>
      <c r="P70" s="6">
        <v>1284.05</v>
      </c>
      <c r="Q70" s="2"/>
      <c r="R70" s="7">
        <f t="shared" si="57"/>
        <v>6.4681564003794101E-2</v>
      </c>
      <c r="S70" s="2"/>
      <c r="T70" s="6"/>
      <c r="U70" s="2"/>
      <c r="V70" s="7">
        <f t="shared" si="58"/>
        <v>0</v>
      </c>
      <c r="W70" s="2"/>
      <c r="X70" s="6">
        <f t="shared" si="59"/>
        <v>1284.05</v>
      </c>
      <c r="Y70" s="2"/>
      <c r="Z70" s="7">
        <f t="shared" si="60"/>
        <v>0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8" t="s">
        <v>0</v>
      </c>
      <c r="C72" s="10"/>
      <c r="D72" s="4">
        <f>SUM(OSRRefD25x_0)</f>
        <v>0</v>
      </c>
      <c r="E72" s="4"/>
      <c r="F72" s="12">
        <f t="shared" ref="F72:F73" si="61">IF(D$12=0,0,D72/D$12)</f>
        <v>0</v>
      </c>
      <c r="G72" s="4"/>
      <c r="H72" s="4">
        <f>SUM(OSRRefH25x_0)</f>
        <v>0</v>
      </c>
      <c r="I72" s="4"/>
      <c r="J72" s="12">
        <f t="shared" ref="J72:J73" si="62">IF(H$12=0,0,H72/H$12)</f>
        <v>0</v>
      </c>
      <c r="K72" s="4"/>
      <c r="L72" s="4">
        <f t="shared" ref="L72:L73" si="63">+D72-H72</f>
        <v>0</v>
      </c>
      <c r="M72" s="4"/>
      <c r="N72" s="12">
        <f t="shared" ref="N72:N73" si="64">IF(H72=0,0,L72/H72)</f>
        <v>0</v>
      </c>
      <c r="O72" s="10"/>
      <c r="P72" s="4">
        <f>SUM(OSRRefP25x_0)</f>
        <v>5494.64</v>
      </c>
      <c r="Q72" s="4"/>
      <c r="R72" s="12">
        <f t="shared" ref="R72:R73" si="65">IF(P$12=0,0,P72/P$12)</f>
        <v>0.27678198577766228</v>
      </c>
      <c r="S72" s="4"/>
      <c r="T72" s="4">
        <f>SUM(OSRRefT25x_0)</f>
        <v>0</v>
      </c>
      <c r="U72" s="4"/>
      <c r="V72" s="12">
        <f t="shared" ref="V72:V73" si="66">IF(T$12=0,0,T72/T$12)</f>
        <v>0</v>
      </c>
      <c r="W72" s="4"/>
      <c r="X72" s="4">
        <f t="shared" ref="X72:X73" si="67">+P72-T72</f>
        <v>5494.64</v>
      </c>
      <c r="Y72" s="4"/>
      <c r="Z72" s="12">
        <f t="shared" ref="Z72:Z73" si="68">IF(T72=0,0,X72/T72)</f>
        <v>0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1"/>
        <v>0</v>
      </c>
      <c r="G73" s="2"/>
      <c r="H73" s="2"/>
      <c r="I73" s="2"/>
      <c r="J73" s="19">
        <f t="shared" si="62"/>
        <v>0</v>
      </c>
      <c r="K73" s="2"/>
      <c r="L73" s="2">
        <f t="shared" si="63"/>
        <v>0</v>
      </c>
      <c r="M73" s="2"/>
      <c r="N73" s="19">
        <f t="shared" si="64"/>
        <v>0</v>
      </c>
      <c r="O73" s="11"/>
      <c r="P73" s="2">
        <f>--5494.64</f>
        <v>5494.64</v>
      </c>
      <c r="Q73" s="2"/>
      <c r="R73" s="19">
        <f t="shared" si="65"/>
        <v>0.27678198577766228</v>
      </c>
      <c r="S73" s="2"/>
      <c r="T73" s="2"/>
      <c r="U73" s="2"/>
      <c r="V73" s="19">
        <f t="shared" si="66"/>
        <v>0</v>
      </c>
      <c r="W73" s="2"/>
      <c r="X73" s="2">
        <f t="shared" si="67"/>
        <v>5494.64</v>
      </c>
      <c r="Y73" s="2"/>
      <c r="Z73" s="19">
        <f t="shared" si="68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2">
        <f>+D22-D24+D72</f>
        <v>-5780.0599999999995</v>
      </c>
      <c r="E75" s="14"/>
      <c r="F75" s="20">
        <f>IF(D$12=0,0,D75/D$12)</f>
        <v>0</v>
      </c>
      <c r="G75" s="14"/>
      <c r="H75" s="22">
        <f>+H22-H24+H72</f>
        <v>-2156.6800000000003</v>
      </c>
      <c r="I75" s="14"/>
      <c r="J75" s="20">
        <f>IF(H$12=0,0,H75/H$12)</f>
        <v>0</v>
      </c>
      <c r="K75" s="16"/>
      <c r="L75" s="22">
        <f>+D75-H75</f>
        <v>-3623.3799999999992</v>
      </c>
      <c r="M75" s="16"/>
      <c r="N75" s="20">
        <f>IF(H75=0,0,L75/H75)</f>
        <v>1.6800730752823778</v>
      </c>
      <c r="O75" s="28"/>
      <c r="P75" s="22">
        <f>+P22-P24+P72</f>
        <v>-4939.13</v>
      </c>
      <c r="Q75" s="14"/>
      <c r="R75" s="20">
        <f>IF(P$12=0,0,P75/P$12)</f>
        <v>-0.24879923150816524</v>
      </c>
      <c r="S75" s="14"/>
      <c r="T75" s="22">
        <f>+T22-T24+T72</f>
        <v>-8404.3935999999994</v>
      </c>
      <c r="U75" s="14"/>
      <c r="V75" s="20">
        <f>IF(T$12=0,0,T75/T$12)</f>
        <v>-0.42021967999999998</v>
      </c>
      <c r="W75" s="16"/>
      <c r="X75" s="22">
        <f>+P75-T75</f>
        <v>3465.2635999999993</v>
      </c>
      <c r="Y75" s="16"/>
      <c r="Z75" s="20">
        <f>IF(T75=0,0,X75/T75)</f>
        <v>-0.41231572019663615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41.97</v>
      </c>
      <c r="E77" s="4"/>
      <c r="F77" s="12">
        <f>IF(D$12=0,0,D77/D$12)</f>
        <v>0</v>
      </c>
      <c r="G77" s="4"/>
      <c r="H77" s="4">
        <v>42</v>
      </c>
      <c r="I77" s="4"/>
      <c r="J77" s="12">
        <f>IF(H$12=0,0,H77/H$12)</f>
        <v>0</v>
      </c>
      <c r="K77" s="4"/>
      <c r="L77" s="4">
        <f>+D77-H77</f>
        <v>-3.0000000000001137E-2</v>
      </c>
      <c r="M77" s="4"/>
      <c r="N77" s="12">
        <f>IF(H77=0,0,L77/H77)</f>
        <v>-7.1428571428574139E-4</v>
      </c>
      <c r="O77" s="10"/>
      <c r="P77" s="4">
        <v>2144.15</v>
      </c>
      <c r="Q77" s="4"/>
      <c r="R77" s="12">
        <f>IF(P$12=0,0,P77/P$12)</f>
        <v>0.10800745723198873</v>
      </c>
      <c r="S77" s="4"/>
      <c r="T77" s="4">
        <v>2577</v>
      </c>
      <c r="U77" s="4"/>
      <c r="V77" s="12">
        <f>IF(T$12=0,0,T77/T$12)</f>
        <v>0.12884999999999999</v>
      </c>
      <c r="W77" s="4"/>
      <c r="X77" s="4">
        <f>+P77-T77</f>
        <v>-432.84999999999991</v>
      </c>
      <c r="Y77" s="4"/>
      <c r="Z77" s="12">
        <f>IF(T77=0,0,X77/T77)</f>
        <v>-0.16796662786185484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1">
        <f>+D75-D77</f>
        <v>-5822.03</v>
      </c>
      <c r="E79" s="14"/>
      <c r="F79" s="32">
        <f>IF(D$12=0,0,D79/D$12)</f>
        <v>0</v>
      </c>
      <c r="G79" s="14"/>
      <c r="H79" s="31">
        <f>+H75-H77</f>
        <v>-2198.6800000000003</v>
      </c>
      <c r="I79" s="14"/>
      <c r="J79" s="32">
        <f>IF(H$12=0,0,H79/H$12)</f>
        <v>0</v>
      </c>
      <c r="K79" s="16"/>
      <c r="L79" s="31">
        <f>D79-H79</f>
        <v>-3623.3499999999995</v>
      </c>
      <c r="M79" s="16"/>
      <c r="N79" s="32">
        <f>IF(H79=0,0,L79/H79)</f>
        <v>1.6479660523586874</v>
      </c>
      <c r="O79" s="28"/>
      <c r="P79" s="31">
        <f>+P75-P77</f>
        <v>-7083.2800000000007</v>
      </c>
      <c r="Q79" s="14"/>
      <c r="R79" s="32">
        <f>IF(P$12=0,0,P79/P$12)</f>
        <v>-0.35680668874015398</v>
      </c>
      <c r="S79" s="14"/>
      <c r="T79" s="31">
        <f>+T75-T77</f>
        <v>-10981.393599999999</v>
      </c>
      <c r="U79" s="14"/>
      <c r="V79" s="32">
        <f>IF(T$12=0,0,T79/T$12)</f>
        <v>-0.54906968</v>
      </c>
      <c r="W79" s="16"/>
      <c r="X79" s="31">
        <f>P79-T79</f>
        <v>3898.1135999999988</v>
      </c>
      <c r="Y79" s="16"/>
      <c r="Z79" s="32">
        <f>IF(T79=0,0,X79/T79)</f>
        <v>-0.35497439960625754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5">
        <f>SUM(D79:D81)</f>
        <v>-5822.03</v>
      </c>
      <c r="E82" s="14"/>
      <c r="F82" s="34">
        <f>IF(D$12=0,0,D82/D$12)</f>
        <v>0</v>
      </c>
      <c r="G82" s="14"/>
      <c r="H82" s="35">
        <f>SUM(H79:H81)</f>
        <v>-2198.6800000000003</v>
      </c>
      <c r="I82" s="14"/>
      <c r="J82" s="34">
        <f>IF(H$12=0,0,H82/H$12)</f>
        <v>0</v>
      </c>
      <c r="K82" s="16"/>
      <c r="L82" s="35">
        <f>+D82-H82</f>
        <v>-3623.3499999999995</v>
      </c>
      <c r="M82" s="16"/>
      <c r="N82" s="34">
        <f>IF(H82=0,0,L82/H82)</f>
        <v>1.6479660523586874</v>
      </c>
      <c r="O82" s="28"/>
      <c r="P82" s="35">
        <f>SUM(P79:P81)</f>
        <v>-7083.2800000000007</v>
      </c>
      <c r="Q82" s="14"/>
      <c r="R82" s="34">
        <f>IF(P$12=0,0,P82/P$12)</f>
        <v>-0.35680668874015398</v>
      </c>
      <c r="S82" s="14"/>
      <c r="T82" s="35">
        <f>SUM(T79:T81)</f>
        <v>-10981.393599999999</v>
      </c>
      <c r="U82" s="14"/>
      <c r="V82" s="34">
        <f>IF(T$12=0,0,T82/T$12)</f>
        <v>-0.54906968</v>
      </c>
      <c r="W82" s="16"/>
      <c r="X82" s="35">
        <f>+P82-T82</f>
        <v>3898.1135999999988</v>
      </c>
      <c r="Y82" s="16"/>
      <c r="Z82" s="34">
        <f>IF(T82=0,0,X82/T82)</f>
        <v>-0.35497439960625754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3">
        <v>43847.446343946758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5" t="s">
        <v>314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36222.629999999997</v>
      </c>
      <c r="E12" s="4"/>
      <c r="F12" s="12"/>
      <c r="G12" s="4"/>
      <c r="H12" s="4">
        <f>SUM(OSRRefH13x_0)</f>
        <v>75000</v>
      </c>
      <c r="I12" s="4"/>
      <c r="J12" s="12"/>
      <c r="K12" s="4"/>
      <c r="L12" s="4">
        <f t="shared" ref="L12:L16" si="0">+D12-H12</f>
        <v>-38777.370000000003</v>
      </c>
      <c r="M12" s="4"/>
      <c r="N12" s="12">
        <f t="shared" ref="N12:N16" si="1">IF(H12=0,0,L12/H12)</f>
        <v>-0.51703160000000004</v>
      </c>
      <c r="O12" s="10"/>
      <c r="P12" s="4">
        <f>SUM(OSRRefP13x_0)</f>
        <v>202410.17</v>
      </c>
      <c r="Q12" s="4"/>
      <c r="R12" s="12"/>
      <c r="S12" s="4"/>
      <c r="T12" s="4">
        <f>SUM(OSRRefT13x_0)</f>
        <v>230000</v>
      </c>
      <c r="U12" s="4"/>
      <c r="V12" s="12"/>
      <c r="W12" s="4"/>
      <c r="X12" s="4">
        <f t="shared" ref="X12:X16" si="2">+P12-T12</f>
        <v>-27589.829999999987</v>
      </c>
      <c r="Y12" s="4"/>
      <c r="Z12" s="12">
        <f t="shared" ref="Z12:Z16" si="3">IF(T12=0,0,X12/T12)</f>
        <v>-0.11995578260869559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18750</v>
      </c>
      <c r="I13" s="2"/>
      <c r="J13" s="19"/>
      <c r="K13" s="2"/>
      <c r="L13" s="2">
        <f t="shared" si="0"/>
        <v>-18750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57500</v>
      </c>
      <c r="U13" s="2"/>
      <c r="V13" s="19"/>
      <c r="W13" s="2"/>
      <c r="X13" s="2">
        <f t="shared" si="2"/>
        <v>-57500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--20306.05</f>
        <v>20306.05</v>
      </c>
      <c r="E14" s="2"/>
      <c r="F14" s="19"/>
      <c r="G14" s="2"/>
      <c r="H14" s="2"/>
      <c r="I14" s="2"/>
      <c r="J14" s="19"/>
      <c r="K14" s="2"/>
      <c r="L14" s="2">
        <f t="shared" si="0"/>
        <v>20306.05</v>
      </c>
      <c r="M14" s="2"/>
      <c r="N14" s="19">
        <f t="shared" si="1"/>
        <v>0</v>
      </c>
      <c r="O14" s="11"/>
      <c r="P14" s="2">
        <f>--135830.17</f>
        <v>135830.17000000001</v>
      </c>
      <c r="Q14" s="2"/>
      <c r="R14" s="19"/>
      <c r="S14" s="2"/>
      <c r="T14" s="2"/>
      <c r="U14" s="2"/>
      <c r="V14" s="19"/>
      <c r="W14" s="2"/>
      <c r="X14" s="2">
        <f t="shared" si="2"/>
        <v>135830.17000000001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--15916.58</f>
        <v>15916.58</v>
      </c>
      <c r="E15" s="2"/>
      <c r="F15" s="19"/>
      <c r="G15" s="2"/>
      <c r="H15" s="2"/>
      <c r="I15" s="2"/>
      <c r="J15" s="19"/>
      <c r="K15" s="2"/>
      <c r="L15" s="2">
        <f t="shared" si="0"/>
        <v>15916.58</v>
      </c>
      <c r="M15" s="2"/>
      <c r="N15" s="19">
        <f t="shared" si="1"/>
        <v>0</v>
      </c>
      <c r="O15" s="11"/>
      <c r="P15" s="2">
        <f>--66580</f>
        <v>66580</v>
      </c>
      <c r="Q15" s="2"/>
      <c r="R15" s="19"/>
      <c r="S15" s="2"/>
      <c r="T15" s="2"/>
      <c r="U15" s="2"/>
      <c r="V15" s="19"/>
      <c r="W15" s="2"/>
      <c r="X15" s="2">
        <f t="shared" si="2"/>
        <v>66580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56250</v>
      </c>
      <c r="I16" s="2"/>
      <c r="J16" s="19"/>
      <c r="K16" s="2"/>
      <c r="L16" s="2">
        <f t="shared" si="0"/>
        <v>-56250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172500</v>
      </c>
      <c r="U16" s="2"/>
      <c r="V16" s="19"/>
      <c r="W16" s="2"/>
      <c r="X16" s="2">
        <f t="shared" si="2"/>
        <v>-172500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9242.85</v>
      </c>
      <c r="E18" s="4"/>
      <c r="F18" s="12">
        <f t="shared" ref="F18:F21" si="4">IF(D$12=0,0,D18/D$12)</f>
        <v>0.25516783292654344</v>
      </c>
      <c r="G18" s="4"/>
      <c r="H18" s="4">
        <f>SUM(OSRRefH16x_0)</f>
        <v>17250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-8007.15</v>
      </c>
      <c r="M18" s="4"/>
      <c r="N18" s="12">
        <f t="shared" ref="N18:N21" si="7">IF(H18=0,0,L18/H18)</f>
        <v>-0.46418260869565214</v>
      </c>
      <c r="O18" s="10"/>
      <c r="P18" s="4">
        <f>SUM(OSRRefP16x_0)</f>
        <v>48236.17</v>
      </c>
      <c r="Q18" s="4"/>
      <c r="R18" s="12">
        <f t="shared" ref="R18:R21" si="8">IF(P$12=0,0,P18/P$12)</f>
        <v>0.23830902370172405</v>
      </c>
      <c r="S18" s="4"/>
      <c r="T18" s="4">
        <f>SUM(OSRRefT16x_0)</f>
        <v>52900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-4663.8300000000017</v>
      </c>
      <c r="Y18" s="4"/>
      <c r="Z18" s="12">
        <f t="shared" ref="Z18:Z21" si="11">IF(T18=0,0,X18/T18)</f>
        <v>-8.8163137996219318E-2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17250</v>
      </c>
      <c r="I19" s="2"/>
      <c r="J19" s="19">
        <f t="shared" si="5"/>
        <v>0.23</v>
      </c>
      <c r="K19" s="2"/>
      <c r="L19" s="2">
        <f t="shared" si="6"/>
        <v>-17250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52900</v>
      </c>
      <c r="U19" s="2"/>
      <c r="V19" s="19">
        <f t="shared" si="9"/>
        <v>0.23</v>
      </c>
      <c r="W19" s="2"/>
      <c r="X19" s="2">
        <f t="shared" si="10"/>
        <v>-52900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12905.85</v>
      </c>
      <c r="E20" s="2"/>
      <c r="F20" s="19">
        <f t="shared" si="4"/>
        <v>0.35629246137014353</v>
      </c>
      <c r="G20" s="2"/>
      <c r="H20" s="2"/>
      <c r="I20" s="2"/>
      <c r="J20" s="19">
        <f t="shared" si="5"/>
        <v>0</v>
      </c>
      <c r="K20" s="2"/>
      <c r="L20" s="2">
        <f t="shared" si="6"/>
        <v>12905.85</v>
      </c>
      <c r="M20" s="2"/>
      <c r="N20" s="19">
        <f t="shared" si="7"/>
        <v>0</v>
      </c>
      <c r="O20" s="11"/>
      <c r="P20" s="2">
        <v>64448.17</v>
      </c>
      <c r="Q20" s="2"/>
      <c r="R20" s="19">
        <f t="shared" si="8"/>
        <v>0.31840381340522561</v>
      </c>
      <c r="S20" s="2"/>
      <c r="T20" s="2"/>
      <c r="U20" s="2"/>
      <c r="V20" s="19">
        <f t="shared" si="9"/>
        <v>0</v>
      </c>
      <c r="W20" s="2"/>
      <c r="X20" s="2">
        <f t="shared" si="10"/>
        <v>64448.17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-3663</v>
      </c>
      <c r="E21" s="2"/>
      <c r="F21" s="19">
        <f t="shared" si="4"/>
        <v>-0.10112462844360004</v>
      </c>
      <c r="G21" s="2"/>
      <c r="H21" s="2"/>
      <c r="I21" s="2"/>
      <c r="J21" s="19">
        <f t="shared" si="5"/>
        <v>0</v>
      </c>
      <c r="K21" s="2"/>
      <c r="L21" s="2">
        <f t="shared" si="6"/>
        <v>-3663</v>
      </c>
      <c r="M21" s="2"/>
      <c r="N21" s="19">
        <f t="shared" si="7"/>
        <v>0</v>
      </c>
      <c r="O21" s="11"/>
      <c r="P21" s="2">
        <v>-16212</v>
      </c>
      <c r="Q21" s="2"/>
      <c r="R21" s="19">
        <f t="shared" si="8"/>
        <v>-8.0094789703501548E-2</v>
      </c>
      <c r="S21" s="2"/>
      <c r="T21" s="2"/>
      <c r="U21" s="2"/>
      <c r="V21" s="19">
        <f t="shared" si="9"/>
        <v>0</v>
      </c>
      <c r="W21" s="2"/>
      <c r="X21" s="2">
        <f t="shared" si="10"/>
        <v>-16212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26979.78</v>
      </c>
      <c r="E23" s="14"/>
      <c r="F23" s="20">
        <f>IF(D$12=0,0,D23/D$12)</f>
        <v>0.74483216707345656</v>
      </c>
      <c r="G23" s="14"/>
      <c r="H23" s="22">
        <f>H12-H18</f>
        <v>57750</v>
      </c>
      <c r="I23" s="14"/>
      <c r="J23" s="20">
        <f>IF(H$12=0,0,H23/H$12)</f>
        <v>0.77</v>
      </c>
      <c r="K23" s="16"/>
      <c r="L23" s="22">
        <f>+D23-H23</f>
        <v>-30770.22</v>
      </c>
      <c r="M23" s="16"/>
      <c r="N23" s="20">
        <f>IF(H23=0,0,L23/H23)</f>
        <v>-0.53281766233766237</v>
      </c>
      <c r="O23" s="28"/>
      <c r="P23" s="22">
        <f>P12-P18</f>
        <v>154174</v>
      </c>
      <c r="Q23" s="14"/>
      <c r="R23" s="20">
        <f>IF(P$12=0,0,P23/P$12)</f>
        <v>0.76169097629827587</v>
      </c>
      <c r="S23" s="14"/>
      <c r="T23" s="22">
        <f>T12-T18</f>
        <v>177100</v>
      </c>
      <c r="U23" s="14"/>
      <c r="V23" s="20">
        <f>IF(T$12=0,0,T23/T$12)</f>
        <v>0.77</v>
      </c>
      <c r="W23" s="16"/>
      <c r="X23" s="22">
        <f>+P23-T23</f>
        <v>-22926</v>
      </c>
      <c r="Y23" s="16"/>
      <c r="Z23" s="20">
        <f>IF(T23=0,0,X23/T23)</f>
        <v>-0.1294522868435912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26093.100000000002</v>
      </c>
      <c r="E25" s="21"/>
      <c r="F25" s="30">
        <f t="shared" ref="F25:F35" si="12">IF(D$12=0,0,D25/D$12)</f>
        <v>0.72035354694013121</v>
      </c>
      <c r="G25" s="21"/>
      <c r="H25" s="21">
        <f>SUM(OSRRefH22x_0)</f>
        <v>24177.531349999997</v>
      </c>
      <c r="I25" s="21"/>
      <c r="J25" s="30">
        <f t="shared" ref="J25:J35" si="13">IF(H$12=0,0,H25/H$12)</f>
        <v>0.32236708466666664</v>
      </c>
      <c r="K25" s="4"/>
      <c r="L25" s="21">
        <f t="shared" ref="L25:L35" si="14">+D25-H25</f>
        <v>1915.5686500000047</v>
      </c>
      <c r="M25" s="4"/>
      <c r="N25" s="30">
        <f t="shared" ref="N25:N35" si="15">IF(H25=0,0,L25/H25)</f>
        <v>7.9229290297249677E-2</v>
      </c>
      <c r="O25" s="10"/>
      <c r="P25" s="21">
        <f>SUM(OSRRefP22x_0)</f>
        <v>172452.36000000002</v>
      </c>
      <c r="Q25" s="21"/>
      <c r="R25" s="30">
        <f t="shared" ref="R25:R35" si="16">IF(P$12=0,0,P25/P$12)</f>
        <v>0.85199454157861731</v>
      </c>
      <c r="S25" s="21"/>
      <c r="T25" s="21">
        <f>SUM(OSRRefT22x_0)</f>
        <v>124265.36317499999</v>
      </c>
      <c r="U25" s="21"/>
      <c r="V25" s="30">
        <f t="shared" ref="V25:V35" si="17">IF(T$12=0,0,T25/T$12)</f>
        <v>0.54028418771739128</v>
      </c>
      <c r="W25" s="4"/>
      <c r="X25" s="21">
        <f t="shared" ref="X25:X35" si="18">+P25-T25</f>
        <v>48186.996825000024</v>
      </c>
      <c r="Y25" s="4"/>
      <c r="Z25" s="30">
        <f t="shared" ref="Z25:Z35" si="19">IF(T25=0,0,X25/T25)</f>
        <v>0.38777496475135559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2803.34</v>
      </c>
      <c r="E26" s="1"/>
      <c r="F26" s="5">
        <f t="shared" si="12"/>
        <v>7.7391950832946158E-2</v>
      </c>
      <c r="G26" s="1"/>
      <c r="H26" s="1">
        <f>SUM(OSRRefH22_0x_0)</f>
        <v>2942.6851961538468</v>
      </c>
      <c r="I26" s="1"/>
      <c r="J26" s="5">
        <f t="shared" si="13"/>
        <v>3.9235802615384625E-2</v>
      </c>
      <c r="K26" s="1"/>
      <c r="L26" s="1">
        <f t="shared" si="14"/>
        <v>-139.3451961538467</v>
      </c>
      <c r="M26" s="1"/>
      <c r="N26" s="5">
        <f t="shared" si="15"/>
        <v>-4.7353076141468983E-2</v>
      </c>
      <c r="O26" s="13"/>
      <c r="P26" s="1">
        <f>SUM(OSRRefP22_0x_0)</f>
        <v>16586.54</v>
      </c>
      <c r="Q26" s="1"/>
      <c r="R26" s="5">
        <f t="shared" si="16"/>
        <v>8.194519079747821E-2</v>
      </c>
      <c r="S26" s="1"/>
      <c r="T26" s="1">
        <f>SUM(OSRRefT22_0x_0)</f>
        <v>17723.363175000006</v>
      </c>
      <c r="U26" s="1"/>
      <c r="V26" s="5">
        <f t="shared" si="17"/>
        <v>7.7058100760869594E-2</v>
      </c>
      <c r="W26" s="1"/>
      <c r="X26" s="1">
        <f t="shared" si="18"/>
        <v>-1136.823175000005</v>
      </c>
      <c r="Y26" s="1"/>
      <c r="Z26" s="5">
        <f t="shared" si="19"/>
        <v>-6.4142632737085162E-2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521.66999999999996</v>
      </c>
      <c r="E27" s="2"/>
      <c r="F27" s="7">
        <f t="shared" si="12"/>
        <v>1.4401770384977568E-2</v>
      </c>
      <c r="G27" s="2"/>
      <c r="H27" s="6">
        <v>559.46373461538496</v>
      </c>
      <c r="I27" s="2"/>
      <c r="J27" s="7">
        <f t="shared" si="13"/>
        <v>7.4595164615384665E-3</v>
      </c>
      <c r="K27" s="2"/>
      <c r="L27" s="6">
        <f t="shared" si="14"/>
        <v>-37.793734615385006</v>
      </c>
      <c r="M27" s="2"/>
      <c r="N27" s="7">
        <f t="shared" si="15"/>
        <v>-6.7553502178951952E-2</v>
      </c>
      <c r="O27" s="11"/>
      <c r="P27" s="6">
        <v>4155.18</v>
      </c>
      <c r="Q27" s="2"/>
      <c r="R27" s="7">
        <f t="shared" si="16"/>
        <v>2.0528513957574365E-2</v>
      </c>
      <c r="S27" s="2"/>
      <c r="T27" s="6">
        <v>3386.2611750000019</v>
      </c>
      <c r="U27" s="2"/>
      <c r="V27" s="7">
        <f t="shared" si="17"/>
        <v>1.4722874673913052E-2</v>
      </c>
      <c r="W27" s="2"/>
      <c r="X27" s="6">
        <f t="shared" si="18"/>
        <v>768.91882499999838</v>
      </c>
      <c r="Y27" s="2"/>
      <c r="Z27" s="7">
        <f t="shared" si="19"/>
        <v>0.22707014765333272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654.73</v>
      </c>
      <c r="E28" s="2"/>
      <c r="F28" s="7">
        <f t="shared" si="12"/>
        <v>1.8075164613944379E-2</v>
      </c>
      <c r="G28" s="2"/>
      <c r="H28" s="6">
        <v>347.66292307692299</v>
      </c>
      <c r="I28" s="2"/>
      <c r="J28" s="7">
        <f t="shared" si="13"/>
        <v>4.6355056410256395E-3</v>
      </c>
      <c r="K28" s="2"/>
      <c r="L28" s="6">
        <f t="shared" si="14"/>
        <v>307.06707692307702</v>
      </c>
      <c r="M28" s="2"/>
      <c r="N28" s="7">
        <f t="shared" si="15"/>
        <v>0.88323216696632378</v>
      </c>
      <c r="O28" s="11"/>
      <c r="P28" s="6">
        <v>2446.29</v>
      </c>
      <c r="Q28" s="2"/>
      <c r="R28" s="7">
        <f t="shared" si="16"/>
        <v>1.2085805767565927E-2</v>
      </c>
      <c r="S28" s="2"/>
      <c r="T28" s="6">
        <v>1964.7349999999999</v>
      </c>
      <c r="U28" s="2"/>
      <c r="V28" s="7">
        <f t="shared" si="17"/>
        <v>8.5423260869565212E-3</v>
      </c>
      <c r="W28" s="2"/>
      <c r="X28" s="6">
        <f t="shared" si="18"/>
        <v>481.55500000000006</v>
      </c>
      <c r="Y28" s="2"/>
      <c r="Z28" s="7">
        <f t="shared" si="19"/>
        <v>0.24509921185299804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2"/>
        <v>1.9275243128397911E-2</v>
      </c>
      <c r="G29" s="2"/>
      <c r="H29" s="6">
        <v>663</v>
      </c>
      <c r="I29" s="2"/>
      <c r="J29" s="7">
        <f t="shared" si="13"/>
        <v>8.8400000000000006E-3</v>
      </c>
      <c r="K29" s="2"/>
      <c r="L29" s="6">
        <f t="shared" si="14"/>
        <v>35.200000000000045</v>
      </c>
      <c r="M29" s="2"/>
      <c r="N29" s="7">
        <f t="shared" si="15"/>
        <v>5.3092006033182572E-2</v>
      </c>
      <c r="O29" s="11"/>
      <c r="P29" s="6">
        <v>4189.2</v>
      </c>
      <c r="Q29" s="2"/>
      <c r="R29" s="7">
        <f t="shared" si="16"/>
        <v>2.0696588516278602E-2</v>
      </c>
      <c r="S29" s="2"/>
      <c r="T29" s="6">
        <v>3978</v>
      </c>
      <c r="U29" s="2"/>
      <c r="V29" s="7">
        <f t="shared" si="17"/>
        <v>1.7295652173913042E-2</v>
      </c>
      <c r="W29" s="2"/>
      <c r="X29" s="6">
        <f t="shared" si="18"/>
        <v>211.19999999999982</v>
      </c>
      <c r="Y29" s="2"/>
      <c r="Z29" s="7">
        <f t="shared" si="19"/>
        <v>5.3092006033182461E-2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43.87</v>
      </c>
      <c r="E30" s="2"/>
      <c r="F30" s="7">
        <f t="shared" si="12"/>
        <v>1.2111213349223953E-3</v>
      </c>
      <c r="G30" s="2"/>
      <c r="H30" s="6">
        <v>28.367000000000001</v>
      </c>
      <c r="I30" s="2"/>
      <c r="J30" s="7">
        <f t="shared" si="13"/>
        <v>3.782266666666667E-4</v>
      </c>
      <c r="K30" s="2"/>
      <c r="L30" s="6">
        <f t="shared" si="14"/>
        <v>15.502999999999997</v>
      </c>
      <c r="M30" s="2"/>
      <c r="N30" s="7">
        <f t="shared" si="15"/>
        <v>0.54651531709380607</v>
      </c>
      <c r="O30" s="11"/>
      <c r="P30" s="6">
        <v>237.38</v>
      </c>
      <c r="Q30" s="2"/>
      <c r="R30" s="7">
        <f t="shared" si="16"/>
        <v>1.1727671588833703E-3</v>
      </c>
      <c r="S30" s="2"/>
      <c r="T30" s="6">
        <v>154.297</v>
      </c>
      <c r="U30" s="2"/>
      <c r="V30" s="7">
        <f t="shared" si="17"/>
        <v>6.7085652173913047E-4</v>
      </c>
      <c r="W30" s="2"/>
      <c r="X30" s="6">
        <f t="shared" si="18"/>
        <v>83.082999999999998</v>
      </c>
      <c r="Y30" s="2"/>
      <c r="Z30" s="7">
        <f t="shared" si="19"/>
        <v>0.53846153846153844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2"/>
        <v>8.8615873557497081E-3</v>
      </c>
      <c r="G31" s="2"/>
      <c r="H31" s="6">
        <v>395.20307692307699</v>
      </c>
      <c r="I31" s="2"/>
      <c r="J31" s="7">
        <f t="shared" si="13"/>
        <v>5.2693743589743601E-3</v>
      </c>
      <c r="K31" s="2"/>
      <c r="L31" s="6">
        <f t="shared" si="14"/>
        <v>-74.213076923076983</v>
      </c>
      <c r="M31" s="2"/>
      <c r="N31" s="7">
        <f t="shared" si="15"/>
        <v>-0.18778466377558581</v>
      </c>
      <c r="O31" s="11"/>
      <c r="P31" s="6">
        <v>1925.94</v>
      </c>
      <c r="Q31" s="2"/>
      <c r="R31" s="7">
        <f t="shared" si="16"/>
        <v>9.5150357316532066E-3</v>
      </c>
      <c r="S31" s="2"/>
      <c r="T31" s="6">
        <v>2568.8200000000002</v>
      </c>
      <c r="U31" s="2"/>
      <c r="V31" s="7">
        <f t="shared" si="17"/>
        <v>1.1168782608695653E-2</v>
      </c>
      <c r="W31" s="2"/>
      <c r="X31" s="6">
        <f t="shared" si="18"/>
        <v>-642.88000000000011</v>
      </c>
      <c r="Y31" s="2"/>
      <c r="Z31" s="7">
        <f t="shared" si="19"/>
        <v>-0.25026276656207913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176.92</v>
      </c>
      <c r="E33" s="2"/>
      <c r="F33" s="7">
        <f t="shared" si="12"/>
        <v>4.8842394933774824E-3</v>
      </c>
      <c r="G33" s="2"/>
      <c r="H33" s="6">
        <v>229.769230769231</v>
      </c>
      <c r="I33" s="2"/>
      <c r="J33" s="7">
        <f t="shared" si="13"/>
        <v>3.0635897435897469E-3</v>
      </c>
      <c r="K33" s="2"/>
      <c r="L33" s="6">
        <f t="shared" si="14"/>
        <v>-52.849230769231013</v>
      </c>
      <c r="M33" s="2"/>
      <c r="N33" s="7">
        <f t="shared" si="15"/>
        <v>-0.23001004352192919</v>
      </c>
      <c r="O33" s="11"/>
      <c r="P33" s="6">
        <v>1176.28</v>
      </c>
      <c r="Q33" s="2"/>
      <c r="R33" s="7">
        <f t="shared" si="16"/>
        <v>5.8113680750329884E-3</v>
      </c>
      <c r="S33" s="2"/>
      <c r="T33" s="6">
        <v>1493.500000000002</v>
      </c>
      <c r="U33" s="2"/>
      <c r="V33" s="7">
        <f t="shared" si="17"/>
        <v>6.4934782608695738E-3</v>
      </c>
      <c r="W33" s="2"/>
      <c r="X33" s="6">
        <f t="shared" si="18"/>
        <v>-317.22000000000207</v>
      </c>
      <c r="Y33" s="2"/>
      <c r="Z33" s="7">
        <f t="shared" si="19"/>
        <v>-0.21240040174087824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211.96</v>
      </c>
      <c r="E34" s="2"/>
      <c r="F34" s="7">
        <f t="shared" si="12"/>
        <v>5.8515905664497589E-3</v>
      </c>
      <c r="G34" s="2"/>
      <c r="H34" s="6">
        <v>419.21923076923099</v>
      </c>
      <c r="I34" s="2"/>
      <c r="J34" s="7">
        <f t="shared" si="13"/>
        <v>5.5895897435897469E-3</v>
      </c>
      <c r="K34" s="2"/>
      <c r="L34" s="6">
        <f t="shared" si="14"/>
        <v>-207.25923076923098</v>
      </c>
      <c r="M34" s="2"/>
      <c r="N34" s="7">
        <f t="shared" si="15"/>
        <v>-0.4943934236722114</v>
      </c>
      <c r="O34" s="11"/>
      <c r="P34" s="6">
        <v>1471.58</v>
      </c>
      <c r="Q34" s="2"/>
      <c r="R34" s="7">
        <f t="shared" si="16"/>
        <v>7.270286863550383E-3</v>
      </c>
      <c r="S34" s="2"/>
      <c r="T34" s="6">
        <v>2377.7500000000009</v>
      </c>
      <c r="U34" s="2"/>
      <c r="V34" s="7">
        <f t="shared" si="17"/>
        <v>1.0338043478260873E-2</v>
      </c>
      <c r="W34" s="2"/>
      <c r="X34" s="6">
        <f t="shared" si="18"/>
        <v>-906.17000000000098</v>
      </c>
      <c r="Y34" s="2"/>
      <c r="Z34" s="7">
        <f t="shared" si="19"/>
        <v>-0.38110398485963648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175</v>
      </c>
      <c r="E35" s="2"/>
      <c r="F35" s="7">
        <f t="shared" si="12"/>
        <v>4.831233955126947E-3</v>
      </c>
      <c r="G35" s="2"/>
      <c r="H35" s="6">
        <v>300</v>
      </c>
      <c r="I35" s="2"/>
      <c r="J35" s="7">
        <f t="shared" si="13"/>
        <v>4.0000000000000001E-3</v>
      </c>
      <c r="K35" s="2"/>
      <c r="L35" s="6">
        <f t="shared" si="14"/>
        <v>-125</v>
      </c>
      <c r="M35" s="2"/>
      <c r="N35" s="7">
        <f t="shared" si="15"/>
        <v>-0.41666666666666669</v>
      </c>
      <c r="O35" s="11"/>
      <c r="P35" s="6">
        <v>984.69</v>
      </c>
      <c r="Q35" s="2"/>
      <c r="R35" s="7">
        <f t="shared" si="16"/>
        <v>4.8648247269393631E-3</v>
      </c>
      <c r="S35" s="2"/>
      <c r="T35" s="6">
        <v>1800</v>
      </c>
      <c r="U35" s="2"/>
      <c r="V35" s="7">
        <f t="shared" si="17"/>
        <v>7.8260869565217397E-3</v>
      </c>
      <c r="W35" s="2"/>
      <c r="X35" s="6">
        <f t="shared" si="18"/>
        <v>-815.31</v>
      </c>
      <c r="Y35" s="2"/>
      <c r="Z35" s="7">
        <f t="shared" si="19"/>
        <v>-0.45294999999999996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10391.1</v>
      </c>
      <c r="E36" s="1"/>
      <c r="F36" s="5">
        <f t="shared" ref="F36:F46" si="20">IF(D$12=0,0,D36/D$12)</f>
        <v>0.2868676294349693</v>
      </c>
      <c r="G36" s="1"/>
      <c r="H36" s="1">
        <f>SUM(OSRRefH22_1x_0)</f>
        <v>10450.846153846149</v>
      </c>
      <c r="I36" s="1"/>
      <c r="J36" s="5">
        <f t="shared" ref="J36:J46" si="21">IF(H$12=0,0,H36/H$12)</f>
        <v>0.13934461538461532</v>
      </c>
      <c r="K36" s="1"/>
      <c r="L36" s="1">
        <f t="shared" ref="L36:L46" si="22">+D36-H36</f>
        <v>-59.746153846148445</v>
      </c>
      <c r="M36" s="1"/>
      <c r="N36" s="5">
        <f t="shared" ref="N36:N46" si="23">IF(H36=0,0,L36/H36)</f>
        <v>-5.7168723916350547E-3</v>
      </c>
      <c r="O36" s="13"/>
      <c r="P36" s="1">
        <f>SUM(OSRRefP22_1x_0)</f>
        <v>68647.41</v>
      </c>
      <c r="Q36" s="1"/>
      <c r="R36" s="5">
        <f t="shared" ref="R36:R46" si="24">IF(P$12=0,0,P36/P$12)</f>
        <v>0.33915000417222119</v>
      </c>
      <c r="S36" s="1"/>
      <c r="T36" s="1">
        <f>SUM(OSRRefT22_1x_0)</f>
        <v>56357.999999999985</v>
      </c>
      <c r="U36" s="1"/>
      <c r="V36" s="5">
        <f t="shared" ref="V36:V46" si="25">IF(T$12=0,0,T36/T$12)</f>
        <v>0.2450347826086956</v>
      </c>
      <c r="W36" s="1"/>
      <c r="X36" s="1">
        <f t="shared" ref="X36:X46" si="26">+P36-T36</f>
        <v>12289.410000000018</v>
      </c>
      <c r="Y36" s="1"/>
      <c r="Z36" s="5">
        <f t="shared" ref="Z36:Z46" si="27">IF(T36=0,0,X36/T36)</f>
        <v>0.21805972532737183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4595.38</v>
      </c>
      <c r="E38" s="2"/>
      <c r="F38" s="7">
        <f t="shared" si="20"/>
        <v>0.12686489081549299</v>
      </c>
      <c r="G38" s="2"/>
      <c r="H38" s="6">
        <v>4135.8461538461497</v>
      </c>
      <c r="I38" s="2"/>
      <c r="J38" s="7">
        <f t="shared" si="21"/>
        <v>5.5144615384615327E-2</v>
      </c>
      <c r="K38" s="2"/>
      <c r="L38" s="6">
        <f t="shared" si="22"/>
        <v>459.53384615385039</v>
      </c>
      <c r="M38" s="2"/>
      <c r="N38" s="7">
        <f t="shared" si="23"/>
        <v>0.11110999516423131</v>
      </c>
      <c r="O38" s="11"/>
      <c r="P38" s="6">
        <v>29180.66</v>
      </c>
      <c r="Q38" s="2"/>
      <c r="R38" s="7">
        <f t="shared" si="24"/>
        <v>0.14416597743087711</v>
      </c>
      <c r="S38" s="2"/>
      <c r="T38" s="6">
        <v>26882.999999999982</v>
      </c>
      <c r="U38" s="2"/>
      <c r="V38" s="7">
        <f t="shared" si="25"/>
        <v>0.11688260869565209</v>
      </c>
      <c r="W38" s="2"/>
      <c r="X38" s="6">
        <f t="shared" si="26"/>
        <v>2297.660000000018</v>
      </c>
      <c r="Y38" s="2"/>
      <c r="Z38" s="7">
        <f t="shared" si="27"/>
        <v>8.5468883681137503E-2</v>
      </c>
    </row>
    <row r="39" spans="1:26" s="24" customFormat="1" hidden="1" outlineLevel="2" x14ac:dyDescent="0.25">
      <c r="A39" s="26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1950</v>
      </c>
      <c r="I40" s="2"/>
      <c r="J40" s="7">
        <f t="shared" si="21"/>
        <v>2.5999999999999999E-2</v>
      </c>
      <c r="K40" s="2"/>
      <c r="L40" s="6">
        <f t="shared" si="22"/>
        <v>-1950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7050</v>
      </c>
      <c r="U40" s="2"/>
      <c r="V40" s="7">
        <f t="shared" si="25"/>
        <v>3.0652173913043479E-2</v>
      </c>
      <c r="W40" s="2"/>
      <c r="X40" s="6">
        <f t="shared" si="26"/>
        <v>-7050</v>
      </c>
      <c r="Y40" s="2"/>
      <c r="Z40" s="7">
        <f t="shared" si="27"/>
        <v>-1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2261.16</v>
      </c>
      <c r="E41" s="2"/>
      <c r="F41" s="7">
        <f t="shared" si="20"/>
        <v>6.2423959828427696E-2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2261.16</v>
      </c>
      <c r="M41" s="2"/>
      <c r="N41" s="7">
        <f t="shared" si="23"/>
        <v>0</v>
      </c>
      <c r="O41" s="11"/>
      <c r="P41" s="6">
        <v>15460.87</v>
      </c>
      <c r="Q41" s="2"/>
      <c r="R41" s="7">
        <f t="shared" si="24"/>
        <v>7.6383859565949674E-2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15460.87</v>
      </c>
      <c r="Y41" s="2"/>
      <c r="Z41" s="7">
        <f t="shared" si="27"/>
        <v>0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303.38</v>
      </c>
      <c r="Q42" s="2"/>
      <c r="R42" s="7">
        <f t="shared" si="24"/>
        <v>1.4988377313254564E-3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303.38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2904.56</v>
      </c>
      <c r="E43" s="2"/>
      <c r="F43" s="7">
        <f t="shared" si="20"/>
        <v>8.0186336552591581E-2</v>
      </c>
      <c r="G43" s="2"/>
      <c r="H43" s="6">
        <v>765</v>
      </c>
      <c r="I43" s="2"/>
      <c r="J43" s="7">
        <f t="shared" si="21"/>
        <v>1.0200000000000001E-2</v>
      </c>
      <c r="K43" s="2"/>
      <c r="L43" s="6">
        <f t="shared" si="22"/>
        <v>2139.56</v>
      </c>
      <c r="M43" s="2"/>
      <c r="N43" s="7">
        <f t="shared" si="23"/>
        <v>2.7968104575163397</v>
      </c>
      <c r="O43" s="11"/>
      <c r="P43" s="6">
        <v>20507.5</v>
      </c>
      <c r="Q43" s="2"/>
      <c r="R43" s="7">
        <f t="shared" si="24"/>
        <v>0.10131654945994066</v>
      </c>
      <c r="S43" s="2"/>
      <c r="T43" s="6">
        <v>7327.5</v>
      </c>
      <c r="U43" s="2"/>
      <c r="V43" s="7">
        <f t="shared" si="25"/>
        <v>3.1858695652173911E-2</v>
      </c>
      <c r="W43" s="2"/>
      <c r="X43" s="6">
        <f t="shared" si="26"/>
        <v>13180</v>
      </c>
      <c r="Y43" s="2"/>
      <c r="Z43" s="7">
        <f t="shared" si="27"/>
        <v>1.7987035141589902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630</v>
      </c>
      <c r="E44" s="2"/>
      <c r="F44" s="7">
        <f t="shared" si="20"/>
        <v>1.7392442238457009E-2</v>
      </c>
      <c r="G44" s="2"/>
      <c r="H44" s="6">
        <v>3600</v>
      </c>
      <c r="I44" s="2"/>
      <c r="J44" s="7">
        <f t="shared" si="21"/>
        <v>4.8000000000000001E-2</v>
      </c>
      <c r="K44" s="2"/>
      <c r="L44" s="6">
        <f t="shared" si="22"/>
        <v>-2970</v>
      </c>
      <c r="M44" s="2"/>
      <c r="N44" s="7">
        <f t="shared" si="23"/>
        <v>-0.82499999999999996</v>
      </c>
      <c r="O44" s="11"/>
      <c r="P44" s="6">
        <v>3195</v>
      </c>
      <c r="Q44" s="2"/>
      <c r="R44" s="7">
        <f t="shared" si="24"/>
        <v>1.5784779984128267E-2</v>
      </c>
      <c r="S44" s="2"/>
      <c r="T44" s="6">
        <v>15097.5</v>
      </c>
      <c r="U44" s="2"/>
      <c r="V44" s="7">
        <f t="shared" si="25"/>
        <v>6.5641304347826085E-2</v>
      </c>
      <c r="W44" s="2"/>
      <c r="X44" s="6">
        <f t="shared" si="26"/>
        <v>-11902.5</v>
      </c>
      <c r="Y44" s="2"/>
      <c r="Z44" s="7">
        <f t="shared" si="27"/>
        <v>-0.7883755588673621</v>
      </c>
    </row>
    <row r="45" spans="1:26" s="24" customFormat="1" hidden="1" outlineLevel="2" x14ac:dyDescent="0.25">
      <c r="A45" s="26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3.24</v>
      </c>
      <c r="E47" s="1"/>
      <c r="F47" s="5">
        <f t="shared" ref="F47:F55" si="28">IF(D$12=0,0,D47/D$12)</f>
        <v>8.9446845797778912E-5</v>
      </c>
      <c r="G47" s="1"/>
      <c r="H47" s="1">
        <f>SUM(OSRRefH22_2x_0)</f>
        <v>200</v>
      </c>
      <c r="I47" s="1"/>
      <c r="J47" s="5">
        <f t="shared" ref="J47:J55" si="29">IF(H$12=0,0,H47/H$12)</f>
        <v>2.6666666666666666E-3</v>
      </c>
      <c r="K47" s="1"/>
      <c r="L47" s="1">
        <f t="shared" ref="L47:L55" si="30">+D47-H47</f>
        <v>-196.76</v>
      </c>
      <c r="M47" s="1"/>
      <c r="N47" s="5">
        <f t="shared" ref="N47:N55" si="31">IF(H47=0,0,L47/H47)</f>
        <v>-0.98380000000000001</v>
      </c>
      <c r="O47" s="13"/>
      <c r="P47" s="1">
        <f>SUM(OSRRefP22_2x_0)</f>
        <v>1776.48</v>
      </c>
      <c r="Q47" s="1"/>
      <c r="R47" s="5">
        <f t="shared" ref="R47:R55" si="32">IF(P$12=0,0,P47/P$12)</f>
        <v>8.7766340989684465E-3</v>
      </c>
      <c r="S47" s="1"/>
      <c r="T47" s="1">
        <f>SUM(OSRRefT22_2x_0)</f>
        <v>1425</v>
      </c>
      <c r="U47" s="1"/>
      <c r="V47" s="5">
        <f t="shared" ref="V47:V55" si="33">IF(T$12=0,0,T47/T$12)</f>
        <v>6.1956521739130431E-3</v>
      </c>
      <c r="W47" s="1"/>
      <c r="X47" s="1">
        <f t="shared" ref="X47:X55" si="34">+P47-T47</f>
        <v>351.48</v>
      </c>
      <c r="Y47" s="1"/>
      <c r="Z47" s="5">
        <f t="shared" ref="Z47:Z55" si="35">IF(T47=0,0,X47/T47)</f>
        <v>0.24665263157894737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3.24</v>
      </c>
      <c r="E48" s="2"/>
      <c r="F48" s="7">
        <f t="shared" si="28"/>
        <v>8.9446845797778912E-5</v>
      </c>
      <c r="G48" s="2"/>
      <c r="H48" s="6">
        <v>200</v>
      </c>
      <c r="I48" s="2"/>
      <c r="J48" s="7">
        <f t="shared" si="29"/>
        <v>2.6666666666666666E-3</v>
      </c>
      <c r="K48" s="2"/>
      <c r="L48" s="6">
        <f t="shared" si="30"/>
        <v>-196.76</v>
      </c>
      <c r="M48" s="2"/>
      <c r="N48" s="7">
        <f t="shared" si="31"/>
        <v>-0.98380000000000001</v>
      </c>
      <c r="O48" s="11"/>
      <c r="P48" s="6">
        <v>1776.48</v>
      </c>
      <c r="Q48" s="2"/>
      <c r="R48" s="7">
        <f t="shared" si="32"/>
        <v>8.7766340989684465E-3</v>
      </c>
      <c r="S48" s="2"/>
      <c r="T48" s="6">
        <v>1425</v>
      </c>
      <c r="U48" s="2"/>
      <c r="V48" s="7">
        <f t="shared" si="33"/>
        <v>6.1956521739130431E-3</v>
      </c>
      <c r="W48" s="2"/>
      <c r="X48" s="6">
        <f t="shared" si="34"/>
        <v>351.48</v>
      </c>
      <c r="Y48" s="2"/>
      <c r="Z48" s="7">
        <f t="shared" si="35"/>
        <v>0.24665263157894737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-2.13</v>
      </c>
      <c r="E49" s="1"/>
      <c r="F49" s="5">
        <f t="shared" si="28"/>
        <v>-5.8803018996687984E-5</v>
      </c>
      <c r="G49" s="1"/>
      <c r="H49" s="1">
        <f>SUM(OSRRefH22_3x_0)</f>
        <v>50</v>
      </c>
      <c r="I49" s="1"/>
      <c r="J49" s="5">
        <f t="shared" si="29"/>
        <v>6.6666666666666664E-4</v>
      </c>
      <c r="K49" s="1"/>
      <c r="L49" s="1">
        <f t="shared" si="30"/>
        <v>-52.13</v>
      </c>
      <c r="M49" s="1"/>
      <c r="N49" s="5">
        <f t="shared" si="31"/>
        <v>-1.0426</v>
      </c>
      <c r="O49" s="13"/>
      <c r="P49" s="1">
        <f>SUM(OSRRefP22_3x_0)</f>
        <v>-7.0000000000000007E-2</v>
      </c>
      <c r="Q49" s="1"/>
      <c r="R49" s="5">
        <f t="shared" si="32"/>
        <v>-3.4583242531736427E-7</v>
      </c>
      <c r="S49" s="1"/>
      <c r="T49" s="1">
        <f>SUM(OSRRefT22_3x_0)</f>
        <v>300</v>
      </c>
      <c r="U49" s="1"/>
      <c r="V49" s="5">
        <f t="shared" si="33"/>
        <v>1.3043478260869566E-3</v>
      </c>
      <c r="W49" s="1"/>
      <c r="X49" s="1">
        <f t="shared" si="34"/>
        <v>-300.07</v>
      </c>
      <c r="Y49" s="1"/>
      <c r="Z49" s="5">
        <f t="shared" si="35"/>
        <v>-1.0002333333333333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-2.13</v>
      </c>
      <c r="E50" s="2"/>
      <c r="F50" s="7">
        <f t="shared" si="28"/>
        <v>-5.8803018996687984E-5</v>
      </c>
      <c r="G50" s="2"/>
      <c r="H50" s="6">
        <v>50</v>
      </c>
      <c r="I50" s="2"/>
      <c r="J50" s="7">
        <f t="shared" si="29"/>
        <v>6.6666666666666664E-4</v>
      </c>
      <c r="K50" s="2"/>
      <c r="L50" s="6">
        <f t="shared" si="30"/>
        <v>-52.13</v>
      </c>
      <c r="M50" s="2"/>
      <c r="N50" s="7">
        <f t="shared" si="31"/>
        <v>-1.0426</v>
      </c>
      <c r="O50" s="11"/>
      <c r="P50" s="6">
        <v>-7.0000000000000007E-2</v>
      </c>
      <c r="Q50" s="2"/>
      <c r="R50" s="7">
        <f t="shared" si="32"/>
        <v>-3.4583242531736427E-7</v>
      </c>
      <c r="S50" s="2"/>
      <c r="T50" s="6">
        <v>300</v>
      </c>
      <c r="U50" s="2"/>
      <c r="V50" s="7">
        <f t="shared" si="33"/>
        <v>1.3043478260869566E-3</v>
      </c>
      <c r="W50" s="2"/>
      <c r="X50" s="6">
        <f t="shared" si="34"/>
        <v>-300.07</v>
      </c>
      <c r="Y50" s="2"/>
      <c r="Z50" s="7">
        <f t="shared" si="35"/>
        <v>-1.0002333333333333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778.67</v>
      </c>
      <c r="E51" s="1"/>
      <c r="F51" s="5">
        <f t="shared" si="28"/>
        <v>2.1496782536221143E-2</v>
      </c>
      <c r="G51" s="1"/>
      <c r="H51" s="1">
        <f>SUM(OSRRefH22_4x_0)</f>
        <v>500</v>
      </c>
      <c r="I51" s="1"/>
      <c r="J51" s="5">
        <f t="shared" si="29"/>
        <v>6.6666666666666671E-3</v>
      </c>
      <c r="K51" s="1"/>
      <c r="L51" s="1">
        <f t="shared" si="30"/>
        <v>278.66999999999996</v>
      </c>
      <c r="M51" s="1"/>
      <c r="N51" s="5">
        <f t="shared" si="31"/>
        <v>0.55733999999999995</v>
      </c>
      <c r="O51" s="13"/>
      <c r="P51" s="1">
        <f>SUM(OSRRefP22_4x_0)</f>
        <v>4790.83</v>
      </c>
      <c r="Q51" s="1"/>
      <c r="R51" s="5">
        <f t="shared" si="32"/>
        <v>2.3668919402616971E-2</v>
      </c>
      <c r="S51" s="1"/>
      <c r="T51" s="1">
        <f>SUM(OSRRefT22_4x_0)</f>
        <v>2300</v>
      </c>
      <c r="U51" s="1"/>
      <c r="V51" s="5">
        <f t="shared" si="33"/>
        <v>0.01</v>
      </c>
      <c r="W51" s="1"/>
      <c r="X51" s="1">
        <f t="shared" si="34"/>
        <v>2490.83</v>
      </c>
      <c r="Y51" s="1"/>
      <c r="Z51" s="5">
        <f t="shared" si="35"/>
        <v>1.0829695652173912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778.67</v>
      </c>
      <c r="E52" s="2"/>
      <c r="F52" s="7">
        <f t="shared" si="28"/>
        <v>2.1496782536221143E-2</v>
      </c>
      <c r="G52" s="2"/>
      <c r="H52" s="6">
        <v>500</v>
      </c>
      <c r="I52" s="2"/>
      <c r="J52" s="7">
        <f t="shared" si="29"/>
        <v>6.6666666666666671E-3</v>
      </c>
      <c r="K52" s="2"/>
      <c r="L52" s="6">
        <f t="shared" si="30"/>
        <v>278.66999999999996</v>
      </c>
      <c r="M52" s="2"/>
      <c r="N52" s="7">
        <f t="shared" si="31"/>
        <v>0.55733999999999995</v>
      </c>
      <c r="O52" s="11"/>
      <c r="P52" s="6">
        <v>4790.83</v>
      </c>
      <c r="Q52" s="2"/>
      <c r="R52" s="7">
        <f t="shared" si="32"/>
        <v>2.3668919402616971E-2</v>
      </c>
      <c r="S52" s="2"/>
      <c r="T52" s="6">
        <v>2300</v>
      </c>
      <c r="U52" s="2"/>
      <c r="V52" s="7">
        <f t="shared" si="33"/>
        <v>0.01</v>
      </c>
      <c r="W52" s="2"/>
      <c r="X52" s="6">
        <f t="shared" si="34"/>
        <v>2490.83</v>
      </c>
      <c r="Y52" s="2"/>
      <c r="Z52" s="7">
        <f t="shared" si="35"/>
        <v>1.0829695652173912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255.35</v>
      </c>
      <c r="E53" s="1"/>
      <c r="F53" s="5">
        <f t="shared" si="28"/>
        <v>7.0494605168095201E-3</v>
      </c>
      <c r="G53" s="1"/>
      <c r="H53" s="1">
        <f>SUM(OSRRefH22_5x_0)</f>
        <v>436</v>
      </c>
      <c r="I53" s="1"/>
      <c r="J53" s="5">
        <f t="shared" si="29"/>
        <v>5.8133333333333335E-3</v>
      </c>
      <c r="K53" s="1"/>
      <c r="L53" s="1">
        <f t="shared" si="30"/>
        <v>-180.65</v>
      </c>
      <c r="M53" s="1"/>
      <c r="N53" s="5">
        <f t="shared" si="31"/>
        <v>-0.41433486238532113</v>
      </c>
      <c r="O53" s="13"/>
      <c r="P53" s="1">
        <f>SUM(OSRRefP22_5x_0)</f>
        <v>1532.1</v>
      </c>
      <c r="Q53" s="1"/>
      <c r="R53" s="5">
        <f t="shared" si="32"/>
        <v>7.5692836975533384E-3</v>
      </c>
      <c r="S53" s="1"/>
      <c r="T53" s="1">
        <f>SUM(OSRRefT22_5x_0)</f>
        <v>2115</v>
      </c>
      <c r="U53" s="1"/>
      <c r="V53" s="5">
        <f t="shared" si="33"/>
        <v>9.195652173913044E-3</v>
      </c>
      <c r="W53" s="1"/>
      <c r="X53" s="1">
        <f t="shared" si="34"/>
        <v>-582.90000000000009</v>
      </c>
      <c r="Y53" s="1"/>
      <c r="Z53" s="5">
        <f t="shared" si="35"/>
        <v>-0.27560283687943266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255.35</v>
      </c>
      <c r="E54" s="2"/>
      <c r="F54" s="7">
        <f t="shared" si="28"/>
        <v>7.0494605168095201E-3</v>
      </c>
      <c r="G54" s="2"/>
      <c r="H54" s="6">
        <v>269</v>
      </c>
      <c r="I54" s="2"/>
      <c r="J54" s="7">
        <f t="shared" si="29"/>
        <v>3.5866666666666668E-3</v>
      </c>
      <c r="K54" s="2"/>
      <c r="L54" s="6">
        <f t="shared" si="30"/>
        <v>-13.650000000000006</v>
      </c>
      <c r="M54" s="2"/>
      <c r="N54" s="7">
        <f t="shared" si="31"/>
        <v>-5.0743494423791842E-2</v>
      </c>
      <c r="O54" s="11"/>
      <c r="P54" s="6">
        <v>1532.1</v>
      </c>
      <c r="Q54" s="2"/>
      <c r="R54" s="7">
        <f t="shared" si="32"/>
        <v>7.5692836975533384E-3</v>
      </c>
      <c r="S54" s="2"/>
      <c r="T54" s="6">
        <v>1614</v>
      </c>
      <c r="U54" s="2"/>
      <c r="V54" s="7">
        <f t="shared" si="33"/>
        <v>7.017391304347826E-3</v>
      </c>
      <c r="W54" s="2"/>
      <c r="X54" s="6">
        <f t="shared" si="34"/>
        <v>-81.900000000000091</v>
      </c>
      <c r="Y54" s="2"/>
      <c r="Z54" s="7">
        <f t="shared" si="35"/>
        <v>-5.0743494423791877E-2</v>
      </c>
    </row>
    <row r="55" spans="1:26" s="24" customFormat="1" hidden="1" outlineLevel="2" x14ac:dyDescent="0.25">
      <c r="A55" s="26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167</v>
      </c>
      <c r="I55" s="2"/>
      <c r="J55" s="7">
        <f t="shared" si="29"/>
        <v>2.2266666666666667E-3</v>
      </c>
      <c r="K55" s="2"/>
      <c r="L55" s="6">
        <f t="shared" si="30"/>
        <v>-167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501</v>
      </c>
      <c r="U55" s="2"/>
      <c r="V55" s="7">
        <f t="shared" si="33"/>
        <v>2.1782608695652176E-3</v>
      </c>
      <c r="W55" s="2"/>
      <c r="X55" s="6">
        <f t="shared" si="34"/>
        <v>-501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30</v>
      </c>
      <c r="E56" s="1"/>
      <c r="F56" s="5">
        <f t="shared" ref="F56:F65" si="36">IF(D$12=0,0,D56/D$12)</f>
        <v>8.2821153516461957E-4</v>
      </c>
      <c r="G56" s="1"/>
      <c r="H56" s="1">
        <f>SUM(OSRRefH22_6x_0)</f>
        <v>250</v>
      </c>
      <c r="I56" s="1"/>
      <c r="J56" s="5">
        <f t="shared" ref="J56:J65" si="37">IF(H$12=0,0,H56/H$12)</f>
        <v>3.3333333333333335E-3</v>
      </c>
      <c r="K56" s="1"/>
      <c r="L56" s="1">
        <f t="shared" ref="L56:L65" si="38">+D56-H56</f>
        <v>-220</v>
      </c>
      <c r="M56" s="1"/>
      <c r="N56" s="5">
        <f t="shared" ref="N56:N65" si="39">IF(H56=0,0,L56/H56)</f>
        <v>-0.88</v>
      </c>
      <c r="O56" s="13"/>
      <c r="P56" s="1">
        <f>SUM(OSRRefP22_6x_0)</f>
        <v>118.6</v>
      </c>
      <c r="Q56" s="1"/>
      <c r="R56" s="5">
        <f t="shared" ref="R56:R65" si="40">IF(P$12=0,0,P56/P$12)</f>
        <v>5.8593893775199133E-4</v>
      </c>
      <c r="S56" s="1"/>
      <c r="T56" s="1">
        <f>SUM(OSRRefT22_6x_0)</f>
        <v>250</v>
      </c>
      <c r="U56" s="1"/>
      <c r="V56" s="5">
        <f t="shared" ref="V56:V65" si="41">IF(T$12=0,0,T56/T$12)</f>
        <v>1.0869565217391304E-3</v>
      </c>
      <c r="W56" s="1"/>
      <c r="X56" s="1">
        <f t="shared" ref="X56:X65" si="42">+P56-T56</f>
        <v>-131.4</v>
      </c>
      <c r="Y56" s="1"/>
      <c r="Z56" s="5">
        <f t="shared" ref="Z56:Z65" si="43">IF(T56=0,0,X56/T56)</f>
        <v>-0.52560000000000007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30</v>
      </c>
      <c r="E57" s="2"/>
      <c r="F57" s="7">
        <f t="shared" si="36"/>
        <v>8.2821153516461957E-4</v>
      </c>
      <c r="G57" s="2"/>
      <c r="H57" s="6">
        <v>250</v>
      </c>
      <c r="I57" s="2"/>
      <c r="J57" s="7">
        <f t="shared" si="37"/>
        <v>3.3333333333333335E-3</v>
      </c>
      <c r="K57" s="2"/>
      <c r="L57" s="6">
        <f t="shared" si="38"/>
        <v>-220</v>
      </c>
      <c r="M57" s="2"/>
      <c r="N57" s="7">
        <f t="shared" si="39"/>
        <v>-0.88</v>
      </c>
      <c r="O57" s="11"/>
      <c r="P57" s="6">
        <v>118.6</v>
      </c>
      <c r="Q57" s="2"/>
      <c r="R57" s="7">
        <f t="shared" si="40"/>
        <v>5.8593893775199133E-4</v>
      </c>
      <c r="S57" s="2"/>
      <c r="T57" s="6">
        <v>250</v>
      </c>
      <c r="U57" s="2"/>
      <c r="V57" s="7">
        <f t="shared" si="41"/>
        <v>1.0869565217391304E-3</v>
      </c>
      <c r="W57" s="2"/>
      <c r="X57" s="6">
        <f t="shared" si="42"/>
        <v>-131.4</v>
      </c>
      <c r="Y57" s="2"/>
      <c r="Z57" s="7">
        <f t="shared" si="43"/>
        <v>-0.52560000000000007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350</v>
      </c>
      <c r="Q58" s="1"/>
      <c r="R58" s="5">
        <f t="shared" si="40"/>
        <v>1.7291621265868211E-3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350</v>
      </c>
      <c r="Y58" s="1"/>
      <c r="Z58" s="5">
        <f t="shared" si="43"/>
        <v>0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350</v>
      </c>
      <c r="Q59" s="2"/>
      <c r="R59" s="7">
        <f t="shared" si="40"/>
        <v>1.7291621265868211E-3</v>
      </c>
      <c r="S59" s="2"/>
      <c r="T59" s="6"/>
      <c r="U59" s="2"/>
      <c r="V59" s="7">
        <f t="shared" si="41"/>
        <v>0</v>
      </c>
      <c r="W59" s="2"/>
      <c r="X59" s="6">
        <f t="shared" si="42"/>
        <v>350</v>
      </c>
      <c r="Y59" s="2"/>
      <c r="Z59" s="7">
        <f t="shared" si="43"/>
        <v>0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972.59</v>
      </c>
      <c r="E60" s="1"/>
      <c r="F60" s="5">
        <f t="shared" si="36"/>
        <v>2.6850341899525246E-2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972.59</v>
      </c>
      <c r="M60" s="1"/>
      <c r="N60" s="5">
        <f t="shared" si="39"/>
        <v>0</v>
      </c>
      <c r="O60" s="13"/>
      <c r="P60" s="1">
        <f>SUM(OSRRefP22_8x_0)</f>
        <v>12513.44</v>
      </c>
      <c r="Q60" s="1"/>
      <c r="R60" s="5">
        <f t="shared" si="40"/>
        <v>6.1822190060904544E-2</v>
      </c>
      <c r="S60" s="1"/>
      <c r="T60" s="1">
        <f>SUM(OSRRefT22_8x_0)</f>
        <v>2050</v>
      </c>
      <c r="U60" s="1"/>
      <c r="V60" s="5">
        <f t="shared" si="41"/>
        <v>8.9130434782608691E-3</v>
      </c>
      <c r="W60" s="1"/>
      <c r="X60" s="1">
        <f t="shared" si="42"/>
        <v>10463.44</v>
      </c>
      <c r="Y60" s="1"/>
      <c r="Z60" s="5">
        <f t="shared" si="43"/>
        <v>5.1041170731707322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972.59</v>
      </c>
      <c r="E61" s="2"/>
      <c r="F61" s="7">
        <f t="shared" si="36"/>
        <v>2.6850341899525246E-2</v>
      </c>
      <c r="G61" s="2"/>
      <c r="H61" s="6"/>
      <c r="I61" s="2"/>
      <c r="J61" s="7">
        <f t="shared" si="37"/>
        <v>0</v>
      </c>
      <c r="K61" s="2"/>
      <c r="L61" s="6">
        <f t="shared" si="38"/>
        <v>972.59</v>
      </c>
      <c r="M61" s="2"/>
      <c r="N61" s="7">
        <f t="shared" si="39"/>
        <v>0</v>
      </c>
      <c r="O61" s="11"/>
      <c r="P61" s="6">
        <v>12513.44</v>
      </c>
      <c r="Q61" s="2"/>
      <c r="R61" s="7">
        <f t="shared" si="40"/>
        <v>6.1822190060904544E-2</v>
      </c>
      <c r="S61" s="2"/>
      <c r="T61" s="6">
        <v>2050</v>
      </c>
      <c r="U61" s="2"/>
      <c r="V61" s="7">
        <f t="shared" si="41"/>
        <v>8.9130434782608691E-3</v>
      </c>
      <c r="W61" s="2"/>
      <c r="X61" s="6">
        <f t="shared" si="42"/>
        <v>10463.44</v>
      </c>
      <c r="Y61" s="2"/>
      <c r="Z61" s="7">
        <f t="shared" si="43"/>
        <v>5.1041170731707322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573</v>
      </c>
      <c r="E62" s="1"/>
      <c r="F62" s="5">
        <f t="shared" si="36"/>
        <v>1.5818840321644233E-2</v>
      </c>
      <c r="G62" s="1"/>
      <c r="H62" s="1">
        <f>SUM(OSRRefH22_9x_0)</f>
        <v>200</v>
      </c>
      <c r="I62" s="1"/>
      <c r="J62" s="5">
        <f t="shared" si="37"/>
        <v>2.6666666666666666E-3</v>
      </c>
      <c r="K62" s="1"/>
      <c r="L62" s="1">
        <f t="shared" si="38"/>
        <v>373</v>
      </c>
      <c r="M62" s="1"/>
      <c r="N62" s="5">
        <f t="shared" si="39"/>
        <v>1.865</v>
      </c>
      <c r="O62" s="13"/>
      <c r="P62" s="1">
        <f>SUM(OSRRefP22_9x_0)</f>
        <v>5381.05</v>
      </c>
      <c r="Q62" s="1"/>
      <c r="R62" s="5">
        <f t="shared" si="40"/>
        <v>2.6584879603628611E-2</v>
      </c>
      <c r="S62" s="1"/>
      <c r="T62" s="1">
        <f>SUM(OSRRefT22_9x_0)</f>
        <v>4450</v>
      </c>
      <c r="U62" s="1"/>
      <c r="V62" s="5">
        <f t="shared" si="41"/>
        <v>1.934782608695652E-2</v>
      </c>
      <c r="W62" s="1"/>
      <c r="X62" s="1">
        <f t="shared" si="42"/>
        <v>931.05000000000018</v>
      </c>
      <c r="Y62" s="1"/>
      <c r="Z62" s="5">
        <f t="shared" si="43"/>
        <v>0.20922471910112364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2623.84</v>
      </c>
      <c r="Q63" s="2"/>
      <c r="R63" s="7">
        <f t="shared" si="40"/>
        <v>1.2962985012067328E-2</v>
      </c>
      <c r="S63" s="2"/>
      <c r="T63" s="6"/>
      <c r="U63" s="2"/>
      <c r="V63" s="7">
        <f t="shared" si="41"/>
        <v>0</v>
      </c>
      <c r="W63" s="2"/>
      <c r="X63" s="6">
        <f t="shared" si="42"/>
        <v>2623.84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6">
        <v>573</v>
      </c>
      <c r="E64" s="2"/>
      <c r="F64" s="7">
        <f t="shared" si="36"/>
        <v>1.5818840321644233E-2</v>
      </c>
      <c r="G64" s="2"/>
      <c r="H64" s="6"/>
      <c r="I64" s="2"/>
      <c r="J64" s="7">
        <f t="shared" si="37"/>
        <v>0</v>
      </c>
      <c r="K64" s="2"/>
      <c r="L64" s="6">
        <f t="shared" si="38"/>
        <v>573</v>
      </c>
      <c r="M64" s="2"/>
      <c r="N64" s="7">
        <f t="shared" si="39"/>
        <v>0</v>
      </c>
      <c r="O64" s="11"/>
      <c r="P64" s="6">
        <v>573</v>
      </c>
      <c r="Q64" s="2"/>
      <c r="R64" s="7">
        <f t="shared" si="40"/>
        <v>2.8308854243835669E-3</v>
      </c>
      <c r="S64" s="2"/>
      <c r="T64" s="6">
        <v>250</v>
      </c>
      <c r="U64" s="2"/>
      <c r="V64" s="7">
        <f t="shared" si="41"/>
        <v>1.0869565217391304E-3</v>
      </c>
      <c r="W64" s="2"/>
      <c r="X64" s="6">
        <f t="shared" si="42"/>
        <v>323</v>
      </c>
      <c r="Y64" s="2"/>
      <c r="Z64" s="7">
        <f t="shared" si="43"/>
        <v>1.292</v>
      </c>
    </row>
    <row r="65" spans="1:26" s="24" customFormat="1" hidden="1" outlineLevel="2" x14ac:dyDescent="0.25">
      <c r="A65" s="26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6"/>
        <v>0</v>
      </c>
      <c r="G65" s="2"/>
      <c r="H65" s="6">
        <v>200</v>
      </c>
      <c r="I65" s="2"/>
      <c r="J65" s="7">
        <f t="shared" si="37"/>
        <v>2.6666666666666666E-3</v>
      </c>
      <c r="K65" s="2"/>
      <c r="L65" s="6">
        <f t="shared" si="38"/>
        <v>-200</v>
      </c>
      <c r="M65" s="2"/>
      <c r="N65" s="7">
        <f t="shared" si="39"/>
        <v>-1</v>
      </c>
      <c r="O65" s="11"/>
      <c r="P65" s="6">
        <v>2184.21</v>
      </c>
      <c r="Q65" s="2"/>
      <c r="R65" s="7">
        <f t="shared" si="40"/>
        <v>1.0791009167177715E-2</v>
      </c>
      <c r="S65" s="2"/>
      <c r="T65" s="6">
        <v>4200</v>
      </c>
      <c r="U65" s="2"/>
      <c r="V65" s="7">
        <f t="shared" si="41"/>
        <v>1.8260869565217393E-2</v>
      </c>
      <c r="W65" s="2"/>
      <c r="X65" s="6">
        <f t="shared" si="42"/>
        <v>-2015.79</v>
      </c>
      <c r="Y65" s="2"/>
      <c r="Z65" s="7">
        <f t="shared" si="43"/>
        <v>-0.47994999999999999</v>
      </c>
    </row>
    <row r="66" spans="1:26" s="25" customFormat="1" outlineLevel="1" collapsed="1" x14ac:dyDescent="0.25">
      <c r="A66" s="27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SUM(OSRRefD22_10x_0)</f>
        <v>8040.34</v>
      </c>
      <c r="E66" s="1"/>
      <c r="F66" s="5">
        <f t="shared" ref="F66:F68" si="44">IF(D$12=0,0,D66/D$12)</f>
        <v>0.22197007782151656</v>
      </c>
      <c r="G66" s="1"/>
      <c r="H66" s="1">
        <f>SUM(OSRRefH22_10x_0)</f>
        <v>8000</v>
      </c>
      <c r="I66" s="1"/>
      <c r="J66" s="5">
        <f t="shared" ref="J66:J68" si="45">IF(H$12=0,0,H66/H$12)</f>
        <v>0.10666666666666667</v>
      </c>
      <c r="K66" s="1"/>
      <c r="L66" s="1">
        <f t="shared" ref="L66:L68" si="46">+D66-H66</f>
        <v>40.340000000000146</v>
      </c>
      <c r="M66" s="1"/>
      <c r="N66" s="5">
        <f t="shared" ref="N66:N68" si="47">IF(H66=0,0,L66/H66)</f>
        <v>5.0425000000000183E-3</v>
      </c>
      <c r="O66" s="13"/>
      <c r="P66" s="1">
        <f>SUM(OSRRefP22_10x_0)</f>
        <v>44037.87</v>
      </c>
      <c r="Q66" s="1"/>
      <c r="R66" s="5">
        <f t="shared" ref="R66:R68" si="48">IF(P$12=0,0,P66/P$12)</f>
        <v>0.21756747697015422</v>
      </c>
      <c r="S66" s="1"/>
      <c r="T66" s="1">
        <f>SUM(OSRRefT22_10x_0)</f>
        <v>31000</v>
      </c>
      <c r="U66" s="1"/>
      <c r="V66" s="5">
        <f t="shared" ref="V66:V68" si="49">IF(T$12=0,0,T66/T$12)</f>
        <v>0.13478260869565217</v>
      </c>
      <c r="W66" s="1"/>
      <c r="X66" s="1">
        <f t="shared" ref="X66:X68" si="50">+P66-T66</f>
        <v>13037.870000000003</v>
      </c>
      <c r="Y66" s="1"/>
      <c r="Z66" s="5">
        <f t="shared" ref="Z66:Z68" si="51">IF(T66=0,0,X66/T66)</f>
        <v>0.4205764516129033</v>
      </c>
    </row>
    <row r="67" spans="1:26" s="24" customFormat="1" hidden="1" outlineLevel="2" x14ac:dyDescent="0.25">
      <c r="A67" s="26"/>
      <c r="B67" s="11" t="str">
        <f>CONCATENATE("          ", "6253", " - ", "ROYALTY DUE ATHLETICS-LRG")</f>
        <v xml:space="preserve">          6253 - ROYALTY DUE ATHLETICS-LRG</v>
      </c>
      <c r="C67" s="11"/>
      <c r="D67" s="6"/>
      <c r="E67" s="2"/>
      <c r="F67" s="7">
        <f t="shared" si="44"/>
        <v>0</v>
      </c>
      <c r="G67" s="2"/>
      <c r="H67" s="6">
        <v>8000</v>
      </c>
      <c r="I67" s="2"/>
      <c r="J67" s="7">
        <f t="shared" si="45"/>
        <v>0.10666666666666667</v>
      </c>
      <c r="K67" s="2"/>
      <c r="L67" s="6">
        <f t="shared" si="46"/>
        <v>-8000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31000</v>
      </c>
      <c r="U67" s="2"/>
      <c r="V67" s="7">
        <f t="shared" si="49"/>
        <v>0.13478260869565217</v>
      </c>
      <c r="W67" s="2"/>
      <c r="X67" s="6">
        <f t="shared" si="50"/>
        <v>-31000</v>
      </c>
      <c r="Y67" s="2"/>
      <c r="Z67" s="7">
        <f t="shared" si="51"/>
        <v>-1</v>
      </c>
    </row>
    <row r="68" spans="1:26" s="24" customFormat="1" hidden="1" outlineLevel="2" x14ac:dyDescent="0.25">
      <c r="A68" s="26"/>
      <c r="B68" s="11" t="str">
        <f>CONCATENATE("          ", "6254", " - ", "ROYALTY &amp; COMMISSIONS")</f>
        <v xml:space="preserve">          6254 - ROYALTY &amp; COMMISSIONS</v>
      </c>
      <c r="C68" s="11"/>
      <c r="D68" s="6">
        <v>8040.34</v>
      </c>
      <c r="E68" s="2"/>
      <c r="F68" s="7">
        <f t="shared" si="44"/>
        <v>0.22197007782151656</v>
      </c>
      <c r="G68" s="2"/>
      <c r="H68" s="6"/>
      <c r="I68" s="2"/>
      <c r="J68" s="7">
        <f t="shared" si="45"/>
        <v>0</v>
      </c>
      <c r="K68" s="2"/>
      <c r="L68" s="6">
        <f t="shared" si="46"/>
        <v>8040.34</v>
      </c>
      <c r="M68" s="2"/>
      <c r="N68" s="7">
        <f t="shared" si="47"/>
        <v>0</v>
      </c>
      <c r="O68" s="11"/>
      <c r="P68" s="6">
        <v>44037.87</v>
      </c>
      <c r="Q68" s="2"/>
      <c r="R68" s="7">
        <f t="shared" si="48"/>
        <v>0.21756747697015422</v>
      </c>
      <c r="S68" s="2"/>
      <c r="T68" s="6"/>
      <c r="U68" s="2"/>
      <c r="V68" s="7">
        <f t="shared" si="49"/>
        <v>0</v>
      </c>
      <c r="W68" s="2"/>
      <c r="X68" s="6">
        <f t="shared" si="50"/>
        <v>44037.87</v>
      </c>
      <c r="Y68" s="2"/>
      <c r="Z68" s="7">
        <f t="shared" si="51"/>
        <v>0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500.37</v>
      </c>
      <c r="E69" s="1"/>
      <c r="F69" s="5">
        <f t="shared" ref="F69:F71" si="52">IF(D$12=0,0,D69/D$12)</f>
        <v>1.381374019501069E-2</v>
      </c>
      <c r="G69" s="1"/>
      <c r="H69" s="1">
        <f>SUM(OSRRefH22_11x_0)</f>
        <v>255</v>
      </c>
      <c r="I69" s="1"/>
      <c r="J69" s="5">
        <f t="shared" ref="J69:J71" si="53">IF(H$12=0,0,H69/H$12)</f>
        <v>3.3999999999999998E-3</v>
      </c>
      <c r="K69" s="1"/>
      <c r="L69" s="1">
        <f t="shared" ref="L69:L71" si="54">+D69-H69</f>
        <v>245.37</v>
      </c>
      <c r="M69" s="1"/>
      <c r="N69" s="5">
        <f t="shared" ref="N69:N71" si="55">IF(H69=0,0,L69/H69)</f>
        <v>0.96223529411764708</v>
      </c>
      <c r="O69" s="13"/>
      <c r="P69" s="1">
        <f>SUM(OSRRefP22_11x_0)</f>
        <v>1881.2800000000002</v>
      </c>
      <c r="Q69" s="1"/>
      <c r="R69" s="5">
        <f t="shared" ref="R69:R71" si="56">IF(P$12=0,0,P69/P$12)</f>
        <v>9.2943946443007283E-3</v>
      </c>
      <c r="S69" s="1"/>
      <c r="T69" s="1">
        <f>SUM(OSRRefT22_11x_0)</f>
        <v>1265</v>
      </c>
      <c r="U69" s="1"/>
      <c r="V69" s="5">
        <f t="shared" ref="V69:V71" si="57">IF(T$12=0,0,T69/T$12)</f>
        <v>5.4999999999999997E-3</v>
      </c>
      <c r="W69" s="1"/>
      <c r="X69" s="1">
        <f t="shared" ref="X69:X71" si="58">+P69-T69</f>
        <v>616.2800000000002</v>
      </c>
      <c r="Y69" s="1"/>
      <c r="Z69" s="5">
        <f t="shared" ref="Z69:Z71" si="59">IF(T69=0,0,X69/T69)</f>
        <v>0.48717786561264836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451.62</v>
      </c>
      <c r="E70" s="2"/>
      <c r="F70" s="7">
        <f t="shared" si="52"/>
        <v>1.2467896450368183E-2</v>
      </c>
      <c r="G70" s="2"/>
      <c r="H70" s="6">
        <v>205</v>
      </c>
      <c r="I70" s="2"/>
      <c r="J70" s="7">
        <f t="shared" si="53"/>
        <v>2.7333333333333333E-3</v>
      </c>
      <c r="K70" s="2"/>
      <c r="L70" s="6">
        <f t="shared" si="54"/>
        <v>246.62</v>
      </c>
      <c r="M70" s="2"/>
      <c r="N70" s="7">
        <f t="shared" si="55"/>
        <v>1.2030243902439024</v>
      </c>
      <c r="O70" s="11"/>
      <c r="P70" s="6">
        <v>1580.67</v>
      </c>
      <c r="Q70" s="2"/>
      <c r="R70" s="7">
        <f t="shared" si="56"/>
        <v>7.8092419960914018E-3</v>
      </c>
      <c r="S70" s="2"/>
      <c r="T70" s="6">
        <v>1015</v>
      </c>
      <c r="U70" s="2"/>
      <c r="V70" s="7">
        <f t="shared" si="57"/>
        <v>4.4130434782608694E-3</v>
      </c>
      <c r="W70" s="2"/>
      <c r="X70" s="6">
        <f t="shared" si="58"/>
        <v>565.67000000000007</v>
      </c>
      <c r="Y70" s="2"/>
      <c r="Z70" s="7">
        <f t="shared" si="59"/>
        <v>0.55731034482758623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6">
        <v>48.75</v>
      </c>
      <c r="E71" s="2"/>
      <c r="F71" s="7">
        <f t="shared" si="52"/>
        <v>1.3458437446425067E-3</v>
      </c>
      <c r="G71" s="2"/>
      <c r="H71" s="6">
        <v>50</v>
      </c>
      <c r="I71" s="2"/>
      <c r="J71" s="7">
        <f t="shared" si="53"/>
        <v>6.6666666666666664E-4</v>
      </c>
      <c r="K71" s="2"/>
      <c r="L71" s="6">
        <f t="shared" si="54"/>
        <v>-1.25</v>
      </c>
      <c r="M71" s="2"/>
      <c r="N71" s="7">
        <f t="shared" si="55"/>
        <v>-2.5000000000000001E-2</v>
      </c>
      <c r="O71" s="11"/>
      <c r="P71" s="6">
        <v>300.61</v>
      </c>
      <c r="Q71" s="2"/>
      <c r="R71" s="7">
        <f t="shared" si="56"/>
        <v>1.4851526482093267E-3</v>
      </c>
      <c r="S71" s="2"/>
      <c r="T71" s="6">
        <v>250</v>
      </c>
      <c r="U71" s="2"/>
      <c r="V71" s="7">
        <f t="shared" si="57"/>
        <v>1.0869565217391304E-3</v>
      </c>
      <c r="W71" s="2"/>
      <c r="X71" s="6">
        <f t="shared" si="58"/>
        <v>50.610000000000014</v>
      </c>
      <c r="Y71" s="2"/>
      <c r="Z71" s="7">
        <f t="shared" si="59"/>
        <v>0.20244000000000006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1433.92</v>
      </c>
      <c r="E72" s="1"/>
      <c r="F72" s="5">
        <f t="shared" ref="F72:F79" si="60">IF(D$12=0,0,D72/D$12)</f>
        <v>3.958630281677504E-2</v>
      </c>
      <c r="G72" s="1"/>
      <c r="H72" s="1">
        <f>SUM(OSRRefH22_12x_0)</f>
        <v>550</v>
      </c>
      <c r="I72" s="1"/>
      <c r="J72" s="5">
        <f t="shared" ref="J72:J79" si="61">IF(H$12=0,0,H72/H$12)</f>
        <v>7.3333333333333332E-3</v>
      </c>
      <c r="K72" s="1"/>
      <c r="L72" s="1">
        <f t="shared" ref="L72:L79" si="62">+D72-H72</f>
        <v>883.92000000000007</v>
      </c>
      <c r="M72" s="1"/>
      <c r="N72" s="5">
        <f t="shared" ref="N72:N79" si="63">IF(H72=0,0,L72/H72)</f>
        <v>1.607127272727273</v>
      </c>
      <c r="O72" s="13"/>
      <c r="P72" s="1">
        <f>SUM(OSRRefP22_12x_0)</f>
        <v>12736.15</v>
      </c>
      <c r="Q72" s="1"/>
      <c r="R72" s="5">
        <f t="shared" ref="R72:R79" si="64">IF(P$12=0,0,P72/P$12)</f>
        <v>6.2922480624367824E-2</v>
      </c>
      <c r="S72" s="1"/>
      <c r="T72" s="1">
        <f>SUM(OSRRefT22_12x_0)</f>
        <v>2900</v>
      </c>
      <c r="U72" s="1"/>
      <c r="V72" s="5">
        <f t="shared" ref="V72:V79" si="65">IF(T$12=0,0,T72/T$12)</f>
        <v>1.2608695652173913E-2</v>
      </c>
      <c r="W72" s="1"/>
      <c r="X72" s="1">
        <f t="shared" ref="X72:X79" si="66">+P72-T72</f>
        <v>9836.15</v>
      </c>
      <c r="Y72" s="1"/>
      <c r="Z72" s="5">
        <f t="shared" ref="Z72:Z79" si="67">IF(T72=0,0,X72/T72)</f>
        <v>3.3917758620689655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>
        <v>3756.46</v>
      </c>
      <c r="Q73" s="2"/>
      <c r="R73" s="7">
        <f t="shared" si="64"/>
        <v>1.8558652462966656E-2</v>
      </c>
      <c r="S73" s="2"/>
      <c r="T73" s="6"/>
      <c r="U73" s="2"/>
      <c r="V73" s="7">
        <f t="shared" si="65"/>
        <v>0</v>
      </c>
      <c r="W73" s="2"/>
      <c r="X73" s="6">
        <f t="shared" si="66"/>
        <v>3756.46</v>
      </c>
      <c r="Y73" s="2"/>
      <c r="Z73" s="7">
        <f t="shared" si="67"/>
        <v>0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6">
        <v>390.24</v>
      </c>
      <c r="E74" s="2"/>
      <c r="F74" s="7">
        <f t="shared" si="60"/>
        <v>1.0773375649421371E-2</v>
      </c>
      <c r="G74" s="2"/>
      <c r="H74" s="6">
        <v>300</v>
      </c>
      <c r="I74" s="2"/>
      <c r="J74" s="7">
        <f t="shared" si="61"/>
        <v>4.0000000000000001E-3</v>
      </c>
      <c r="K74" s="2"/>
      <c r="L74" s="6">
        <f t="shared" si="62"/>
        <v>90.240000000000009</v>
      </c>
      <c r="M74" s="2"/>
      <c r="N74" s="7">
        <f t="shared" si="63"/>
        <v>0.30080000000000001</v>
      </c>
      <c r="O74" s="11"/>
      <c r="P74" s="6">
        <v>732.18</v>
      </c>
      <c r="Q74" s="2"/>
      <c r="R74" s="7">
        <f t="shared" si="64"/>
        <v>3.6173083595552533E-3</v>
      </c>
      <c r="S74" s="2"/>
      <c r="T74" s="6">
        <v>600</v>
      </c>
      <c r="U74" s="2"/>
      <c r="V74" s="7">
        <f t="shared" si="65"/>
        <v>2.6086956521739132E-3</v>
      </c>
      <c r="W74" s="2"/>
      <c r="X74" s="6">
        <f t="shared" si="66"/>
        <v>132.17999999999995</v>
      </c>
      <c r="Y74" s="2"/>
      <c r="Z74" s="7">
        <f t="shared" si="67"/>
        <v>0.22029999999999991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6">
        <v>928.91</v>
      </c>
      <c r="E75" s="2"/>
      <c r="F75" s="7">
        <f t="shared" si="60"/>
        <v>2.5644465904325557E-2</v>
      </c>
      <c r="G75" s="2"/>
      <c r="H75" s="6"/>
      <c r="I75" s="2"/>
      <c r="J75" s="7">
        <f t="shared" si="61"/>
        <v>0</v>
      </c>
      <c r="K75" s="2"/>
      <c r="L75" s="6">
        <f t="shared" si="62"/>
        <v>928.91</v>
      </c>
      <c r="M75" s="2"/>
      <c r="N75" s="7">
        <f t="shared" si="63"/>
        <v>0</v>
      </c>
      <c r="O75" s="11"/>
      <c r="P75" s="6">
        <v>5462.19</v>
      </c>
      <c r="Q75" s="2"/>
      <c r="R75" s="7">
        <f t="shared" si="64"/>
        <v>2.6985748789203623E-2</v>
      </c>
      <c r="S75" s="2"/>
      <c r="T75" s="6">
        <v>200</v>
      </c>
      <c r="U75" s="2"/>
      <c r="V75" s="7">
        <f t="shared" si="65"/>
        <v>8.6956521739130438E-4</v>
      </c>
      <c r="W75" s="2"/>
      <c r="X75" s="6">
        <f t="shared" si="66"/>
        <v>5262.19</v>
      </c>
      <c r="Y75" s="2"/>
      <c r="Z75" s="7">
        <f t="shared" si="67"/>
        <v>26.310949999999998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60"/>
        <v>0</v>
      </c>
      <c r="G76" s="2"/>
      <c r="H76" s="6"/>
      <c r="I76" s="2"/>
      <c r="J76" s="7">
        <f t="shared" si="61"/>
        <v>0</v>
      </c>
      <c r="K76" s="2"/>
      <c r="L76" s="6">
        <f t="shared" si="62"/>
        <v>0</v>
      </c>
      <c r="M76" s="2"/>
      <c r="N76" s="7">
        <f t="shared" si="63"/>
        <v>0</v>
      </c>
      <c r="O76" s="11"/>
      <c r="P76" s="6">
        <v>599.88</v>
      </c>
      <c r="Q76" s="2"/>
      <c r="R76" s="7">
        <f t="shared" si="64"/>
        <v>2.9636850757054347E-3</v>
      </c>
      <c r="S76" s="2"/>
      <c r="T76" s="6"/>
      <c r="U76" s="2"/>
      <c r="V76" s="7">
        <f t="shared" si="65"/>
        <v>0</v>
      </c>
      <c r="W76" s="2"/>
      <c r="X76" s="6">
        <f t="shared" si="66"/>
        <v>599.88</v>
      </c>
      <c r="Y76" s="2"/>
      <c r="Z76" s="7">
        <f t="shared" si="67"/>
        <v>0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6">
        <v>114.77</v>
      </c>
      <c r="E77" s="2"/>
      <c r="F77" s="7">
        <f t="shared" si="60"/>
        <v>3.1684612630281128E-3</v>
      </c>
      <c r="G77" s="2"/>
      <c r="H77" s="6">
        <v>250</v>
      </c>
      <c r="I77" s="2"/>
      <c r="J77" s="7">
        <f t="shared" si="61"/>
        <v>3.3333333333333335E-3</v>
      </c>
      <c r="K77" s="2"/>
      <c r="L77" s="6">
        <f t="shared" si="62"/>
        <v>-135.23000000000002</v>
      </c>
      <c r="M77" s="2"/>
      <c r="N77" s="7">
        <f t="shared" si="63"/>
        <v>-0.54092000000000007</v>
      </c>
      <c r="O77" s="11"/>
      <c r="P77" s="6">
        <v>1685.8</v>
      </c>
      <c r="Q77" s="2"/>
      <c r="R77" s="7">
        <f t="shared" si="64"/>
        <v>8.3286328942858943E-3</v>
      </c>
      <c r="S77" s="2"/>
      <c r="T77" s="6">
        <v>1500</v>
      </c>
      <c r="U77" s="2"/>
      <c r="V77" s="7">
        <f t="shared" si="65"/>
        <v>6.5217391304347823E-3</v>
      </c>
      <c r="W77" s="2"/>
      <c r="X77" s="6">
        <f t="shared" si="66"/>
        <v>185.79999999999995</v>
      </c>
      <c r="Y77" s="2"/>
      <c r="Z77" s="7">
        <f t="shared" si="67"/>
        <v>0.12386666666666664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60"/>
        <v>0</v>
      </c>
      <c r="G78" s="2"/>
      <c r="H78" s="6"/>
      <c r="I78" s="2"/>
      <c r="J78" s="7">
        <f t="shared" si="61"/>
        <v>0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45.2</v>
      </c>
      <c r="Q78" s="2"/>
      <c r="R78" s="7">
        <f t="shared" si="64"/>
        <v>2.2330893749064091E-4</v>
      </c>
      <c r="S78" s="2"/>
      <c r="T78" s="6"/>
      <c r="U78" s="2"/>
      <c r="V78" s="7">
        <f t="shared" si="65"/>
        <v>0</v>
      </c>
      <c r="W78" s="2"/>
      <c r="X78" s="6">
        <f t="shared" si="66"/>
        <v>45.2</v>
      </c>
      <c r="Y78" s="2"/>
      <c r="Z78" s="7">
        <f t="shared" si="67"/>
        <v>0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454.44</v>
      </c>
      <c r="Q79" s="2"/>
      <c r="R79" s="7">
        <f t="shared" si="64"/>
        <v>2.2451441051603285E-3</v>
      </c>
      <c r="S79" s="2"/>
      <c r="T79" s="6">
        <v>600</v>
      </c>
      <c r="U79" s="2"/>
      <c r="V79" s="7">
        <f t="shared" si="65"/>
        <v>2.6086956521739132E-3</v>
      </c>
      <c r="W79" s="2"/>
      <c r="X79" s="6">
        <f t="shared" si="66"/>
        <v>-145.56</v>
      </c>
      <c r="Y79" s="2"/>
      <c r="Z79" s="7">
        <f t="shared" si="67"/>
        <v>-0.24260000000000001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SUM(OSRRefD22_13x_0)</f>
        <v>313.31</v>
      </c>
      <c r="E80" s="1"/>
      <c r="F80" s="5">
        <f t="shared" ref="F80:F82" si="68">IF(D$12=0,0,D80/D$12)</f>
        <v>8.6495652027475649E-3</v>
      </c>
      <c r="G80" s="1"/>
      <c r="H80" s="1">
        <f>SUM(OSRRefH22_13x_0)</f>
        <v>343</v>
      </c>
      <c r="I80" s="1"/>
      <c r="J80" s="5">
        <f t="shared" ref="J80:J82" si="69">IF(H$12=0,0,H80/H$12)</f>
        <v>4.5733333333333338E-3</v>
      </c>
      <c r="K80" s="1"/>
      <c r="L80" s="1">
        <f t="shared" ref="L80:L82" si="70">+D80-H80</f>
        <v>-29.689999999999998</v>
      </c>
      <c r="M80" s="1"/>
      <c r="N80" s="5">
        <f t="shared" ref="N80:N82" si="71">IF(H80=0,0,L80/H80)</f>
        <v>-8.6559766763848384E-2</v>
      </c>
      <c r="O80" s="13"/>
      <c r="P80" s="1">
        <f>SUM(OSRRefP22_13x_0)</f>
        <v>1862.73</v>
      </c>
      <c r="Q80" s="1"/>
      <c r="R80" s="5">
        <f t="shared" ref="R80:R82" si="72">IF(P$12=0,0,P80/P$12)</f>
        <v>9.2027490515916265E-3</v>
      </c>
      <c r="S80" s="1"/>
      <c r="T80" s="1">
        <f>SUM(OSRRefT22_13x_0)</f>
        <v>1129</v>
      </c>
      <c r="U80" s="1"/>
      <c r="V80" s="5">
        <f t="shared" ref="V80:V82" si="73">IF(T$12=0,0,T80/T$12)</f>
        <v>4.9086956521739132E-3</v>
      </c>
      <c r="W80" s="1"/>
      <c r="X80" s="1">
        <f t="shared" ref="X80:X82" si="74">+P80-T80</f>
        <v>733.73</v>
      </c>
      <c r="Y80" s="1"/>
      <c r="Z80" s="5">
        <f t="shared" ref="Z80:Z82" si="75">IF(T80=0,0,X80/T80)</f>
        <v>0.64989371124889284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68"/>
        <v>0</v>
      </c>
      <c r="G81" s="2"/>
      <c r="H81" s="6">
        <v>298</v>
      </c>
      <c r="I81" s="2"/>
      <c r="J81" s="7">
        <f t="shared" si="69"/>
        <v>3.9733333333333331E-3</v>
      </c>
      <c r="K81" s="2"/>
      <c r="L81" s="6">
        <f t="shared" si="70"/>
        <v>-298</v>
      </c>
      <c r="M81" s="2"/>
      <c r="N81" s="7">
        <f t="shared" si="71"/>
        <v>-1</v>
      </c>
      <c r="O81" s="11"/>
      <c r="P81" s="6"/>
      <c r="Q81" s="2"/>
      <c r="R81" s="7">
        <f t="shared" si="72"/>
        <v>0</v>
      </c>
      <c r="S81" s="2"/>
      <c r="T81" s="6">
        <v>994</v>
      </c>
      <c r="U81" s="2"/>
      <c r="V81" s="7">
        <f t="shared" si="73"/>
        <v>4.3217391304347826E-3</v>
      </c>
      <c r="W81" s="2"/>
      <c r="X81" s="6">
        <f t="shared" si="74"/>
        <v>-994</v>
      </c>
      <c r="Y81" s="2"/>
      <c r="Z81" s="7">
        <f t="shared" si="75"/>
        <v>-1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6">
        <v>313.31</v>
      </c>
      <c r="E82" s="2"/>
      <c r="F82" s="7">
        <f t="shared" si="68"/>
        <v>8.6495652027475649E-3</v>
      </c>
      <c r="G82" s="2"/>
      <c r="H82" s="6">
        <v>45</v>
      </c>
      <c r="I82" s="2"/>
      <c r="J82" s="7">
        <f t="shared" si="69"/>
        <v>5.9999999999999995E-4</v>
      </c>
      <c r="K82" s="2"/>
      <c r="L82" s="6">
        <f t="shared" si="70"/>
        <v>268.31</v>
      </c>
      <c r="M82" s="2"/>
      <c r="N82" s="7">
        <f t="shared" si="71"/>
        <v>5.9624444444444444</v>
      </c>
      <c r="O82" s="11"/>
      <c r="P82" s="6">
        <v>1862.73</v>
      </c>
      <c r="Q82" s="2"/>
      <c r="R82" s="7">
        <f t="shared" si="72"/>
        <v>9.2027490515916265E-3</v>
      </c>
      <c r="S82" s="2"/>
      <c r="T82" s="6">
        <v>135</v>
      </c>
      <c r="U82" s="2"/>
      <c r="V82" s="7">
        <f t="shared" si="73"/>
        <v>5.8695652173913044E-4</v>
      </c>
      <c r="W82" s="2"/>
      <c r="X82" s="6">
        <f t="shared" si="74"/>
        <v>1727.73</v>
      </c>
      <c r="Y82" s="2"/>
      <c r="Z82" s="7">
        <f t="shared" si="75"/>
        <v>12.798</v>
      </c>
    </row>
    <row r="83" spans="1:26" s="25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SUM(OSRRefD22_14x_0)</f>
        <v>0</v>
      </c>
      <c r="E83" s="1"/>
      <c r="F83" s="5">
        <f t="shared" ref="F83:F86" si="76">IF(D$12=0,0,D83/D$12)</f>
        <v>0</v>
      </c>
      <c r="G83" s="1"/>
      <c r="H83" s="1">
        <f>SUM(OSRRefH22_14x_0)</f>
        <v>0</v>
      </c>
      <c r="I83" s="1"/>
      <c r="J83" s="5">
        <f t="shared" ref="J83:J86" si="77">IF(H$12=0,0,H83/H$12)</f>
        <v>0</v>
      </c>
      <c r="K83" s="1"/>
      <c r="L83" s="1">
        <f t="shared" ref="L83:L86" si="78">+D83-H83</f>
        <v>0</v>
      </c>
      <c r="M83" s="1"/>
      <c r="N83" s="5">
        <f t="shared" ref="N83:N86" si="79">IF(H83=0,0,L83/H83)</f>
        <v>0</v>
      </c>
      <c r="O83" s="13"/>
      <c r="P83" s="1">
        <f>SUM(OSRRefP22_14x_0)</f>
        <v>237.95</v>
      </c>
      <c r="Q83" s="1"/>
      <c r="R83" s="5">
        <f t="shared" ref="R83:R86" si="80">IF(P$12=0,0,P83/P$12)</f>
        <v>1.1755832229180974E-3</v>
      </c>
      <c r="S83" s="1"/>
      <c r="T83" s="1">
        <f>SUM(OSRRefT22_14x_0)</f>
        <v>500</v>
      </c>
      <c r="U83" s="1"/>
      <c r="V83" s="5">
        <f t="shared" ref="V83:V86" si="81">IF(T$12=0,0,T83/T$12)</f>
        <v>2.1739130434782609E-3</v>
      </c>
      <c r="W83" s="1"/>
      <c r="X83" s="1">
        <f t="shared" ref="X83:X86" si="82">+P83-T83</f>
        <v>-262.05</v>
      </c>
      <c r="Y83" s="1"/>
      <c r="Z83" s="5">
        <f t="shared" ref="Z83:Z86" si="83">IF(T83=0,0,X83/T83)</f>
        <v>-0.52410000000000001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76"/>
        <v>0</v>
      </c>
      <c r="G84" s="2"/>
      <c r="H84" s="6"/>
      <c r="I84" s="2"/>
      <c r="J84" s="7">
        <f t="shared" si="77"/>
        <v>0</v>
      </c>
      <c r="K84" s="2"/>
      <c r="L84" s="6">
        <f t="shared" si="78"/>
        <v>0</v>
      </c>
      <c r="M84" s="2"/>
      <c r="N84" s="7">
        <f t="shared" si="79"/>
        <v>0</v>
      </c>
      <c r="O84" s="11"/>
      <c r="P84" s="6">
        <v>237.95</v>
      </c>
      <c r="Q84" s="2"/>
      <c r="R84" s="7">
        <f t="shared" si="80"/>
        <v>1.1755832229180974E-3</v>
      </c>
      <c r="S84" s="2"/>
      <c r="T84" s="6">
        <v>500</v>
      </c>
      <c r="U84" s="2"/>
      <c r="V84" s="7">
        <f t="shared" si="81"/>
        <v>2.1739130434782609E-3</v>
      </c>
      <c r="W84" s="2"/>
      <c r="X84" s="6">
        <f t="shared" si="82"/>
        <v>-262.05</v>
      </c>
      <c r="Y84" s="2"/>
      <c r="Z84" s="7">
        <f t="shared" si="83"/>
        <v>-0.52410000000000001</v>
      </c>
    </row>
    <row r="85" spans="1:26" s="25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SUM(OSRRefD22_15x_0)</f>
        <v>0</v>
      </c>
      <c r="E85" s="1"/>
      <c r="F85" s="5">
        <f t="shared" si="76"/>
        <v>0</v>
      </c>
      <c r="G85" s="1"/>
      <c r="H85" s="1">
        <f>SUM(OSRRefH22_15x_0)</f>
        <v>0</v>
      </c>
      <c r="I85" s="1"/>
      <c r="J85" s="5">
        <f t="shared" si="77"/>
        <v>0</v>
      </c>
      <c r="K85" s="1"/>
      <c r="L85" s="1">
        <f t="shared" si="78"/>
        <v>0</v>
      </c>
      <c r="M85" s="1"/>
      <c r="N85" s="5">
        <f t="shared" si="79"/>
        <v>0</v>
      </c>
      <c r="O85" s="13"/>
      <c r="P85" s="1">
        <f>SUM(OSRRefP22_15x_0)</f>
        <v>0</v>
      </c>
      <c r="Q85" s="1"/>
      <c r="R85" s="5">
        <f t="shared" si="80"/>
        <v>0</v>
      </c>
      <c r="S85" s="1"/>
      <c r="T85" s="1">
        <f>SUM(OSRRefT22_15x_0)</f>
        <v>500</v>
      </c>
      <c r="U85" s="1"/>
      <c r="V85" s="5">
        <f t="shared" si="81"/>
        <v>2.1739130434782609E-3</v>
      </c>
      <c r="W85" s="1"/>
      <c r="X85" s="1">
        <f t="shared" si="82"/>
        <v>-500</v>
      </c>
      <c r="Y85" s="1"/>
      <c r="Z85" s="5">
        <f t="shared" si="83"/>
        <v>-1</v>
      </c>
    </row>
    <row r="86" spans="1:26" s="24" customFormat="1" hidden="1" outlineLevel="2" x14ac:dyDescent="0.25">
      <c r="A86" s="26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76"/>
        <v>0</v>
      </c>
      <c r="G86" s="2"/>
      <c r="H86" s="6"/>
      <c r="I86" s="2"/>
      <c r="J86" s="7">
        <f t="shared" si="77"/>
        <v>0</v>
      </c>
      <c r="K86" s="2"/>
      <c r="L86" s="6">
        <f t="shared" si="78"/>
        <v>0</v>
      </c>
      <c r="M86" s="2"/>
      <c r="N86" s="7">
        <f t="shared" si="79"/>
        <v>0</v>
      </c>
      <c r="O86" s="11"/>
      <c r="P86" s="6"/>
      <c r="Q86" s="2"/>
      <c r="R86" s="7">
        <f t="shared" si="80"/>
        <v>0</v>
      </c>
      <c r="S86" s="2"/>
      <c r="T86" s="6">
        <v>500</v>
      </c>
      <c r="U86" s="2"/>
      <c r="V86" s="7">
        <f t="shared" si="81"/>
        <v>2.1739130434782609E-3</v>
      </c>
      <c r="W86" s="2"/>
      <c r="X86" s="6">
        <f t="shared" si="82"/>
        <v>-500</v>
      </c>
      <c r="Y86" s="2"/>
      <c r="Z86" s="7">
        <f t="shared" si="83"/>
        <v>-1</v>
      </c>
    </row>
    <row r="87" spans="1:26" s="53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0</v>
      </c>
      <c r="E88" s="4"/>
      <c r="F88" s="12">
        <f t="shared" ref="F88:F89" si="84">IF(D$12=0,0,D88/D$12)</f>
        <v>0</v>
      </c>
      <c r="G88" s="4"/>
      <c r="H88" s="4">
        <f>SUM(OSRRefH25x_0)</f>
        <v>0</v>
      </c>
      <c r="I88" s="4"/>
      <c r="J88" s="12">
        <f t="shared" ref="J88:J89" si="85">IF(H$12=0,0,H88/H$12)</f>
        <v>0</v>
      </c>
      <c r="K88" s="4"/>
      <c r="L88" s="4">
        <f t="shared" ref="L88:L89" si="86">+D88-H88</f>
        <v>0</v>
      </c>
      <c r="M88" s="4"/>
      <c r="N88" s="12">
        <f t="shared" ref="N88:N89" si="87">IF(H88=0,0,L88/H88)</f>
        <v>0</v>
      </c>
      <c r="O88" s="10"/>
      <c r="P88" s="4">
        <f>SUM(OSRRefP25x_0)</f>
        <v>32460.44</v>
      </c>
      <c r="Q88" s="4"/>
      <c r="R88" s="12">
        <f t="shared" ref="R88:R89" si="88">IF(P$12=0,0,P88/P$12)</f>
        <v>0.16036960988669688</v>
      </c>
      <c r="S88" s="4"/>
      <c r="T88" s="4">
        <f>SUM(OSRRefT25x_0)</f>
        <v>4100</v>
      </c>
      <c r="U88" s="4"/>
      <c r="V88" s="12">
        <f t="shared" ref="V88:V89" si="89">IF(T$12=0,0,T88/T$12)</f>
        <v>1.7826086956521738E-2</v>
      </c>
      <c r="W88" s="4"/>
      <c r="X88" s="4">
        <f t="shared" ref="X88:X89" si="90">+P88-T88</f>
        <v>28360.44</v>
      </c>
      <c r="Y88" s="4"/>
      <c r="Z88" s="12">
        <f t="shared" ref="Z88:Z89" si="91">IF(T88=0,0,X88/T88)</f>
        <v>6.9171804878048775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84"/>
        <v>0</v>
      </c>
      <c r="G89" s="2"/>
      <c r="H89" s="2"/>
      <c r="I89" s="2"/>
      <c r="J89" s="19">
        <f t="shared" si="85"/>
        <v>0</v>
      </c>
      <c r="K89" s="2"/>
      <c r="L89" s="2">
        <f t="shared" si="86"/>
        <v>0</v>
      </c>
      <c r="M89" s="2"/>
      <c r="N89" s="19">
        <f t="shared" si="87"/>
        <v>0</v>
      </c>
      <c r="O89" s="11"/>
      <c r="P89" s="2">
        <f>--32460.44</f>
        <v>32460.44</v>
      </c>
      <c r="Q89" s="2"/>
      <c r="R89" s="19">
        <f t="shared" si="88"/>
        <v>0.16036960988669688</v>
      </c>
      <c r="S89" s="2"/>
      <c r="T89" s="2">
        <v>4100</v>
      </c>
      <c r="U89" s="2"/>
      <c r="V89" s="19">
        <f t="shared" si="89"/>
        <v>1.7826086956521738E-2</v>
      </c>
      <c r="W89" s="2"/>
      <c r="X89" s="2">
        <f t="shared" si="90"/>
        <v>28360.44</v>
      </c>
      <c r="Y89" s="2"/>
      <c r="Z89" s="19">
        <f t="shared" si="91"/>
        <v>6.9171804878048775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+D23-D25+D88</f>
        <v>886.67999999999665</v>
      </c>
      <c r="E91" s="14"/>
      <c r="F91" s="20">
        <f>IF(D$12=0,0,D91/D$12)</f>
        <v>2.4478620133325402E-2</v>
      </c>
      <c r="G91" s="14"/>
      <c r="H91" s="22">
        <f>+H23-H25+H88</f>
        <v>33572.468650000003</v>
      </c>
      <c r="I91" s="14"/>
      <c r="J91" s="20">
        <f>IF(H$12=0,0,H91/H$12)</f>
        <v>0.44763291533333338</v>
      </c>
      <c r="K91" s="16"/>
      <c r="L91" s="22">
        <f>+D91-H91</f>
        <v>-32685.788650000006</v>
      </c>
      <c r="M91" s="16"/>
      <c r="N91" s="20">
        <f>IF(H91=0,0,L91/H91)</f>
        <v>-0.97358907355774693</v>
      </c>
      <c r="O91" s="28"/>
      <c r="P91" s="22">
        <f>+P23-P25+P88</f>
        <v>14182.079999999984</v>
      </c>
      <c r="Q91" s="14"/>
      <c r="R91" s="20">
        <f>IF(P$12=0,0,P91/P$12)</f>
        <v>7.0066044606355418E-2</v>
      </c>
      <c r="S91" s="14"/>
      <c r="T91" s="22">
        <f>+T23-T25+T88</f>
        <v>56934.636825000009</v>
      </c>
      <c r="U91" s="14"/>
      <c r="V91" s="20">
        <f>IF(T$12=0,0,T91/T$12)</f>
        <v>0.24754189923913048</v>
      </c>
      <c r="W91" s="16"/>
      <c r="X91" s="22">
        <f>+P91-T91</f>
        <v>-42752.556825000021</v>
      </c>
      <c r="Y91" s="16"/>
      <c r="Z91" s="20">
        <f>IF(T91=0,0,X91/T91)</f>
        <v>-0.75090593721373078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4263.72</v>
      </c>
      <c r="E93" s="4"/>
      <c r="F93" s="12">
        <f>IF(D$12=0,0,D93/D$12)</f>
        <v>0.1177087362237364</v>
      </c>
      <c r="G93" s="4"/>
      <c r="H93" s="4">
        <v>9984</v>
      </c>
      <c r="I93" s="4"/>
      <c r="J93" s="12">
        <f>IF(H$12=0,0,H93/H$12)</f>
        <v>0.13311999999999999</v>
      </c>
      <c r="K93" s="4"/>
      <c r="L93" s="4">
        <f>+D93-H93</f>
        <v>-5720.28</v>
      </c>
      <c r="M93" s="4"/>
      <c r="N93" s="12">
        <f>IF(H93=0,0,L93/H93)</f>
        <v>-0.57294471153846149</v>
      </c>
      <c r="O93" s="10"/>
      <c r="P93" s="4">
        <v>21861.86</v>
      </c>
      <c r="Q93" s="4"/>
      <c r="R93" s="12">
        <f>IF(P$12=0,0,P93/P$12)</f>
        <v>0.10800771522498104</v>
      </c>
      <c r="S93" s="4"/>
      <c r="T93" s="4">
        <v>29627</v>
      </c>
      <c r="U93" s="4"/>
      <c r="V93" s="12">
        <f>IF(T$12=0,0,T93/T$12)</f>
        <v>0.12881304347826086</v>
      </c>
      <c r="W93" s="4"/>
      <c r="X93" s="4">
        <f>+P93-T93</f>
        <v>-7765.1399999999994</v>
      </c>
      <c r="Y93" s="4"/>
      <c r="Z93" s="12">
        <f>IF(T93=0,0,X93/T93)</f>
        <v>-0.26209673608532758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1">
        <f>+D91-D93</f>
        <v>-3377.0400000000036</v>
      </c>
      <c r="E95" s="14"/>
      <c r="F95" s="32">
        <f>IF(D$12=0,0,D95/D$12)</f>
        <v>-9.3230116090410986E-2</v>
      </c>
      <c r="G95" s="14"/>
      <c r="H95" s="31">
        <f>+H91-H93</f>
        <v>23588.468650000003</v>
      </c>
      <c r="I95" s="14"/>
      <c r="J95" s="32">
        <f>IF(H$12=0,0,H95/H$12)</f>
        <v>0.31451291533333336</v>
      </c>
      <c r="K95" s="16"/>
      <c r="L95" s="31">
        <f>D95-H95</f>
        <v>-26965.508650000007</v>
      </c>
      <c r="M95" s="16"/>
      <c r="N95" s="32">
        <f>IF(H95=0,0,L95/H95)</f>
        <v>-1.14316486797459</v>
      </c>
      <c r="O95" s="28"/>
      <c r="P95" s="31">
        <f>+P91-P93</f>
        <v>-7679.780000000017</v>
      </c>
      <c r="Q95" s="14"/>
      <c r="R95" s="32">
        <f>IF(P$12=0,0,P95/P$12)</f>
        <v>-3.794167061862562E-2</v>
      </c>
      <c r="S95" s="14"/>
      <c r="T95" s="31">
        <f>+T91-T93</f>
        <v>27307.636825000009</v>
      </c>
      <c r="U95" s="14"/>
      <c r="V95" s="32">
        <f>IF(T$12=0,0,T95/T$12)</f>
        <v>0.1187288557608696</v>
      </c>
      <c r="W95" s="16"/>
      <c r="X95" s="31">
        <f>P95-T95</f>
        <v>-34987.416825000022</v>
      </c>
      <c r="Y95" s="16"/>
      <c r="Z95" s="32">
        <f>IF(T95=0,0,X95/T95)</f>
        <v>-1.2812319516776791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5">
        <f>SUM(D95:D97)</f>
        <v>-3377.0400000000036</v>
      </c>
      <c r="E98" s="14"/>
      <c r="F98" s="34">
        <f>IF(D$12=0,0,D98/D$12)</f>
        <v>-9.3230116090410986E-2</v>
      </c>
      <c r="G98" s="14"/>
      <c r="H98" s="35">
        <f>SUM(H95:H97)</f>
        <v>23588.468650000003</v>
      </c>
      <c r="I98" s="14"/>
      <c r="J98" s="34">
        <f>IF(H$12=0,0,H98/H$12)</f>
        <v>0.31451291533333336</v>
      </c>
      <c r="K98" s="16"/>
      <c r="L98" s="35">
        <f>+D98-H98</f>
        <v>-26965.508650000007</v>
      </c>
      <c r="M98" s="16"/>
      <c r="N98" s="34">
        <f>IF(H98=0,0,L98/H98)</f>
        <v>-1.14316486797459</v>
      </c>
      <c r="O98" s="28"/>
      <c r="P98" s="35">
        <f>SUM(P95:P97)</f>
        <v>-7679.780000000017</v>
      </c>
      <c r="Q98" s="14"/>
      <c r="R98" s="34">
        <f>IF(P$12=0,0,P98/P$12)</f>
        <v>-3.794167061862562E-2</v>
      </c>
      <c r="S98" s="14"/>
      <c r="T98" s="35">
        <f>SUM(T95:T97)</f>
        <v>27307.636825000009</v>
      </c>
      <c r="U98" s="14"/>
      <c r="V98" s="34">
        <f>IF(T$12=0,0,T98/T$12)</f>
        <v>0.1187288557608696</v>
      </c>
      <c r="W98" s="16"/>
      <c r="X98" s="35">
        <f>+P98-T98</f>
        <v>-34987.416825000022</v>
      </c>
      <c r="Y98" s="16"/>
      <c r="Z98" s="34">
        <f>IF(T98=0,0,X98/T98)</f>
        <v>-1.2812319516776791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3">
        <v>43847.446358645837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5" t="s">
        <v>314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6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300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7209.369999999999</v>
      </c>
      <c r="E18" s="21"/>
      <c r="F18" s="30">
        <f t="shared" ref="F18:F27" si="0">IF(D$12=0,0,D18/D$12)</f>
        <v>0</v>
      </c>
      <c r="G18" s="21"/>
      <c r="H18" s="21">
        <f>SUM(OSRRefH22x_0)</f>
        <v>5329.3879716076881</v>
      </c>
      <c r="I18" s="21"/>
      <c r="J18" s="30">
        <f t="shared" ref="J18:J27" si="1">IF(H$12=0,0,H18/H$12)</f>
        <v>0</v>
      </c>
      <c r="K18" s="4"/>
      <c r="L18" s="21">
        <f t="shared" ref="L18:L27" si="2">+D18-H18</f>
        <v>1879.9820283923109</v>
      </c>
      <c r="M18" s="4"/>
      <c r="N18" s="30">
        <f t="shared" ref="N18:N27" si="3">IF(H18=0,0,L18/H18)</f>
        <v>0.35275758462471007</v>
      </c>
      <c r="O18" s="10"/>
      <c r="P18" s="21">
        <f>SUM(OSRRefP22x_0)</f>
        <v>52341.259999999995</v>
      </c>
      <c r="Q18" s="21"/>
      <c r="R18" s="30">
        <f t="shared" ref="R18:R27" si="4">IF(P$12=0,0,P18/P$12)</f>
        <v>0</v>
      </c>
      <c r="S18" s="21"/>
      <c r="T18" s="21">
        <f>SUM(OSRRefT22x_0)</f>
        <v>34641.021815449982</v>
      </c>
      <c r="U18" s="21"/>
      <c r="V18" s="30">
        <f t="shared" ref="V18:V27" si="5">IF(T$12=0,0,T18/T$12)</f>
        <v>0</v>
      </c>
      <c r="W18" s="4"/>
      <c r="X18" s="21">
        <f t="shared" ref="X18:X27" si="6">+P18-T18</f>
        <v>17700.238184550013</v>
      </c>
      <c r="Y18" s="4"/>
      <c r="Z18" s="30">
        <f t="shared" ref="Z18:Z27" si="7">IF(T18=0,0,X18/T18)</f>
        <v>0.51096178048234309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2429.4699999999998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1216.7464130076919</v>
      </c>
      <c r="M19" s="1"/>
      <c r="N19" s="5">
        <f t="shared" si="3"/>
        <v>1.0033171829578751</v>
      </c>
      <c r="O19" s="13"/>
      <c r="P19" s="1">
        <f>SUM(OSRRefP22_0x_0)</f>
        <v>24462.3</v>
      </c>
      <c r="Q19" s="1"/>
      <c r="R19" s="5">
        <f t="shared" si="4"/>
        <v>0</v>
      </c>
      <c r="S19" s="1"/>
      <c r="T19" s="1">
        <f>SUM(OSRRefT22_0x_0)</f>
        <v>7882.7033154499995</v>
      </c>
      <c r="U19" s="1"/>
      <c r="V19" s="5">
        <f t="shared" si="5"/>
        <v>0</v>
      </c>
      <c r="W19" s="1"/>
      <c r="X19" s="1">
        <f t="shared" si="6"/>
        <v>16579.596684550001</v>
      </c>
      <c r="Y19" s="1"/>
      <c r="Z19" s="5">
        <f t="shared" si="7"/>
        <v>2.1032881767926237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241.11</v>
      </c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-108.94369483846197</v>
      </c>
      <c r="M20" s="2"/>
      <c r="N20" s="7">
        <f t="shared" si="3"/>
        <v>-0.3112199540951448</v>
      </c>
      <c r="O20" s="11"/>
      <c r="P20" s="6">
        <v>2138.64</v>
      </c>
      <c r="Q20" s="2"/>
      <c r="R20" s="7">
        <f t="shared" si="4"/>
        <v>0</v>
      </c>
      <c r="S20" s="2"/>
      <c r="T20" s="6">
        <v>2275.3490164500022</v>
      </c>
      <c r="U20" s="2"/>
      <c r="V20" s="7">
        <f t="shared" si="5"/>
        <v>0</v>
      </c>
      <c r="W20" s="2"/>
      <c r="X20" s="6">
        <f t="shared" si="6"/>
        <v>-136.70901645000231</v>
      </c>
      <c r="Y20" s="2"/>
      <c r="Z20" s="7">
        <f t="shared" si="7"/>
        <v>-6.0082657852330544E-2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25.66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25.66</v>
      </c>
      <c r="M21" s="2"/>
      <c r="N21" s="7">
        <f t="shared" si="3"/>
        <v>0</v>
      </c>
      <c r="O21" s="11"/>
      <c r="P21" s="6">
        <v>125.1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125.1</v>
      </c>
      <c r="Y21" s="2"/>
      <c r="Z21" s="7">
        <f t="shared" si="7"/>
        <v>0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931.95</v>
      </c>
      <c r="M22" s="2"/>
      <c r="N22" s="7">
        <f t="shared" si="3"/>
        <v>0</v>
      </c>
      <c r="O22" s="11"/>
      <c r="P22" s="6">
        <v>5591.7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5591.7</v>
      </c>
      <c r="Y22" s="2"/>
      <c r="Z22" s="7">
        <f t="shared" si="7"/>
        <v>0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19.62</v>
      </c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7.7274140000000013</v>
      </c>
      <c r="M23" s="2"/>
      <c r="N23" s="7">
        <f t="shared" si="3"/>
        <v>0.64976734244343504</v>
      </c>
      <c r="O23" s="11"/>
      <c r="P23" s="6">
        <v>108.15</v>
      </c>
      <c r="Q23" s="2"/>
      <c r="R23" s="7">
        <f t="shared" si="4"/>
        <v>0</v>
      </c>
      <c r="S23" s="2"/>
      <c r="T23" s="6">
        <v>77.301809000000006</v>
      </c>
      <c r="U23" s="2"/>
      <c r="V23" s="7">
        <f t="shared" si="5"/>
        <v>0</v>
      </c>
      <c r="W23" s="2"/>
      <c r="X23" s="6">
        <f t="shared" si="6"/>
        <v>30.848191</v>
      </c>
      <c r="Y23" s="2"/>
      <c r="Z23" s="7">
        <f t="shared" si="7"/>
        <v>0.39906169595591218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120.89984769230801</v>
      </c>
      <c r="M24" s="2"/>
      <c r="N24" s="7">
        <f t="shared" si="3"/>
        <v>0.3073437244362679</v>
      </c>
      <c r="O24" s="11"/>
      <c r="P24" s="6">
        <v>3994.94</v>
      </c>
      <c r="Q24" s="2"/>
      <c r="R24" s="7">
        <f t="shared" si="4"/>
        <v>0</v>
      </c>
      <c r="S24" s="2"/>
      <c r="T24" s="6">
        <v>2556.9059899999979</v>
      </c>
      <c r="U24" s="2"/>
      <c r="V24" s="7">
        <f t="shared" si="5"/>
        <v>0</v>
      </c>
      <c r="W24" s="2"/>
      <c r="X24" s="6">
        <f t="shared" si="6"/>
        <v>1438.0340100000021</v>
      </c>
      <c r="Y24" s="2"/>
      <c r="Z24" s="7">
        <f t="shared" si="7"/>
        <v>0.56241176469691145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7.3728461538460124</v>
      </c>
      <c r="M26" s="2"/>
      <c r="N26" s="7">
        <f t="shared" si="3"/>
        <v>1.6118781903279596E-2</v>
      </c>
      <c r="O26" s="11"/>
      <c r="P26" s="6">
        <v>4383.82</v>
      </c>
      <c r="Q26" s="2"/>
      <c r="R26" s="7">
        <f t="shared" si="4"/>
        <v>0</v>
      </c>
      <c r="S26" s="2"/>
      <c r="T26" s="6">
        <v>2973.1464999999998</v>
      </c>
      <c r="U26" s="2"/>
      <c r="V26" s="7">
        <f t="shared" si="5"/>
        <v>0</v>
      </c>
      <c r="W26" s="2"/>
      <c r="X26" s="6">
        <f t="shared" si="6"/>
        <v>1410.6734999999999</v>
      </c>
      <c r="Y26" s="2"/>
      <c r="Z26" s="7">
        <f t="shared" si="7"/>
        <v>0.47447157413871127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232.08</v>
      </c>
      <c r="M27" s="2"/>
      <c r="N27" s="7">
        <f t="shared" si="3"/>
        <v>0</v>
      </c>
      <c r="O27" s="11"/>
      <c r="P27" s="6">
        <v>8119.95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8119.95</v>
      </c>
      <c r="Y27" s="2"/>
      <c r="Z27" s="7">
        <f t="shared" si="7"/>
        <v>0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4779.8999999999996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663.23561538461945</v>
      </c>
      <c r="M28" s="1"/>
      <c r="N28" s="5">
        <f t="shared" ref="N28:N38" si="11">IF(H28=0,0,L28/H28)</f>
        <v>0.16110995539574099</v>
      </c>
      <c r="O28" s="13"/>
      <c r="P28" s="1">
        <f>SUM(OSRRefP22_1x_0)</f>
        <v>27878.959999999999</v>
      </c>
      <c r="Q28" s="1"/>
      <c r="R28" s="5">
        <f t="shared" ref="R28:R38" si="12">IF(P$12=0,0,P28/P$12)</f>
        <v>0</v>
      </c>
      <c r="S28" s="1"/>
      <c r="T28" s="1">
        <f>SUM(OSRRefT22_1x_0)</f>
        <v>26758.318499999979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1120.6415000000197</v>
      </c>
      <c r="Y28" s="1"/>
      <c r="Z28" s="5">
        <f t="shared" ref="Z28:Z38" si="15">IF(T28=0,0,X28/T28)</f>
        <v>4.1880116644848989E-2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4779.8999999999996</v>
      </c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663.23561538461945</v>
      </c>
      <c r="M29" s="2"/>
      <c r="N29" s="7">
        <f t="shared" si="11"/>
        <v>0.16110995539574099</v>
      </c>
      <c r="O29" s="11"/>
      <c r="P29" s="6">
        <v>27878.959999999999</v>
      </c>
      <c r="Q29" s="2"/>
      <c r="R29" s="7">
        <f t="shared" si="12"/>
        <v>0</v>
      </c>
      <c r="S29" s="2"/>
      <c r="T29" s="6">
        <v>26758.318499999979</v>
      </c>
      <c r="U29" s="2"/>
      <c r="V29" s="7">
        <f t="shared" si="13"/>
        <v>0</v>
      </c>
      <c r="W29" s="2"/>
      <c r="X29" s="6">
        <f t="shared" si="14"/>
        <v>1120.6415000000197</v>
      </c>
      <c r="Y29" s="2"/>
      <c r="Z29" s="7">
        <f t="shared" si="15"/>
        <v>4.1880116644848989E-2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53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4041.94</v>
      </c>
      <c r="E40" s="4"/>
      <c r="F40" s="12">
        <f t="shared" ref="F40:F44" si="16">IF(D$12=0,0,D40/D$12)</f>
        <v>0</v>
      </c>
      <c r="G40" s="4"/>
      <c r="H40" s="4">
        <f>SUM(OSRRefH25x_0)</f>
        <v>0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4041.94</v>
      </c>
      <c r="M40" s="4"/>
      <c r="N40" s="12">
        <f t="shared" ref="N40:N44" si="19">IF(H40=0,0,L40/H40)</f>
        <v>0</v>
      </c>
      <c r="O40" s="10"/>
      <c r="P40" s="4">
        <f>SUM(OSRRefP25x_0)</f>
        <v>330455.33</v>
      </c>
      <c r="Q40" s="4"/>
      <c r="R40" s="12">
        <f t="shared" ref="R40:R44" si="20">IF(P$12=0,0,P40/P$12)</f>
        <v>0</v>
      </c>
      <c r="S40" s="4"/>
      <c r="T40" s="4">
        <f>SUM(OSRRefT25x_0)</f>
        <v>297703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32752.330000000016</v>
      </c>
      <c r="Y40" s="4"/>
      <c r="Z40" s="12">
        <f t="shared" ref="Z40:Z44" si="23">IF(T40=0,0,X40/T40)</f>
        <v>0.11001679526239244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3" si="24">0</f>
        <v>0</v>
      </c>
      <c r="E41" s="2"/>
      <c r="F41" s="19">
        <f t="shared" si="16"/>
        <v>0</v>
      </c>
      <c r="G41" s="2"/>
      <c r="H41" s="2"/>
      <c r="I41" s="2"/>
      <c r="J41" s="19">
        <f t="shared" si="17"/>
        <v>0</v>
      </c>
      <c r="K41" s="2"/>
      <c r="L41" s="2">
        <f t="shared" si="18"/>
        <v>0</v>
      </c>
      <c r="M41" s="2"/>
      <c r="N41" s="19">
        <f t="shared" si="19"/>
        <v>0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39886</v>
      </c>
      <c r="U41" s="2"/>
      <c r="V41" s="19">
        <f t="shared" si="21"/>
        <v>0</v>
      </c>
      <c r="W41" s="2"/>
      <c r="X41" s="2">
        <f t="shared" si="22"/>
        <v>-39886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0</v>
      </c>
      <c r="I42" s="2"/>
      <c r="J42" s="19">
        <f t="shared" si="17"/>
        <v>0</v>
      </c>
      <c r="K42" s="2"/>
      <c r="L42" s="2">
        <f t="shared" si="18"/>
        <v>0</v>
      </c>
      <c r="M42" s="2"/>
      <c r="N42" s="19">
        <f t="shared" si="19"/>
        <v>0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257817</v>
      </c>
      <c r="U42" s="2"/>
      <c r="V42" s="19">
        <f t="shared" si="21"/>
        <v>0</v>
      </c>
      <c r="W42" s="2"/>
      <c r="X42" s="2">
        <f t="shared" si="22"/>
        <v>-257817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 t="shared" si="24"/>
        <v>0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0</v>
      </c>
      <c r="M43" s="2"/>
      <c r="N43" s="19">
        <f t="shared" si="19"/>
        <v>0</v>
      </c>
      <c r="O43" s="11"/>
      <c r="P43" s="2">
        <f>--103039.27</f>
        <v>103039.27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103039.27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--4041.94</f>
        <v>4041.94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4041.94</v>
      </c>
      <c r="M44" s="2"/>
      <c r="N44" s="19">
        <f t="shared" si="19"/>
        <v>0</v>
      </c>
      <c r="O44" s="11"/>
      <c r="P44" s="2">
        <f>--227416.06</f>
        <v>227416.06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227416.06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+D16-D18+D40</f>
        <v>-3167.4299999999989</v>
      </c>
      <c r="E46" s="14"/>
      <c r="F46" s="20">
        <f>IF(D$12=0,0,D46/D$12)</f>
        <v>0</v>
      </c>
      <c r="G46" s="14"/>
      <c r="H46" s="22">
        <f>+H16-H18+H40</f>
        <v>-5329.3879716076881</v>
      </c>
      <c r="I46" s="14"/>
      <c r="J46" s="20">
        <f>IF(H$12=0,0,H46/H$12)</f>
        <v>0</v>
      </c>
      <c r="K46" s="16"/>
      <c r="L46" s="22">
        <f>+D46-H46</f>
        <v>2161.9579716076892</v>
      </c>
      <c r="M46" s="16"/>
      <c r="N46" s="20">
        <f>IF(H46=0,0,L46/H46)</f>
        <v>-0.40566721415770801</v>
      </c>
      <c r="O46" s="28"/>
      <c r="P46" s="22">
        <f>+P16-P18+P40</f>
        <v>278114.07</v>
      </c>
      <c r="Q46" s="14"/>
      <c r="R46" s="20">
        <f>IF(P$12=0,0,P46/P$12)</f>
        <v>0</v>
      </c>
      <c r="S46" s="14"/>
      <c r="T46" s="22">
        <f>+T16-T18+T40</f>
        <v>263061.97818455001</v>
      </c>
      <c r="U46" s="14"/>
      <c r="V46" s="20">
        <f>IF(T$12=0,0,T46/T$12)</f>
        <v>0</v>
      </c>
      <c r="W46" s="16"/>
      <c r="X46" s="22">
        <f>+P46-T46</f>
        <v>15052.091815449996</v>
      </c>
      <c r="Y46" s="16"/>
      <c r="Z46" s="20">
        <f>IF(T46=0,0,X46/T46)</f>
        <v>5.7218804174316157E-2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1">
        <f>+D46-D48</f>
        <v>-3167.4299999999989</v>
      </c>
      <c r="E50" s="14"/>
      <c r="F50" s="32">
        <f>IF(D$12=0,0,D50/D$12)</f>
        <v>0</v>
      </c>
      <c r="G50" s="14"/>
      <c r="H50" s="31">
        <f>+H46-H48</f>
        <v>-5329.3879716076881</v>
      </c>
      <c r="I50" s="14"/>
      <c r="J50" s="32">
        <f>IF(H$12=0,0,H50/H$12)</f>
        <v>0</v>
      </c>
      <c r="K50" s="16"/>
      <c r="L50" s="31">
        <f>D50-H50</f>
        <v>2161.9579716076892</v>
      </c>
      <c r="M50" s="16"/>
      <c r="N50" s="32">
        <f>IF(H50=0,0,L50/H50)</f>
        <v>-0.40566721415770801</v>
      </c>
      <c r="O50" s="28"/>
      <c r="P50" s="31">
        <f>+P46-P48</f>
        <v>278114.07</v>
      </c>
      <c r="Q50" s="14"/>
      <c r="R50" s="32">
        <f>IF(P$12=0,0,P50/P$12)</f>
        <v>0</v>
      </c>
      <c r="S50" s="14"/>
      <c r="T50" s="31">
        <f>+T46-T48</f>
        <v>263061.97818455001</v>
      </c>
      <c r="U50" s="14"/>
      <c r="V50" s="32">
        <f>IF(T$12=0,0,T50/T$12)</f>
        <v>0</v>
      </c>
      <c r="W50" s="16"/>
      <c r="X50" s="31">
        <f>P50-T50</f>
        <v>15052.091815449996</v>
      </c>
      <c r="Y50" s="16"/>
      <c r="Z50" s="32">
        <f>IF(T50=0,0,X50/T50)</f>
        <v>5.7218804174316157E-2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5">
        <f>SUM(D50:D52)</f>
        <v>-3167.4299999999989</v>
      </c>
      <c r="E53" s="14"/>
      <c r="F53" s="34">
        <f>IF(D$12=0,0,D53/D$12)</f>
        <v>0</v>
      </c>
      <c r="G53" s="14"/>
      <c r="H53" s="35">
        <f>SUM(H50:H52)</f>
        <v>-5329.3879716076881</v>
      </c>
      <c r="I53" s="14"/>
      <c r="J53" s="34">
        <f>IF(H$12=0,0,H53/H$12)</f>
        <v>0</v>
      </c>
      <c r="K53" s="16"/>
      <c r="L53" s="35">
        <f>+D53-H53</f>
        <v>2161.9579716076892</v>
      </c>
      <c r="M53" s="16"/>
      <c r="N53" s="34">
        <f>IF(H53=0,0,L53/H53)</f>
        <v>-0.40566721415770801</v>
      </c>
      <c r="O53" s="28"/>
      <c r="P53" s="35">
        <f>SUM(P50:P52)</f>
        <v>278114.07</v>
      </c>
      <c r="Q53" s="14"/>
      <c r="R53" s="34">
        <f>IF(P$12=0,0,P53/P$12)</f>
        <v>0</v>
      </c>
      <c r="S53" s="14"/>
      <c r="T53" s="35">
        <f>SUM(T50:T52)</f>
        <v>263061.97818455001</v>
      </c>
      <c r="U53" s="14"/>
      <c r="V53" s="34">
        <f>IF(T$12=0,0,T53/T$12)</f>
        <v>0</v>
      </c>
      <c r="W53" s="16"/>
      <c r="X53" s="35">
        <f>+P53-T53</f>
        <v>15052.091815449996</v>
      </c>
      <c r="Y53" s="16"/>
      <c r="Z53" s="34">
        <f>IF(T53=0,0,X53/T53)</f>
        <v>5.7218804174316157E-2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63">
        <v>43847.446462928237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55" t="s">
        <v>314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6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302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798614.27</v>
      </c>
      <c r="E12" s="4"/>
      <c r="F12" s="12"/>
      <c r="G12" s="4"/>
      <c r="H12" s="4">
        <f>SUM(OSRRefH13x_0)</f>
        <v>858957</v>
      </c>
      <c r="I12" s="4"/>
      <c r="J12" s="12"/>
      <c r="K12" s="4"/>
      <c r="L12" s="4">
        <f t="shared" ref="L12:L18" si="0">+D12-H12</f>
        <v>-60342.729999999981</v>
      </c>
      <c r="M12" s="4"/>
      <c r="N12" s="12">
        <f t="shared" ref="N12:N18" si="1">IF(H12=0,0,L12/H12)</f>
        <v>-7.0251165075783745E-2</v>
      </c>
      <c r="O12" s="10"/>
      <c r="P12" s="4">
        <f>SUM(OSRRefP13x_0)</f>
        <v>6088314.1300000008</v>
      </c>
      <c r="Q12" s="4"/>
      <c r="R12" s="12"/>
      <c r="S12" s="4"/>
      <c r="T12" s="4">
        <f>SUM(OSRRefT13x_0)</f>
        <v>6048971</v>
      </c>
      <c r="U12" s="4"/>
      <c r="V12" s="12"/>
      <c r="W12" s="4"/>
      <c r="X12" s="4">
        <f t="shared" ref="X12:X18" si="2">+P12-T12</f>
        <v>39343.13000000082</v>
      </c>
      <c r="Y12" s="4"/>
      <c r="Z12" s="12">
        <f t="shared" ref="Z12:Z18" si="3">IF(T12=0,0,X12/T12)</f>
        <v>6.5041029292421506E-3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--683.32</f>
        <v>683.32</v>
      </c>
      <c r="E13" s="2"/>
      <c r="F13" s="19"/>
      <c r="G13" s="2"/>
      <c r="H13" s="2"/>
      <c r="I13" s="2"/>
      <c r="J13" s="19"/>
      <c r="K13" s="2"/>
      <c r="L13" s="2">
        <f t="shared" si="0"/>
        <v>683.32</v>
      </c>
      <c r="M13" s="2"/>
      <c r="N13" s="19">
        <f t="shared" si="1"/>
        <v>0</v>
      </c>
      <c r="O13" s="11"/>
      <c r="P13" s="2">
        <f>--20338.96</f>
        <v>20338.96</v>
      </c>
      <c r="Q13" s="2"/>
      <c r="R13" s="19"/>
      <c r="S13" s="2"/>
      <c r="T13" s="2"/>
      <c r="U13" s="2"/>
      <c r="V13" s="19"/>
      <c r="W13" s="2"/>
      <c r="X13" s="2">
        <f t="shared" si="2"/>
        <v>20338.96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--169.57</f>
        <v>169.57</v>
      </c>
      <c r="E14" s="2"/>
      <c r="F14" s="19"/>
      <c r="G14" s="2"/>
      <c r="H14" s="2"/>
      <c r="I14" s="2"/>
      <c r="J14" s="19"/>
      <c r="K14" s="2"/>
      <c r="L14" s="2">
        <f t="shared" si="0"/>
        <v>169.57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858957</v>
      </c>
      <c r="I15" s="2"/>
      <c r="J15" s="19"/>
      <c r="K15" s="2"/>
      <c r="L15" s="2">
        <f t="shared" si="0"/>
        <v>-858957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6048971</v>
      </c>
      <c r="U15" s="2"/>
      <c r="V15" s="19"/>
      <c r="W15" s="2"/>
      <c r="X15" s="2">
        <f t="shared" si="2"/>
        <v>-6048971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--786298.91</f>
        <v>786298.91</v>
      </c>
      <c r="E16" s="2"/>
      <c r="F16" s="19"/>
      <c r="G16" s="2"/>
      <c r="H16" s="2"/>
      <c r="I16" s="2"/>
      <c r="J16" s="19"/>
      <c r="K16" s="2"/>
      <c r="L16" s="2">
        <f t="shared" si="0"/>
        <v>786298.91</v>
      </c>
      <c r="M16" s="2"/>
      <c r="N16" s="19">
        <f t="shared" si="1"/>
        <v>0</v>
      </c>
      <c r="O16" s="11"/>
      <c r="P16" s="2">
        <f>--5840511.24</f>
        <v>5840511.2400000002</v>
      </c>
      <c r="Q16" s="2"/>
      <c r="R16" s="19"/>
      <c r="S16" s="2"/>
      <c r="T16" s="2"/>
      <c r="U16" s="2"/>
      <c r="V16" s="19"/>
      <c r="W16" s="2"/>
      <c r="X16" s="2">
        <f t="shared" si="2"/>
        <v>5840511.2400000002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--10760.38</f>
        <v>10760.38</v>
      </c>
      <c r="E17" s="2"/>
      <c r="F17" s="19"/>
      <c r="G17" s="2"/>
      <c r="H17" s="2"/>
      <c r="I17" s="2"/>
      <c r="J17" s="19"/>
      <c r="K17" s="2"/>
      <c r="L17" s="2">
        <f t="shared" si="0"/>
        <v>10760.38</v>
      </c>
      <c r="M17" s="2"/>
      <c r="N17" s="19">
        <f t="shared" si="1"/>
        <v>0</v>
      </c>
      <c r="O17" s="11"/>
      <c r="P17" s="2">
        <f>--222756.54</f>
        <v>222756.54</v>
      </c>
      <c r="Q17" s="2"/>
      <c r="R17" s="19"/>
      <c r="S17" s="2"/>
      <c r="T17" s="2"/>
      <c r="U17" s="2"/>
      <c r="V17" s="19"/>
      <c r="W17" s="2"/>
      <c r="X17" s="2">
        <f t="shared" si="2"/>
        <v>222756.54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--702.09</f>
        <v>702.09</v>
      </c>
      <c r="E18" s="2"/>
      <c r="F18" s="19"/>
      <c r="G18" s="2"/>
      <c r="H18" s="2"/>
      <c r="I18" s="2"/>
      <c r="J18" s="19"/>
      <c r="K18" s="2"/>
      <c r="L18" s="2">
        <f t="shared" si="0"/>
        <v>702.09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192568.73</v>
      </c>
      <c r="E20" s="4"/>
      <c r="F20" s="12">
        <f t="shared" ref="F20:F23" si="4">IF(D$12=0,0,D20/D$12)</f>
        <v>0.24112858639503149</v>
      </c>
      <c r="G20" s="4"/>
      <c r="H20" s="4">
        <f>SUM(OSRRefH16x_0)</f>
        <v>224261.28</v>
      </c>
      <c r="I20" s="4"/>
      <c r="J20" s="12">
        <f t="shared" ref="J20:J23" si="5">IF(H$12=0,0,H20/H$12)</f>
        <v>0.26108557238604496</v>
      </c>
      <c r="K20" s="4"/>
      <c r="L20" s="4">
        <f t="shared" ref="L20:L23" si="6">+D20-H20</f>
        <v>-31692.549999999988</v>
      </c>
      <c r="M20" s="4"/>
      <c r="N20" s="12">
        <f t="shared" ref="N20:N23" si="7">IF(H20=0,0,L20/H20)</f>
        <v>-0.14131975880990238</v>
      </c>
      <c r="O20" s="10"/>
      <c r="P20" s="4">
        <f>SUM(OSRRefP16x_0)</f>
        <v>1463991.78</v>
      </c>
      <c r="Q20" s="4"/>
      <c r="R20" s="12">
        <f t="shared" ref="R20:R23" si="8">IF(P$12=0,0,P20/P$12)</f>
        <v>0.2404593042902009</v>
      </c>
      <c r="S20" s="4"/>
      <c r="T20" s="4">
        <f>SUM(OSRRefT16x_0)</f>
        <v>1606096.49</v>
      </c>
      <c r="U20" s="4"/>
      <c r="V20" s="12">
        <f t="shared" ref="V20:V23" si="9">IF(T$12=0,0,T20/T$12)</f>
        <v>0.26551565381946779</v>
      </c>
      <c r="W20" s="4"/>
      <c r="X20" s="4">
        <f t="shared" ref="X20:X23" si="10">+P20-T20</f>
        <v>-142104.70999999996</v>
      </c>
      <c r="Y20" s="4"/>
      <c r="Z20" s="12">
        <f t="shared" ref="Z20:Z23" si="11">IF(T20=0,0,X20/T20)</f>
        <v>-8.8478314276124195E-2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224261.28</v>
      </c>
      <c r="I21" s="2"/>
      <c r="J21" s="19">
        <f t="shared" si="5"/>
        <v>0.26108557238604496</v>
      </c>
      <c r="K21" s="2"/>
      <c r="L21" s="2">
        <f t="shared" si="6"/>
        <v>-224261.28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1606096.49</v>
      </c>
      <c r="U21" s="2"/>
      <c r="V21" s="19">
        <f t="shared" si="9"/>
        <v>0.26551565381946779</v>
      </c>
      <c r="W21" s="2"/>
      <c r="X21" s="2">
        <f t="shared" si="10"/>
        <v>-1606096.49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182624.73</v>
      </c>
      <c r="E22" s="2"/>
      <c r="F22" s="19">
        <f t="shared" si="4"/>
        <v>0.22867701825563425</v>
      </c>
      <c r="G22" s="2"/>
      <c r="H22" s="2"/>
      <c r="I22" s="2"/>
      <c r="J22" s="19">
        <f t="shared" si="5"/>
        <v>0</v>
      </c>
      <c r="K22" s="2"/>
      <c r="L22" s="2">
        <f t="shared" si="6"/>
        <v>182624.73</v>
      </c>
      <c r="M22" s="2"/>
      <c r="N22" s="19">
        <f t="shared" si="7"/>
        <v>0</v>
      </c>
      <c r="O22" s="11"/>
      <c r="P22" s="2">
        <v>1457811.04</v>
      </c>
      <c r="Q22" s="2"/>
      <c r="R22" s="19">
        <f t="shared" si="8"/>
        <v>0.2394441234260033</v>
      </c>
      <c r="S22" s="2"/>
      <c r="T22" s="2"/>
      <c r="U22" s="2"/>
      <c r="V22" s="19">
        <f t="shared" si="9"/>
        <v>0</v>
      </c>
      <c r="W22" s="2"/>
      <c r="X22" s="2">
        <f t="shared" si="10"/>
        <v>1457811.04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9944</v>
      </c>
      <c r="E23" s="2"/>
      <c r="F23" s="19">
        <f t="shared" si="4"/>
        <v>1.2451568139397259E-2</v>
      </c>
      <c r="G23" s="2"/>
      <c r="H23" s="2"/>
      <c r="I23" s="2"/>
      <c r="J23" s="19">
        <f t="shared" si="5"/>
        <v>0</v>
      </c>
      <c r="K23" s="2"/>
      <c r="L23" s="2">
        <f t="shared" si="6"/>
        <v>9944</v>
      </c>
      <c r="M23" s="2"/>
      <c r="N23" s="19">
        <f t="shared" si="7"/>
        <v>0</v>
      </c>
      <c r="O23" s="11"/>
      <c r="P23" s="2">
        <v>6180.74</v>
      </c>
      <c r="Q23" s="2"/>
      <c r="R23" s="19">
        <f t="shared" si="8"/>
        <v>1.015180864197623E-3</v>
      </c>
      <c r="S23" s="2"/>
      <c r="T23" s="2"/>
      <c r="U23" s="2"/>
      <c r="V23" s="19">
        <f t="shared" si="9"/>
        <v>0</v>
      </c>
      <c r="W23" s="2"/>
      <c r="X23" s="2">
        <f t="shared" si="10"/>
        <v>6180.74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606045.54</v>
      </c>
      <c r="E25" s="14"/>
      <c r="F25" s="20">
        <f>IF(D$12=0,0,D25/D$12)</f>
        <v>0.75887141360496857</v>
      </c>
      <c r="G25" s="14"/>
      <c r="H25" s="22">
        <f>H12-H20</f>
        <v>634695.72</v>
      </c>
      <c r="I25" s="14"/>
      <c r="J25" s="20">
        <f>IF(H$12=0,0,H25/H$12)</f>
        <v>0.73891442761395498</v>
      </c>
      <c r="K25" s="16"/>
      <c r="L25" s="22">
        <f>+D25-H25</f>
        <v>-28650.179999999935</v>
      </c>
      <c r="M25" s="16"/>
      <c r="N25" s="20">
        <f>IF(H25=0,0,L25/H25)</f>
        <v>-4.5140023947222989E-2</v>
      </c>
      <c r="O25" s="28"/>
      <c r="P25" s="22">
        <f>P12-P20</f>
        <v>4624322.3500000006</v>
      </c>
      <c r="Q25" s="14"/>
      <c r="R25" s="20">
        <f>IF(P$12=0,0,P25/P$12)</f>
        <v>0.7595406957097991</v>
      </c>
      <c r="S25" s="14"/>
      <c r="T25" s="22">
        <f>T12-T20</f>
        <v>4442874.51</v>
      </c>
      <c r="U25" s="14"/>
      <c r="V25" s="20">
        <f>IF(T$12=0,0,T25/T$12)</f>
        <v>0.73448434618053215</v>
      </c>
      <c r="W25" s="16"/>
      <c r="X25" s="22">
        <f>+P25-T25</f>
        <v>181447.84000000078</v>
      </c>
      <c r="Y25" s="16"/>
      <c r="Z25" s="20">
        <f>IF(T25=0,0,X25/T25)</f>
        <v>4.0840190194793687E-2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419899.1399999999</v>
      </c>
      <c r="E27" s="21"/>
      <c r="F27" s="30">
        <f t="shared" ref="F27:F38" si="12">IF(D$12=0,0,D27/D$12)</f>
        <v>0.52578466948756108</v>
      </c>
      <c r="G27" s="21"/>
      <c r="H27" s="21">
        <f>SUM(OSRRefH22x_0)</f>
        <v>432879.74146790028</v>
      </c>
      <c r="I27" s="21"/>
      <c r="J27" s="30">
        <f t="shared" ref="J27:J38" si="13">IF(H$12=0,0,H27/H$12)</f>
        <v>0.50395973426830476</v>
      </c>
      <c r="K27" s="4"/>
      <c r="L27" s="21">
        <f t="shared" ref="L27:L38" si="14">+D27-H27</f>
        <v>-12980.601467900386</v>
      </c>
      <c r="M27" s="4"/>
      <c r="N27" s="30">
        <f t="shared" ref="N27:N38" si="15">IF(H27=0,0,L27/H27)</f>
        <v>-2.9986622667725251E-2</v>
      </c>
      <c r="O27" s="10"/>
      <c r="P27" s="21">
        <f>SUM(OSRRefP22x_0)</f>
        <v>2944569.6299999994</v>
      </c>
      <c r="Q27" s="21"/>
      <c r="R27" s="30">
        <f t="shared" ref="R27:R38" si="16">IF(P$12=0,0,P27/P$12)</f>
        <v>0.48364285533341872</v>
      </c>
      <c r="S27" s="21"/>
      <c r="T27" s="21">
        <f>SUM(OSRRefT22x_0)</f>
        <v>2901000.7582896994</v>
      </c>
      <c r="U27" s="21"/>
      <c r="V27" s="30">
        <f t="shared" ref="V27:V38" si="17">IF(T$12=0,0,T27/T$12)</f>
        <v>0.47958582679429268</v>
      </c>
      <c r="W27" s="4"/>
      <c r="X27" s="21">
        <f t="shared" ref="X27:X38" si="18">+P27-T27</f>
        <v>43568.87171029998</v>
      </c>
      <c r="Y27" s="4"/>
      <c r="Z27" s="30">
        <f t="shared" ref="Z27:Z38" si="19">IF(T27=0,0,X27/T27)</f>
        <v>1.5018566122673558E-2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99500.830000000016</v>
      </c>
      <c r="E28" s="1"/>
      <c r="F28" s="5">
        <f t="shared" si="12"/>
        <v>0.12459185083181648</v>
      </c>
      <c r="G28" s="1"/>
      <c r="H28" s="1">
        <f>SUM(OSRRefH22_0x_0)</f>
        <v>80032.30106813107</v>
      </c>
      <c r="I28" s="1"/>
      <c r="J28" s="5">
        <f t="shared" si="13"/>
        <v>9.3173815532245588E-2</v>
      </c>
      <c r="K28" s="1"/>
      <c r="L28" s="1">
        <f t="shared" si="14"/>
        <v>19468.528931868947</v>
      </c>
      <c r="M28" s="1"/>
      <c r="N28" s="5">
        <f t="shared" si="15"/>
        <v>0.2432583928243609</v>
      </c>
      <c r="O28" s="13"/>
      <c r="P28" s="1">
        <f>SUM(OSRRefP22_0x_0)</f>
        <v>569418.77</v>
      </c>
      <c r="Q28" s="1"/>
      <c r="R28" s="5">
        <f t="shared" si="16"/>
        <v>9.3526509611947362E-2</v>
      </c>
      <c r="S28" s="1"/>
      <c r="T28" s="1">
        <f>SUM(OSRRefT22_0x_0)</f>
        <v>523103.21889969963</v>
      </c>
      <c r="U28" s="1"/>
      <c r="V28" s="5">
        <f t="shared" si="17"/>
        <v>8.6478050382403818E-2</v>
      </c>
      <c r="W28" s="1"/>
      <c r="X28" s="1">
        <f t="shared" si="18"/>
        <v>46315.551100300392</v>
      </c>
      <c r="Y28" s="1"/>
      <c r="Z28" s="5">
        <f t="shared" si="19"/>
        <v>8.8539984895755319E-2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>
        <v>12150.98</v>
      </c>
      <c r="E29" s="2"/>
      <c r="F29" s="7">
        <f t="shared" si="12"/>
        <v>1.52150799909949E-2</v>
      </c>
      <c r="G29" s="2"/>
      <c r="H29" s="6">
        <v>10968.988519760309</v>
      </c>
      <c r="I29" s="2"/>
      <c r="J29" s="7">
        <f t="shared" si="13"/>
        <v>1.277012530285021E-2</v>
      </c>
      <c r="K29" s="2"/>
      <c r="L29" s="6">
        <f t="shared" si="14"/>
        <v>1181.9914802396906</v>
      </c>
      <c r="M29" s="2"/>
      <c r="N29" s="7">
        <f t="shared" si="15"/>
        <v>0.10775756380001382</v>
      </c>
      <c r="O29" s="11"/>
      <c r="P29" s="6">
        <v>86097.69</v>
      </c>
      <c r="Q29" s="2"/>
      <c r="R29" s="7">
        <f t="shared" si="16"/>
        <v>1.4141466448939616E-2</v>
      </c>
      <c r="S29" s="2"/>
      <c r="T29" s="6">
        <v>80056.387482552018</v>
      </c>
      <c r="U29" s="2"/>
      <c r="V29" s="7">
        <f t="shared" si="17"/>
        <v>1.3234711735690586E-2</v>
      </c>
      <c r="W29" s="2"/>
      <c r="X29" s="6">
        <f t="shared" si="18"/>
        <v>6041.3025174479844</v>
      </c>
      <c r="Y29" s="2"/>
      <c r="Z29" s="7">
        <f t="shared" si="19"/>
        <v>7.5463091795950232E-2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13524.22</v>
      </c>
      <c r="E30" s="2"/>
      <c r="F30" s="7">
        <f t="shared" si="12"/>
        <v>1.6934608493785114E-2</v>
      </c>
      <c r="G30" s="2"/>
      <c r="H30" s="6">
        <v>8974.3458511415392</v>
      </c>
      <c r="I30" s="2"/>
      <c r="J30" s="7">
        <f t="shared" si="13"/>
        <v>1.0447957058550707E-2</v>
      </c>
      <c r="K30" s="2"/>
      <c r="L30" s="6">
        <f t="shared" si="14"/>
        <v>4549.8741488584601</v>
      </c>
      <c r="M30" s="2"/>
      <c r="N30" s="7">
        <f t="shared" si="15"/>
        <v>0.50698671795445849</v>
      </c>
      <c r="O30" s="11"/>
      <c r="P30" s="6">
        <v>48256.460000000006</v>
      </c>
      <c r="Q30" s="2"/>
      <c r="R30" s="7">
        <f t="shared" si="16"/>
        <v>7.9260792018298835E-3</v>
      </c>
      <c r="S30" s="2"/>
      <c r="T30" s="6">
        <v>60296.487398480007</v>
      </c>
      <c r="U30" s="2"/>
      <c r="V30" s="7">
        <f t="shared" si="17"/>
        <v>9.968056946955111E-3</v>
      </c>
      <c r="W30" s="2"/>
      <c r="X30" s="6">
        <f t="shared" si="18"/>
        <v>-12040.027398480001</v>
      </c>
      <c r="Y30" s="2"/>
      <c r="Z30" s="7">
        <f t="shared" si="19"/>
        <v>-0.19968041121386307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>
        <v>49539.45</v>
      </c>
      <c r="E31" s="2"/>
      <c r="F31" s="7">
        <f t="shared" si="12"/>
        <v>6.2031761591237279E-2</v>
      </c>
      <c r="G31" s="2"/>
      <c r="H31" s="6">
        <v>44401.692307692305</v>
      </c>
      <c r="I31" s="2"/>
      <c r="J31" s="7">
        <f t="shared" si="13"/>
        <v>5.1692567040832436E-2</v>
      </c>
      <c r="K31" s="2"/>
      <c r="L31" s="6">
        <f t="shared" si="14"/>
        <v>5137.7576923076922</v>
      </c>
      <c r="M31" s="2"/>
      <c r="N31" s="7">
        <f t="shared" si="15"/>
        <v>0.11571085301669029</v>
      </c>
      <c r="O31" s="11"/>
      <c r="P31" s="6">
        <v>277959.5</v>
      </c>
      <c r="Q31" s="2"/>
      <c r="R31" s="7">
        <f t="shared" si="16"/>
        <v>4.5654592398634987E-2</v>
      </c>
      <c r="S31" s="2"/>
      <c r="T31" s="6">
        <v>279983.30769230757</v>
      </c>
      <c r="U31" s="2"/>
      <c r="V31" s="7">
        <f t="shared" si="17"/>
        <v>4.6286105139586149E-2</v>
      </c>
      <c r="W31" s="2"/>
      <c r="X31" s="6">
        <f t="shared" si="18"/>
        <v>-2023.8076923075714</v>
      </c>
      <c r="Y31" s="2"/>
      <c r="Z31" s="7">
        <f t="shared" si="19"/>
        <v>-7.2283155341948792E-3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>
        <v>912.1</v>
      </c>
      <c r="E32" s="2"/>
      <c r="F32" s="7">
        <f t="shared" si="12"/>
        <v>1.1421033085221479E-3</v>
      </c>
      <c r="G32" s="2"/>
      <c r="H32" s="6">
        <v>603.56291785999997</v>
      </c>
      <c r="I32" s="2"/>
      <c r="J32" s="7">
        <f t="shared" si="13"/>
        <v>7.0266953742736829E-4</v>
      </c>
      <c r="K32" s="2"/>
      <c r="L32" s="6">
        <f t="shared" si="14"/>
        <v>308.53708214000005</v>
      </c>
      <c r="M32" s="2"/>
      <c r="N32" s="7">
        <f t="shared" si="15"/>
        <v>0.51119290634015901</v>
      </c>
      <c r="O32" s="11"/>
      <c r="P32" s="6">
        <v>4225.17</v>
      </c>
      <c r="Q32" s="2"/>
      <c r="R32" s="7">
        <f t="shared" si="16"/>
        <v>6.9398028908866432E-4</v>
      </c>
      <c r="S32" s="2"/>
      <c r="T32" s="6">
        <v>4053.2886019600001</v>
      </c>
      <c r="U32" s="2"/>
      <c r="V32" s="7">
        <f t="shared" si="17"/>
        <v>6.7007902698822661E-4</v>
      </c>
      <c r="W32" s="2"/>
      <c r="X32" s="6">
        <f t="shared" si="18"/>
        <v>171.88139804000002</v>
      </c>
      <c r="Y32" s="2"/>
      <c r="Z32" s="7">
        <f t="shared" si="19"/>
        <v>4.2405418147843064E-2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>
        <v>3993.41</v>
      </c>
      <c r="E33" s="2"/>
      <c r="F33" s="7">
        <f t="shared" si="12"/>
        <v>5.0004240470183431E-3</v>
      </c>
      <c r="G33" s="2"/>
      <c r="H33" s="6">
        <v>3642.2280791384651</v>
      </c>
      <c r="I33" s="2"/>
      <c r="J33" s="7">
        <f t="shared" si="13"/>
        <v>4.2402915153360006E-3</v>
      </c>
      <c r="K33" s="2"/>
      <c r="L33" s="6">
        <f t="shared" si="14"/>
        <v>351.18192086153476</v>
      </c>
      <c r="M33" s="2"/>
      <c r="N33" s="7">
        <f t="shared" si="15"/>
        <v>9.6419530361921635E-2</v>
      </c>
      <c r="O33" s="11"/>
      <c r="P33" s="6">
        <v>25906.54</v>
      </c>
      <c r="Q33" s="2"/>
      <c r="R33" s="7">
        <f t="shared" si="16"/>
        <v>4.255125383945982E-3</v>
      </c>
      <c r="S33" s="2"/>
      <c r="T33" s="6">
        <v>23674.482514400021</v>
      </c>
      <c r="U33" s="2"/>
      <c r="V33" s="7">
        <f t="shared" si="17"/>
        <v>3.9138032756976388E-3</v>
      </c>
      <c r="W33" s="2"/>
      <c r="X33" s="6">
        <f t="shared" si="18"/>
        <v>2232.0574855999803</v>
      </c>
      <c r="Y33" s="2"/>
      <c r="Z33" s="7">
        <f t="shared" si="19"/>
        <v>9.4281152048089317E-2</v>
      </c>
    </row>
    <row r="34" spans="1:26" s="24" customFormat="1" hidden="1" outlineLevel="2" x14ac:dyDescent="0.25">
      <c r="A34" s="26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6"/>
      <c r="B35" s="11" t="str">
        <f>CONCATENATE("          ", "6117", " - ", "RETIREMENT STAFF HOURLY")</f>
        <v xml:space="preserve">          6117 - RETIREMENT STAFF HOURLY</v>
      </c>
      <c r="C35" s="11"/>
      <c r="D35" s="6">
        <v>2203.6</v>
      </c>
      <c r="E35" s="2"/>
      <c r="F35" s="7">
        <f t="shared" si="12"/>
        <v>2.7592795205124494E-3</v>
      </c>
      <c r="G35" s="2"/>
      <c r="H35" s="6"/>
      <c r="I35" s="2"/>
      <c r="J35" s="7">
        <f t="shared" si="13"/>
        <v>0</v>
      </c>
      <c r="K35" s="2"/>
      <c r="L35" s="6">
        <f t="shared" si="14"/>
        <v>2203.6</v>
      </c>
      <c r="M35" s="2"/>
      <c r="N35" s="7">
        <f t="shared" si="15"/>
        <v>0</v>
      </c>
      <c r="O35" s="11"/>
      <c r="P35" s="6">
        <v>10468.01</v>
      </c>
      <c r="Q35" s="2"/>
      <c r="R35" s="7">
        <f t="shared" si="16"/>
        <v>1.7193610212093309E-3</v>
      </c>
      <c r="S35" s="2"/>
      <c r="T35" s="6"/>
      <c r="U35" s="2"/>
      <c r="V35" s="7">
        <f t="shared" si="17"/>
        <v>0</v>
      </c>
      <c r="W35" s="2"/>
      <c r="X35" s="6">
        <f t="shared" si="18"/>
        <v>10468.01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6">
        <v>8059.5</v>
      </c>
      <c r="E36" s="2"/>
      <c r="F36" s="7">
        <f t="shared" si="12"/>
        <v>1.0091855734057945E-2</v>
      </c>
      <c r="G36" s="2"/>
      <c r="H36" s="6">
        <v>3611.6687587692322</v>
      </c>
      <c r="I36" s="2"/>
      <c r="J36" s="7">
        <f t="shared" si="13"/>
        <v>4.2047142741362285E-3</v>
      </c>
      <c r="K36" s="2"/>
      <c r="L36" s="6">
        <f t="shared" si="14"/>
        <v>4447.8312412307678</v>
      </c>
      <c r="M36" s="2"/>
      <c r="N36" s="7">
        <f t="shared" si="15"/>
        <v>1.2315169353311568</v>
      </c>
      <c r="O36" s="11"/>
      <c r="P36" s="6">
        <v>53556</v>
      </c>
      <c r="Q36" s="2"/>
      <c r="R36" s="7">
        <f t="shared" si="16"/>
        <v>8.7965237759504364E-3</v>
      </c>
      <c r="S36" s="2"/>
      <c r="T36" s="6">
        <v>23447.122291999996</v>
      </c>
      <c r="U36" s="2"/>
      <c r="V36" s="7">
        <f t="shared" si="17"/>
        <v>3.8762166808205887E-3</v>
      </c>
      <c r="W36" s="2"/>
      <c r="X36" s="6">
        <f t="shared" si="18"/>
        <v>30108.877708000004</v>
      </c>
      <c r="Y36" s="2"/>
      <c r="Z36" s="7">
        <f t="shared" si="19"/>
        <v>1.2841182526809678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6">
        <v>5433.97</v>
      </c>
      <c r="E37" s="2"/>
      <c r="F37" s="7">
        <f t="shared" si="12"/>
        <v>6.8042485642035924E-3</v>
      </c>
      <c r="G37" s="2"/>
      <c r="H37" s="6">
        <v>6329.8146337692306</v>
      </c>
      <c r="I37" s="2"/>
      <c r="J37" s="7">
        <f t="shared" si="13"/>
        <v>7.3691868554179437E-3</v>
      </c>
      <c r="K37" s="2"/>
      <c r="L37" s="6">
        <f t="shared" si="14"/>
        <v>-895.84463376923031</v>
      </c>
      <c r="M37" s="2"/>
      <c r="N37" s="7">
        <f t="shared" si="15"/>
        <v>-0.14152778329241206</v>
      </c>
      <c r="O37" s="11"/>
      <c r="P37" s="6">
        <v>41403.599999999999</v>
      </c>
      <c r="Q37" s="2"/>
      <c r="R37" s="7">
        <f t="shared" si="16"/>
        <v>6.8005032453869116E-3</v>
      </c>
      <c r="S37" s="2"/>
      <c r="T37" s="6">
        <v>42592.142917999998</v>
      </c>
      <c r="U37" s="2"/>
      <c r="V37" s="7">
        <f t="shared" si="17"/>
        <v>7.041221212335122E-3</v>
      </c>
      <c r="W37" s="2"/>
      <c r="X37" s="6">
        <f t="shared" si="18"/>
        <v>-1188.5429179999992</v>
      </c>
      <c r="Y37" s="2"/>
      <c r="Z37" s="7">
        <f t="shared" si="19"/>
        <v>-2.7905215294948341E-2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6">
        <v>3683.6</v>
      </c>
      <c r="E38" s="2"/>
      <c r="F38" s="7">
        <f t="shared" si="12"/>
        <v>4.6124895814846885E-3</v>
      </c>
      <c r="G38" s="2"/>
      <c r="H38" s="6">
        <v>1500</v>
      </c>
      <c r="I38" s="2"/>
      <c r="J38" s="7">
        <f t="shared" si="13"/>
        <v>1.7463039476947042E-3</v>
      </c>
      <c r="K38" s="2"/>
      <c r="L38" s="6">
        <f t="shared" si="14"/>
        <v>2183.6</v>
      </c>
      <c r="M38" s="2"/>
      <c r="N38" s="7">
        <f t="shared" si="15"/>
        <v>1.4557333333333333</v>
      </c>
      <c r="O38" s="11"/>
      <c r="P38" s="6">
        <v>21545.8</v>
      </c>
      <c r="Q38" s="2"/>
      <c r="R38" s="7">
        <f t="shared" si="16"/>
        <v>3.5388778469615523E-3</v>
      </c>
      <c r="S38" s="2"/>
      <c r="T38" s="6">
        <v>9000</v>
      </c>
      <c r="U38" s="2"/>
      <c r="V38" s="7">
        <f t="shared" si="17"/>
        <v>1.487856364330396E-3</v>
      </c>
      <c r="W38" s="2"/>
      <c r="X38" s="6">
        <f t="shared" si="18"/>
        <v>12545.8</v>
      </c>
      <c r="Y38" s="2"/>
      <c r="Z38" s="7">
        <f t="shared" si="19"/>
        <v>1.3939777777777778</v>
      </c>
    </row>
    <row r="39" spans="1:26" s="25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213051.33</v>
      </c>
      <c r="E39" s="1"/>
      <c r="F39" s="5">
        <f t="shared" ref="F39:F49" si="20">IF(D$12=0,0,D39/D$12)</f>
        <v>0.26677626233751117</v>
      </c>
      <c r="G39" s="1"/>
      <c r="H39" s="1">
        <f>SUM(OSRRefH22_1x_0)</f>
        <v>223925.44039976917</v>
      </c>
      <c r="I39" s="1"/>
      <c r="J39" s="5">
        <f t="shared" ref="J39:J49" si="21">IF(H$12=0,0,H39/H$12)</f>
        <v>0.26069458703959475</v>
      </c>
      <c r="K39" s="1"/>
      <c r="L39" s="1">
        <f t="shared" ref="L39:L49" si="22">+D39-H39</f>
        <v>-10874.110399769183</v>
      </c>
      <c r="M39" s="1"/>
      <c r="N39" s="5">
        <f t="shared" ref="N39:N49" si="23">IF(H39=0,0,L39/H39)</f>
        <v>-4.8561299602027673E-2</v>
      </c>
      <c r="O39" s="13"/>
      <c r="P39" s="1">
        <f>SUM(OSRRefP22_1x_0)</f>
        <v>1521629.99</v>
      </c>
      <c r="Q39" s="1"/>
      <c r="R39" s="5">
        <f t="shared" ref="R39:R49" si="24">IF(P$12=0,0,P39/P$12)</f>
        <v>0.2499263273066365</v>
      </c>
      <c r="S39" s="1"/>
      <c r="T39" s="1">
        <f>SUM(OSRRefT22_1x_0)</f>
        <v>1503530.5393899998</v>
      </c>
      <c r="U39" s="1"/>
      <c r="V39" s="5">
        <f t="shared" ref="V39:V49" si="25">IF(T$12=0,0,T39/T$12)</f>
        <v>0.24855972022183603</v>
      </c>
      <c r="W39" s="1"/>
      <c r="X39" s="1">
        <f t="shared" ref="X39:X49" si="26">+P39-T39</f>
        <v>18099.450610000174</v>
      </c>
      <c r="Y39" s="1"/>
      <c r="Z39" s="5">
        <f t="shared" ref="Z39:Z49" si="27">IF(T39=0,0,X39/T39)</f>
        <v>1.2037966729524055E-2</v>
      </c>
    </row>
    <row r="40" spans="1:26" s="24" customFormat="1" hidden="1" outlineLevel="2" x14ac:dyDescent="0.25">
      <c r="A40" s="26"/>
      <c r="B40" s="11" t="str">
        <f>CONCATENATE("          ", "6001", " - ", "ADMINISTRATIVE SALARIES")</f>
        <v xml:space="preserve">          6001 - ADMINISTRATIVE SALARIES</v>
      </c>
      <c r="C40" s="11"/>
      <c r="D40" s="6">
        <v>7330.54</v>
      </c>
      <c r="E40" s="2"/>
      <c r="F40" s="7">
        <f t="shared" si="20"/>
        <v>9.1790746488915106E-3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7330.54</v>
      </c>
      <c r="M40" s="2"/>
      <c r="N40" s="7">
        <f t="shared" si="23"/>
        <v>0</v>
      </c>
      <c r="O40" s="11"/>
      <c r="P40" s="6">
        <v>45612.24</v>
      </c>
      <c r="Q40" s="2"/>
      <c r="R40" s="7">
        <f t="shared" si="24"/>
        <v>7.4917684971685244E-3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45612.24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35354.47</v>
      </c>
      <c r="E41" s="2"/>
      <c r="F41" s="7">
        <f t="shared" si="20"/>
        <v>4.4269769935365667E-2</v>
      </c>
      <c r="G41" s="2"/>
      <c r="H41" s="6">
        <v>39678.938974769218</v>
      </c>
      <c r="I41" s="2"/>
      <c r="J41" s="7">
        <f t="shared" si="21"/>
        <v>4.619432518131783E-2</v>
      </c>
      <c r="K41" s="2"/>
      <c r="L41" s="6">
        <f t="shared" si="22"/>
        <v>-4324.4689747692173</v>
      </c>
      <c r="M41" s="2"/>
      <c r="N41" s="7">
        <f t="shared" si="23"/>
        <v>-0.10898650736399559</v>
      </c>
      <c r="O41" s="11"/>
      <c r="P41" s="6">
        <v>236281.28999999998</v>
      </c>
      <c r="Q41" s="2"/>
      <c r="R41" s="7">
        <f t="shared" si="24"/>
        <v>3.880898471314586E-2</v>
      </c>
      <c r="S41" s="2"/>
      <c r="T41" s="6">
        <v>257913.10333599977</v>
      </c>
      <c r="U41" s="2"/>
      <c r="V41" s="7">
        <f t="shared" si="25"/>
        <v>4.2637516915852262E-2</v>
      </c>
      <c r="W41" s="2"/>
      <c r="X41" s="6">
        <f t="shared" si="26"/>
        <v>-21631.813335999788</v>
      </c>
      <c r="Y41" s="2"/>
      <c r="Z41" s="7">
        <f t="shared" si="27"/>
        <v>-8.3872486725959997E-2</v>
      </c>
    </row>
    <row r="42" spans="1:26" s="24" customFormat="1" hidden="1" outlineLevel="2" x14ac:dyDescent="0.25">
      <c r="A42" s="26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"6004", " - ", "STAFF HOURLY")</f>
        <v xml:space="preserve">          6004 - STAFF HOURLY</v>
      </c>
      <c r="C43" s="11"/>
      <c r="D43" s="6">
        <v>59109.469999999994</v>
      </c>
      <c r="E43" s="2"/>
      <c r="F43" s="7">
        <f t="shared" si="20"/>
        <v>7.4015043582930207E-2</v>
      </c>
      <c r="G43" s="2"/>
      <c r="H43" s="6">
        <v>74841.003039999996</v>
      </c>
      <c r="I43" s="2"/>
      <c r="J43" s="7">
        <f t="shared" si="21"/>
        <v>8.7130092705455561E-2</v>
      </c>
      <c r="K43" s="2"/>
      <c r="L43" s="6">
        <f t="shared" si="22"/>
        <v>-15731.533040000002</v>
      </c>
      <c r="M43" s="2"/>
      <c r="N43" s="7">
        <f t="shared" si="23"/>
        <v>-0.21019938804924926</v>
      </c>
      <c r="O43" s="11"/>
      <c r="P43" s="6">
        <v>363527.26</v>
      </c>
      <c r="Q43" s="2"/>
      <c r="R43" s="7">
        <f t="shared" si="24"/>
        <v>5.9709018332140484E-2</v>
      </c>
      <c r="S43" s="2"/>
      <c r="T43" s="6">
        <v>484725.17703999998</v>
      </c>
      <c r="U43" s="2"/>
      <c r="V43" s="7">
        <f t="shared" si="25"/>
        <v>8.0133493290015775E-2</v>
      </c>
      <c r="W43" s="2"/>
      <c r="X43" s="6">
        <f t="shared" si="26"/>
        <v>-121197.91703999997</v>
      </c>
      <c r="Y43" s="2"/>
      <c r="Z43" s="7">
        <f t="shared" si="27"/>
        <v>-0.2500342932052787</v>
      </c>
    </row>
    <row r="44" spans="1:26" s="24" customFormat="1" hidden="1" outlineLevel="2" x14ac:dyDescent="0.25">
      <c r="A44" s="26"/>
      <c r="B44" s="11" t="str">
        <f>CONCATENATE("          ", "6005", " - ", "TEMPORARY WAGES-HOURLY")</f>
        <v xml:space="preserve">          6005 - TEMPORARY WAGES-HOURLY</v>
      </c>
      <c r="C44" s="11"/>
      <c r="D44" s="6">
        <v>34687.85</v>
      </c>
      <c r="E44" s="2"/>
      <c r="F44" s="7">
        <f t="shared" si="20"/>
        <v>4.3435049063172887E-2</v>
      </c>
      <c r="G44" s="2"/>
      <c r="H44" s="6">
        <v>18116.030885</v>
      </c>
      <c r="I44" s="2"/>
      <c r="J44" s="7">
        <f t="shared" si="21"/>
        <v>2.1090730834023123E-2</v>
      </c>
      <c r="K44" s="2"/>
      <c r="L44" s="6">
        <f t="shared" si="22"/>
        <v>16571.819114999998</v>
      </c>
      <c r="M44" s="2"/>
      <c r="N44" s="7">
        <f t="shared" si="23"/>
        <v>0.91475992838593567</v>
      </c>
      <c r="O44" s="11"/>
      <c r="P44" s="6">
        <v>275358.75</v>
      </c>
      <c r="Q44" s="2"/>
      <c r="R44" s="7">
        <f t="shared" si="24"/>
        <v>4.5227421601519754E-2</v>
      </c>
      <c r="S44" s="2"/>
      <c r="T44" s="6">
        <v>140868.64401399999</v>
      </c>
      <c r="U44" s="2"/>
      <c r="V44" s="7">
        <f t="shared" si="25"/>
        <v>2.3288034281202536E-2</v>
      </c>
      <c r="W44" s="2"/>
      <c r="X44" s="6">
        <f t="shared" si="26"/>
        <v>134490.10598600001</v>
      </c>
      <c r="Y44" s="2"/>
      <c r="Z44" s="7">
        <f t="shared" si="27"/>
        <v>0.95471995863489634</v>
      </c>
    </row>
    <row r="45" spans="1:26" s="24" customFormat="1" hidden="1" outlineLevel="2" x14ac:dyDescent="0.25">
      <c r="A45" s="26"/>
      <c r="B45" s="11" t="str">
        <f>CONCATENATE("          ", "6006", " - ", "TEMPORARY PART TIME")</f>
        <v xml:space="preserve">          6006 - TEMPORARY PART TIME</v>
      </c>
      <c r="C45" s="11"/>
      <c r="D45" s="6">
        <v>2207.31</v>
      </c>
      <c r="E45" s="2"/>
      <c r="F45" s="7">
        <f t="shared" si="20"/>
        <v>2.7639250673544813E-3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2207.31</v>
      </c>
      <c r="M45" s="2"/>
      <c r="N45" s="7">
        <f t="shared" si="23"/>
        <v>0</v>
      </c>
      <c r="O45" s="11"/>
      <c r="P45" s="6">
        <v>29545.599999999999</v>
      </c>
      <c r="Q45" s="2"/>
      <c r="R45" s="7">
        <f t="shared" si="24"/>
        <v>4.8528376442363358E-3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29545.599999999999</v>
      </c>
      <c r="Y45" s="2"/>
      <c r="Z45" s="7">
        <f t="shared" si="27"/>
        <v>0</v>
      </c>
    </row>
    <row r="46" spans="1:26" s="24" customFormat="1" hidden="1" outlineLevel="2" x14ac:dyDescent="0.25">
      <c r="A46" s="26"/>
      <c r="B46" s="11" t="str">
        <f>CONCATENATE("          ", "6007", " - ", "STUDENT HOURLY")</f>
        <v xml:space="preserve">          6007 - STUDENT HOURLY</v>
      </c>
      <c r="C46" s="11"/>
      <c r="D46" s="6">
        <v>59913.689999999995</v>
      </c>
      <c r="E46" s="2"/>
      <c r="F46" s="7">
        <f t="shared" si="20"/>
        <v>7.5022062904035E-2</v>
      </c>
      <c r="G46" s="2"/>
      <c r="H46" s="6">
        <v>22075.987499999999</v>
      </c>
      <c r="I46" s="2"/>
      <c r="J46" s="7">
        <f t="shared" si="21"/>
        <v>2.5700922747005962E-2</v>
      </c>
      <c r="K46" s="2"/>
      <c r="L46" s="6">
        <f t="shared" si="22"/>
        <v>37837.702499999999</v>
      </c>
      <c r="M46" s="2"/>
      <c r="N46" s="7">
        <f t="shared" si="23"/>
        <v>1.7139755356357218</v>
      </c>
      <c r="O46" s="11"/>
      <c r="P46" s="6">
        <v>456121.35</v>
      </c>
      <c r="Q46" s="2"/>
      <c r="R46" s="7">
        <f t="shared" si="24"/>
        <v>7.4917512510150316E-2</v>
      </c>
      <c r="S46" s="2"/>
      <c r="T46" s="6">
        <v>257764.49249999999</v>
      </c>
      <c r="U46" s="2"/>
      <c r="V46" s="7">
        <f t="shared" si="25"/>
        <v>4.2612948962724405E-2</v>
      </c>
      <c r="W46" s="2"/>
      <c r="X46" s="6">
        <f t="shared" si="26"/>
        <v>198356.85749999998</v>
      </c>
      <c r="Y46" s="2"/>
      <c r="Z46" s="7">
        <f t="shared" si="27"/>
        <v>0.769527468955019</v>
      </c>
    </row>
    <row r="47" spans="1:26" s="24" customFormat="1" hidden="1" outlineLevel="2" x14ac:dyDescent="0.25">
      <c r="A47" s="26"/>
      <c r="B47" s="11" t="str">
        <f>CONCATENATE("          ", "6008", " - ", "STUDENT HOURLY-FICA EXEMPT")</f>
        <v xml:space="preserve">          6008 - STUDENT HOURLY-FICA EXEMPT</v>
      </c>
      <c r="C47" s="11"/>
      <c r="D47" s="6">
        <v>14448</v>
      </c>
      <c r="E47" s="2"/>
      <c r="F47" s="7">
        <f t="shared" si="20"/>
        <v>1.8091337135761422E-2</v>
      </c>
      <c r="G47" s="2"/>
      <c r="H47" s="6">
        <v>69213.48</v>
      </c>
      <c r="I47" s="2"/>
      <c r="J47" s="7">
        <f t="shared" si="21"/>
        <v>8.0578515571792297E-2</v>
      </c>
      <c r="K47" s="2"/>
      <c r="L47" s="6">
        <f t="shared" si="22"/>
        <v>-54765.479999999996</v>
      </c>
      <c r="M47" s="2"/>
      <c r="N47" s="7">
        <f t="shared" si="23"/>
        <v>-0.79125453596611528</v>
      </c>
      <c r="O47" s="11"/>
      <c r="P47" s="6">
        <v>115183.5</v>
      </c>
      <c r="Q47" s="2"/>
      <c r="R47" s="7">
        <f t="shared" si="24"/>
        <v>1.8918784008275208E-2</v>
      </c>
      <c r="S47" s="2"/>
      <c r="T47" s="6">
        <v>362259.1225</v>
      </c>
      <c r="U47" s="2"/>
      <c r="V47" s="7">
        <f t="shared" si="25"/>
        <v>5.9887726772041065E-2</v>
      </c>
      <c r="W47" s="2"/>
      <c r="X47" s="6">
        <f t="shared" si="26"/>
        <v>-247075.6225</v>
      </c>
      <c r="Y47" s="2"/>
      <c r="Z47" s="7">
        <f t="shared" si="27"/>
        <v>-0.68204113341548767</v>
      </c>
    </row>
    <row r="48" spans="1:26" s="24" customFormat="1" hidden="1" outlineLevel="2" x14ac:dyDescent="0.25">
      <c r="A48" s="26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6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5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4" si="28">IF(D$12=0,0,D50/D$12)</f>
        <v>0</v>
      </c>
      <c r="G50" s="1"/>
      <c r="H50" s="1">
        <f>SUM(OSRRefH22_2x_0)</f>
        <v>475</v>
      </c>
      <c r="I50" s="1"/>
      <c r="J50" s="5">
        <f t="shared" ref="J50:J54" si="29">IF(H$12=0,0,H50/H$12)</f>
        <v>5.5299625010332297E-4</v>
      </c>
      <c r="K50" s="1"/>
      <c r="L50" s="1">
        <f t="shared" ref="L50:L54" si="30">+D50-H50</f>
        <v>-475</v>
      </c>
      <c r="M50" s="1"/>
      <c r="N50" s="5">
        <f t="shared" ref="N50:N54" si="31">IF(H50=0,0,L50/H50)</f>
        <v>-1</v>
      </c>
      <c r="O50" s="13"/>
      <c r="P50" s="1">
        <f>SUM(OSRRefP22_2x_0)</f>
        <v>7928.8</v>
      </c>
      <c r="Q50" s="1"/>
      <c r="R50" s="5">
        <f t="shared" ref="R50:R54" si="32">IF(P$12=0,0,P50/P$12)</f>
        <v>1.3022981125318512E-3</v>
      </c>
      <c r="S50" s="1"/>
      <c r="T50" s="1">
        <f>SUM(OSRRefT22_2x_0)</f>
        <v>11000</v>
      </c>
      <c r="U50" s="1"/>
      <c r="V50" s="5">
        <f t="shared" ref="V50:V54" si="33">IF(T$12=0,0,T50/T$12)</f>
        <v>1.818491111959373E-3</v>
      </c>
      <c r="W50" s="1"/>
      <c r="X50" s="1">
        <f t="shared" ref="X50:X54" si="34">+P50-T50</f>
        <v>-3071.2</v>
      </c>
      <c r="Y50" s="1"/>
      <c r="Z50" s="5">
        <f t="shared" ref="Z50:Z54" si="35">IF(T50=0,0,X50/T50)</f>
        <v>-0.2792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8"/>
        <v>0</v>
      </c>
      <c r="G51" s="2"/>
      <c r="H51" s="6">
        <v>475</v>
      </c>
      <c r="I51" s="2"/>
      <c r="J51" s="7">
        <f t="shared" si="29"/>
        <v>5.5299625010332297E-4</v>
      </c>
      <c r="K51" s="2"/>
      <c r="L51" s="6">
        <f t="shared" si="30"/>
        <v>-475</v>
      </c>
      <c r="M51" s="2"/>
      <c r="N51" s="7">
        <f t="shared" si="31"/>
        <v>-1</v>
      </c>
      <c r="O51" s="11"/>
      <c r="P51" s="6">
        <v>7928.8</v>
      </c>
      <c r="Q51" s="2"/>
      <c r="R51" s="7">
        <f t="shared" si="32"/>
        <v>1.3022981125318512E-3</v>
      </c>
      <c r="S51" s="2"/>
      <c r="T51" s="6">
        <v>11000</v>
      </c>
      <c r="U51" s="2"/>
      <c r="V51" s="7">
        <f t="shared" si="33"/>
        <v>1.818491111959373E-3</v>
      </c>
      <c r="W51" s="2"/>
      <c r="X51" s="6">
        <f t="shared" si="34"/>
        <v>-3071.2</v>
      </c>
      <c r="Y51" s="2"/>
      <c r="Z51" s="7">
        <f t="shared" si="35"/>
        <v>-0.2792</v>
      </c>
    </row>
    <row r="52" spans="1:26" s="25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-0.45</v>
      </c>
      <c r="E52" s="1"/>
      <c r="F52" s="5">
        <f t="shared" si="28"/>
        <v>-5.634760320523699E-7</v>
      </c>
      <c r="G52" s="1"/>
      <c r="H52" s="1">
        <f>SUM(OSRRefH22_3x_0)</f>
        <v>113</v>
      </c>
      <c r="I52" s="1"/>
      <c r="J52" s="5">
        <f t="shared" si="29"/>
        <v>1.3155489739300104E-4</v>
      </c>
      <c r="K52" s="1"/>
      <c r="L52" s="1">
        <f t="shared" si="30"/>
        <v>-113.45</v>
      </c>
      <c r="M52" s="1"/>
      <c r="N52" s="5">
        <f t="shared" si="31"/>
        <v>-1.0039823008849558</v>
      </c>
      <c r="O52" s="13"/>
      <c r="P52" s="1">
        <f>SUM(OSRRefP22_3x_0)</f>
        <v>29.06</v>
      </c>
      <c r="Q52" s="1"/>
      <c r="R52" s="5">
        <f t="shared" si="32"/>
        <v>4.7730782905579142E-6</v>
      </c>
      <c r="S52" s="1"/>
      <c r="T52" s="1">
        <f>SUM(OSRRefT22_3x_0)</f>
        <v>610</v>
      </c>
      <c r="U52" s="1"/>
      <c r="V52" s="5">
        <f t="shared" si="33"/>
        <v>1.0084359802683795E-4</v>
      </c>
      <c r="W52" s="1"/>
      <c r="X52" s="1">
        <f t="shared" si="34"/>
        <v>-580.94000000000005</v>
      </c>
      <c r="Y52" s="1"/>
      <c r="Z52" s="5">
        <f t="shared" si="35"/>
        <v>-0.95236065573770501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6">
        <v>-0.45</v>
      </c>
      <c r="E53" s="2"/>
      <c r="F53" s="7">
        <f t="shared" si="28"/>
        <v>-5.634760320523699E-7</v>
      </c>
      <c r="G53" s="2"/>
      <c r="H53" s="6">
        <v>63</v>
      </c>
      <c r="I53" s="2"/>
      <c r="J53" s="7">
        <f t="shared" si="29"/>
        <v>7.334476580317758E-5</v>
      </c>
      <c r="K53" s="2"/>
      <c r="L53" s="6">
        <f t="shared" si="30"/>
        <v>-63.45</v>
      </c>
      <c r="M53" s="2"/>
      <c r="N53" s="7">
        <f t="shared" si="31"/>
        <v>-1.0071428571428571</v>
      </c>
      <c r="O53" s="11"/>
      <c r="P53" s="6">
        <v>29.06</v>
      </c>
      <c r="Q53" s="2"/>
      <c r="R53" s="7">
        <f t="shared" si="32"/>
        <v>4.7730782905579142E-6</v>
      </c>
      <c r="S53" s="2"/>
      <c r="T53" s="6">
        <v>360</v>
      </c>
      <c r="U53" s="2"/>
      <c r="V53" s="7">
        <f t="shared" si="33"/>
        <v>5.951425457321584E-5</v>
      </c>
      <c r="W53" s="2"/>
      <c r="X53" s="6">
        <f t="shared" si="34"/>
        <v>-330.94</v>
      </c>
      <c r="Y53" s="2"/>
      <c r="Z53" s="7">
        <f t="shared" si="35"/>
        <v>-0.91927777777777775</v>
      </c>
    </row>
    <row r="54" spans="1:26" s="24" customFormat="1" hidden="1" outlineLevel="2" x14ac:dyDescent="0.25">
      <c r="A54" s="26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5.821013158982347E-5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250</v>
      </c>
      <c r="U54" s="2"/>
      <c r="V54" s="7">
        <f t="shared" si="33"/>
        <v>4.1329343453622113E-5</v>
      </c>
      <c r="W54" s="2"/>
      <c r="X54" s="6">
        <f t="shared" si="34"/>
        <v>-250</v>
      </c>
      <c r="Y54" s="2"/>
      <c r="Z54" s="7">
        <f t="shared" si="35"/>
        <v>-1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235.29</v>
      </c>
      <c r="E55" s="1"/>
      <c r="F55" s="5">
        <f t="shared" ref="F55:F59" si="36">IF(D$12=0,0,D55/D$12)</f>
        <v>2.9462283462578247E-4</v>
      </c>
      <c r="G55" s="1"/>
      <c r="H55" s="1">
        <f>SUM(OSRRefH22_4x_0)</f>
        <v>438</v>
      </c>
      <c r="I55" s="1"/>
      <c r="J55" s="5">
        <f t="shared" ref="J55:J59" si="37">IF(H$12=0,0,H55/H$12)</f>
        <v>5.0992075272685358E-4</v>
      </c>
      <c r="K55" s="1"/>
      <c r="L55" s="1">
        <f t="shared" ref="L55:L59" si="38">+D55-H55</f>
        <v>-202.71</v>
      </c>
      <c r="M55" s="1"/>
      <c r="N55" s="5">
        <f t="shared" ref="N55:N59" si="39">IF(H55=0,0,L55/H55)</f>
        <v>-0.46280821917808224</v>
      </c>
      <c r="O55" s="13"/>
      <c r="P55" s="1">
        <f>SUM(OSRRefP22_4x_0)</f>
        <v>2627.01</v>
      </c>
      <c r="Q55" s="1"/>
      <c r="R55" s="5">
        <f t="shared" ref="R55:R59" si="40">IF(P$12=0,0,P55/P$12)</f>
        <v>4.3148397797930309E-4</v>
      </c>
      <c r="S55" s="1"/>
      <c r="T55" s="1">
        <f>SUM(OSRRefT22_4x_0)</f>
        <v>2605</v>
      </c>
      <c r="U55" s="1"/>
      <c r="V55" s="5">
        <f t="shared" ref="V55:V59" si="41">IF(T$12=0,0,T55/T$12)</f>
        <v>4.3065175878674242E-4</v>
      </c>
      <c r="W55" s="1"/>
      <c r="X55" s="1">
        <f t="shared" ref="X55:X59" si="42">+P55-T55</f>
        <v>22.010000000000218</v>
      </c>
      <c r="Y55" s="1"/>
      <c r="Z55" s="5">
        <f t="shared" ref="Z55:Z59" si="43">IF(T55=0,0,X55/T55)</f>
        <v>8.4491362763916382E-3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235.29</v>
      </c>
      <c r="E56" s="2"/>
      <c r="F56" s="7">
        <f t="shared" si="36"/>
        <v>2.9462283462578247E-4</v>
      </c>
      <c r="G56" s="2"/>
      <c r="H56" s="6">
        <v>438</v>
      </c>
      <c r="I56" s="2"/>
      <c r="J56" s="7">
        <f t="shared" si="37"/>
        <v>5.0992075272685358E-4</v>
      </c>
      <c r="K56" s="2"/>
      <c r="L56" s="6">
        <f t="shared" si="38"/>
        <v>-202.71</v>
      </c>
      <c r="M56" s="2"/>
      <c r="N56" s="7">
        <f t="shared" si="39"/>
        <v>-0.46280821917808224</v>
      </c>
      <c r="O56" s="11"/>
      <c r="P56" s="6">
        <v>2627.01</v>
      </c>
      <c r="Q56" s="2"/>
      <c r="R56" s="7">
        <f t="shared" si="40"/>
        <v>4.3148397797930309E-4</v>
      </c>
      <c r="S56" s="2"/>
      <c r="T56" s="6">
        <v>2605</v>
      </c>
      <c r="U56" s="2"/>
      <c r="V56" s="7">
        <f t="shared" si="41"/>
        <v>4.3065175878674242E-4</v>
      </c>
      <c r="W56" s="2"/>
      <c r="X56" s="6">
        <f t="shared" si="42"/>
        <v>22.010000000000218</v>
      </c>
      <c r="Y56" s="2"/>
      <c r="Z56" s="7">
        <f t="shared" si="43"/>
        <v>8.4491362763916382E-3</v>
      </c>
    </row>
    <row r="57" spans="1:26" s="25" customFormat="1" outlineLevel="1" collapsed="1" x14ac:dyDescent="0.25">
      <c r="A57" s="27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11130.09</v>
      </c>
      <c r="E57" s="1"/>
      <c r="F57" s="5">
        <f t="shared" si="36"/>
        <v>1.3936753221301694E-2</v>
      </c>
      <c r="G57" s="1"/>
      <c r="H57" s="1">
        <f>SUM(OSRRefH22_5x_0)</f>
        <v>11200</v>
      </c>
      <c r="I57" s="1"/>
      <c r="J57" s="5">
        <f t="shared" si="37"/>
        <v>1.3039069476120458E-2</v>
      </c>
      <c r="K57" s="1"/>
      <c r="L57" s="1">
        <f t="shared" si="38"/>
        <v>-69.909999999999854</v>
      </c>
      <c r="M57" s="1"/>
      <c r="N57" s="5">
        <f t="shared" si="39"/>
        <v>-6.2419642857142726E-3</v>
      </c>
      <c r="O57" s="13"/>
      <c r="P57" s="1">
        <f>SUM(OSRRefP22_5x_0)</f>
        <v>77373.83</v>
      </c>
      <c r="Q57" s="1"/>
      <c r="R57" s="5">
        <f t="shared" si="40"/>
        <v>1.2708580462158248E-2</v>
      </c>
      <c r="S57" s="1"/>
      <c r="T57" s="1">
        <f>SUM(OSRRefT22_5x_0)</f>
        <v>70590</v>
      </c>
      <c r="U57" s="1"/>
      <c r="V57" s="5">
        <f t="shared" si="41"/>
        <v>1.1669753417564739E-2</v>
      </c>
      <c r="W57" s="1"/>
      <c r="X57" s="1">
        <f t="shared" si="42"/>
        <v>6783.8300000000017</v>
      </c>
      <c r="Y57" s="1"/>
      <c r="Z57" s="5">
        <f t="shared" si="43"/>
        <v>9.6101855786938681E-2</v>
      </c>
    </row>
    <row r="58" spans="1:26" s="24" customFormat="1" hidden="1" outlineLevel="2" x14ac:dyDescent="0.25">
      <c r="A58" s="26"/>
      <c r="B58" s="11" t="str">
        <f>CONCATENATE("          ", "6396", " - ", "COUPONS-CHARTROOM")</f>
        <v xml:space="preserve">          6396 - COUPONS-CHARTROOM</v>
      </c>
      <c r="C58" s="11"/>
      <c r="D58" s="6"/>
      <c r="E58" s="2"/>
      <c r="F58" s="7">
        <f t="shared" si="36"/>
        <v>0</v>
      </c>
      <c r="G58" s="2"/>
      <c r="H58" s="6">
        <v>100</v>
      </c>
      <c r="I58" s="2"/>
      <c r="J58" s="7">
        <f t="shared" si="37"/>
        <v>1.1642026317964694E-4</v>
      </c>
      <c r="K58" s="2"/>
      <c r="L58" s="6">
        <f t="shared" si="38"/>
        <v>-100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600</v>
      </c>
      <c r="U58" s="2"/>
      <c r="V58" s="7">
        <f t="shared" si="41"/>
        <v>9.9190424288693064E-5</v>
      </c>
      <c r="W58" s="2"/>
      <c r="X58" s="6">
        <f t="shared" si="42"/>
        <v>-600</v>
      </c>
      <c r="Y58" s="2"/>
      <c r="Z58" s="7">
        <f t="shared" si="43"/>
        <v>-1</v>
      </c>
    </row>
    <row r="59" spans="1:26" s="24" customFormat="1" hidden="1" outlineLevel="2" x14ac:dyDescent="0.25">
      <c r="A59" s="26"/>
      <c r="B59" s="11" t="str">
        <f>CONCATENATE("          ", "6399", " - ", "DONATION-ON CAMPUS")</f>
        <v xml:space="preserve">          6399 - DONATION-ON CAMPUS</v>
      </c>
      <c r="C59" s="11"/>
      <c r="D59" s="6">
        <v>11130.09</v>
      </c>
      <c r="E59" s="2"/>
      <c r="F59" s="7">
        <f t="shared" si="36"/>
        <v>1.3936753221301694E-2</v>
      </c>
      <c r="G59" s="2"/>
      <c r="H59" s="6">
        <v>11100</v>
      </c>
      <c r="I59" s="2"/>
      <c r="J59" s="7">
        <f t="shared" si="37"/>
        <v>1.292264921294081E-2</v>
      </c>
      <c r="K59" s="2"/>
      <c r="L59" s="6">
        <f t="shared" si="38"/>
        <v>30.090000000000146</v>
      </c>
      <c r="M59" s="2"/>
      <c r="N59" s="7">
        <f t="shared" si="39"/>
        <v>2.710810810810824E-3</v>
      </c>
      <c r="O59" s="11"/>
      <c r="P59" s="6">
        <v>77373.83</v>
      </c>
      <c r="Q59" s="2"/>
      <c r="R59" s="7">
        <f t="shared" si="40"/>
        <v>1.2708580462158248E-2</v>
      </c>
      <c r="S59" s="2"/>
      <c r="T59" s="6">
        <v>69990</v>
      </c>
      <c r="U59" s="2"/>
      <c r="V59" s="7">
        <f t="shared" si="41"/>
        <v>1.1570562993276046E-2</v>
      </c>
      <c r="W59" s="2"/>
      <c r="X59" s="6">
        <f t="shared" si="42"/>
        <v>7383.8300000000017</v>
      </c>
      <c r="Y59" s="2"/>
      <c r="Z59" s="7">
        <f t="shared" si="43"/>
        <v>0.10549835690812975</v>
      </c>
    </row>
    <row r="60" spans="1:26" s="25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128.84</v>
      </c>
      <c r="E60" s="1"/>
      <c r="F60" s="5">
        <f t="shared" ref="F60:F76" si="44">IF(D$12=0,0,D60/D$12)</f>
        <v>1.613294488213941E-4</v>
      </c>
      <c r="G60" s="1"/>
      <c r="H60" s="1">
        <f>SUM(OSRRefH22_6x_0)</f>
        <v>845</v>
      </c>
      <c r="I60" s="1"/>
      <c r="J60" s="5">
        <f t="shared" ref="J60:J76" si="45">IF(H$12=0,0,H60/H$12)</f>
        <v>9.8375122386801673E-4</v>
      </c>
      <c r="K60" s="1"/>
      <c r="L60" s="1">
        <f t="shared" ref="L60:L76" si="46">+D60-H60</f>
        <v>-716.16</v>
      </c>
      <c r="M60" s="1"/>
      <c r="N60" s="5">
        <f t="shared" ref="N60:N76" si="47">IF(H60=0,0,L60/H60)</f>
        <v>-0.8475266272189349</v>
      </c>
      <c r="O60" s="13"/>
      <c r="P60" s="1">
        <f>SUM(OSRRefP22_6x_0)</f>
        <v>1183.69</v>
      </c>
      <c r="Q60" s="1"/>
      <c r="R60" s="5">
        <f t="shared" ref="R60:R76" si="48">IF(P$12=0,0,P60/P$12)</f>
        <v>1.944199945543874E-4</v>
      </c>
      <c r="S60" s="1"/>
      <c r="T60" s="1">
        <f>SUM(OSRRefT22_6x_0)</f>
        <v>4050</v>
      </c>
      <c r="U60" s="1"/>
      <c r="V60" s="5">
        <f t="shared" ref="V60:V76" si="49">IF(T$12=0,0,T60/T$12)</f>
        <v>6.6953536394867823E-4</v>
      </c>
      <c r="W60" s="1"/>
      <c r="X60" s="1">
        <f t="shared" ref="X60:X76" si="50">+P60-T60</f>
        <v>-2866.31</v>
      </c>
      <c r="Y60" s="1"/>
      <c r="Z60" s="5">
        <f t="shared" ref="Z60:Z76" si="51">IF(T60=0,0,X60/T60)</f>
        <v>-0.70773086419753084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6">
        <v>128.84</v>
      </c>
      <c r="E61" s="2"/>
      <c r="F61" s="7">
        <f t="shared" si="44"/>
        <v>1.613294488213941E-4</v>
      </c>
      <c r="G61" s="2"/>
      <c r="H61" s="6">
        <v>845</v>
      </c>
      <c r="I61" s="2"/>
      <c r="J61" s="7">
        <f t="shared" si="45"/>
        <v>9.8375122386801673E-4</v>
      </c>
      <c r="K61" s="2"/>
      <c r="L61" s="6">
        <f t="shared" si="46"/>
        <v>-716.16</v>
      </c>
      <c r="M61" s="2"/>
      <c r="N61" s="7">
        <f t="shared" si="47"/>
        <v>-0.8475266272189349</v>
      </c>
      <c r="O61" s="11"/>
      <c r="P61" s="6">
        <v>1183.69</v>
      </c>
      <c r="Q61" s="2"/>
      <c r="R61" s="7">
        <f t="shared" si="48"/>
        <v>1.944199945543874E-4</v>
      </c>
      <c r="S61" s="2"/>
      <c r="T61" s="6">
        <v>4050</v>
      </c>
      <c r="U61" s="2"/>
      <c r="V61" s="7">
        <f t="shared" si="49"/>
        <v>6.6953536394867823E-4</v>
      </c>
      <c r="W61" s="2"/>
      <c r="X61" s="6">
        <f t="shared" si="50"/>
        <v>-2866.31</v>
      </c>
      <c r="Y61" s="2"/>
      <c r="Z61" s="7">
        <f t="shared" si="51"/>
        <v>-0.70773086419753084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193.44</v>
      </c>
      <c r="E62" s="1"/>
      <c r="F62" s="5">
        <f t="shared" si="44"/>
        <v>2.4221956364491208E-4</v>
      </c>
      <c r="G62" s="1"/>
      <c r="H62" s="1">
        <f>SUM(OSRRefH22_7x_0)</f>
        <v>670</v>
      </c>
      <c r="I62" s="1"/>
      <c r="J62" s="5">
        <f t="shared" si="45"/>
        <v>7.800157633036345E-4</v>
      </c>
      <c r="K62" s="1"/>
      <c r="L62" s="1">
        <f t="shared" si="46"/>
        <v>-476.56</v>
      </c>
      <c r="M62" s="1"/>
      <c r="N62" s="5">
        <f t="shared" si="47"/>
        <v>-0.71128358208955222</v>
      </c>
      <c r="O62" s="13"/>
      <c r="P62" s="1">
        <f>SUM(OSRRefP22_7x_0)</f>
        <v>2782.62</v>
      </c>
      <c r="Q62" s="1"/>
      <c r="R62" s="5">
        <f t="shared" si="48"/>
        <v>4.5704277745603109E-4</v>
      </c>
      <c r="S62" s="1"/>
      <c r="T62" s="1">
        <f>SUM(OSRRefT22_7x_0)</f>
        <v>4220</v>
      </c>
      <c r="U62" s="1"/>
      <c r="V62" s="5">
        <f t="shared" si="49"/>
        <v>6.9763931749714121E-4</v>
      </c>
      <c r="W62" s="1"/>
      <c r="X62" s="1">
        <f t="shared" si="50"/>
        <v>-1437.38</v>
      </c>
      <c r="Y62" s="1"/>
      <c r="Z62" s="5">
        <f t="shared" si="51"/>
        <v>-0.34061137440758299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6">
        <v>193.44</v>
      </c>
      <c r="E63" s="2"/>
      <c r="F63" s="7">
        <f t="shared" si="44"/>
        <v>2.4221956364491208E-4</v>
      </c>
      <c r="G63" s="2"/>
      <c r="H63" s="6">
        <v>670</v>
      </c>
      <c r="I63" s="2"/>
      <c r="J63" s="7">
        <f t="shared" si="45"/>
        <v>7.800157633036345E-4</v>
      </c>
      <c r="K63" s="2"/>
      <c r="L63" s="6">
        <f t="shared" si="46"/>
        <v>-476.56</v>
      </c>
      <c r="M63" s="2"/>
      <c r="N63" s="7">
        <f t="shared" si="47"/>
        <v>-0.71128358208955222</v>
      </c>
      <c r="O63" s="11"/>
      <c r="P63" s="6">
        <v>2782.62</v>
      </c>
      <c r="Q63" s="2"/>
      <c r="R63" s="7">
        <f t="shared" si="48"/>
        <v>4.5704277745603109E-4</v>
      </c>
      <c r="S63" s="2"/>
      <c r="T63" s="6">
        <v>4220</v>
      </c>
      <c r="U63" s="2"/>
      <c r="V63" s="7">
        <f t="shared" si="49"/>
        <v>6.9763931749714121E-4</v>
      </c>
      <c r="W63" s="2"/>
      <c r="X63" s="6">
        <f t="shared" si="50"/>
        <v>-1437.38</v>
      </c>
      <c r="Y63" s="2"/>
      <c r="Z63" s="7">
        <f t="shared" si="51"/>
        <v>-0.34061137440758299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4"/>
        <v>0</v>
      </c>
      <c r="G64" s="1"/>
      <c r="H64" s="1">
        <f>SUM(OSRRefH22_8x_0)</f>
        <v>1</v>
      </c>
      <c r="I64" s="1"/>
      <c r="J64" s="5">
        <f t="shared" si="45"/>
        <v>1.1642026317964694E-6</v>
      </c>
      <c r="K64" s="1"/>
      <c r="L64" s="1">
        <f t="shared" si="46"/>
        <v>-1</v>
      </c>
      <c r="M64" s="1"/>
      <c r="N64" s="5">
        <f t="shared" si="47"/>
        <v>-1</v>
      </c>
      <c r="O64" s="13"/>
      <c r="P64" s="1">
        <f>SUM(OSRRefP22_8x_0)</f>
        <v>0</v>
      </c>
      <c r="Q64" s="1"/>
      <c r="R64" s="5">
        <f t="shared" si="48"/>
        <v>0</v>
      </c>
      <c r="S64" s="1"/>
      <c r="T64" s="1">
        <f>SUM(OSRRefT22_8x_0)</f>
        <v>6</v>
      </c>
      <c r="U64" s="1"/>
      <c r="V64" s="5">
        <f t="shared" si="49"/>
        <v>9.9190424288693065E-7</v>
      </c>
      <c r="W64" s="1"/>
      <c r="X64" s="1">
        <f t="shared" si="50"/>
        <v>-6</v>
      </c>
      <c r="Y64" s="1"/>
      <c r="Z64" s="5">
        <f t="shared" si="51"/>
        <v>-1</v>
      </c>
    </row>
    <row r="65" spans="1:26" s="24" customFormat="1" hidden="1" outlineLevel="2" x14ac:dyDescent="0.25">
      <c r="A65" s="26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4"/>
        <v>0</v>
      </c>
      <c r="G65" s="2"/>
      <c r="H65" s="6">
        <v>1</v>
      </c>
      <c r="I65" s="2"/>
      <c r="J65" s="7">
        <f t="shared" si="45"/>
        <v>1.1642026317964694E-6</v>
      </c>
      <c r="K65" s="2"/>
      <c r="L65" s="6">
        <f t="shared" si="46"/>
        <v>-1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6</v>
      </c>
      <c r="U65" s="2"/>
      <c r="V65" s="7">
        <f t="shared" si="49"/>
        <v>9.9190424288693065E-7</v>
      </c>
      <c r="W65" s="2"/>
      <c r="X65" s="6">
        <f t="shared" si="50"/>
        <v>-6</v>
      </c>
      <c r="Y65" s="2"/>
      <c r="Z65" s="7">
        <f t="shared" si="51"/>
        <v>-1</v>
      </c>
    </row>
    <row r="66" spans="1:26" s="25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480.93</v>
      </c>
      <c r="E66" s="1"/>
      <c r="F66" s="5">
        <f t="shared" si="44"/>
        <v>6.022056179887695E-4</v>
      </c>
      <c r="G66" s="1"/>
      <c r="H66" s="1">
        <f>SUM(OSRRefH22_9x_0)</f>
        <v>993</v>
      </c>
      <c r="I66" s="1"/>
      <c r="J66" s="5">
        <f t="shared" si="45"/>
        <v>1.1560532133738941E-3</v>
      </c>
      <c r="K66" s="1"/>
      <c r="L66" s="1">
        <f t="shared" si="46"/>
        <v>-512.06999999999994</v>
      </c>
      <c r="M66" s="1"/>
      <c r="N66" s="5">
        <f t="shared" si="47"/>
        <v>-0.51567975830815704</v>
      </c>
      <c r="O66" s="13"/>
      <c r="P66" s="1">
        <f>SUM(OSRRefP22_9x_0)</f>
        <v>7405.81</v>
      </c>
      <c r="Q66" s="1"/>
      <c r="R66" s="5">
        <f t="shared" si="48"/>
        <v>1.2163974857190884E-3</v>
      </c>
      <c r="S66" s="1"/>
      <c r="T66" s="1">
        <f>SUM(OSRRefT22_9x_0)</f>
        <v>8985</v>
      </c>
      <c r="U66" s="1"/>
      <c r="V66" s="5">
        <f t="shared" si="49"/>
        <v>1.4853766037231787E-3</v>
      </c>
      <c r="W66" s="1"/>
      <c r="X66" s="1">
        <f t="shared" si="50"/>
        <v>-1579.1899999999996</v>
      </c>
      <c r="Y66" s="1"/>
      <c r="Z66" s="5">
        <f t="shared" si="51"/>
        <v>-0.17575848636616578</v>
      </c>
    </row>
    <row r="67" spans="1:26" s="24" customFormat="1" hidden="1" outlineLevel="2" x14ac:dyDescent="0.25">
      <c r="A67" s="26"/>
      <c r="B67" s="11" t="str">
        <f>CONCATENATE("          ", "6279", " - ", "GENERAL EXPENSE")</f>
        <v xml:space="preserve">          6279 - GENERAL EXPENSE</v>
      </c>
      <c r="C67" s="11"/>
      <c r="D67" s="6">
        <v>480.93</v>
      </c>
      <c r="E67" s="2"/>
      <c r="F67" s="7">
        <f t="shared" si="44"/>
        <v>6.022056179887695E-4</v>
      </c>
      <c r="G67" s="2"/>
      <c r="H67" s="6">
        <v>993</v>
      </c>
      <c r="I67" s="2"/>
      <c r="J67" s="7">
        <f t="shared" si="45"/>
        <v>1.1560532133738941E-3</v>
      </c>
      <c r="K67" s="2"/>
      <c r="L67" s="6">
        <f t="shared" si="46"/>
        <v>-512.06999999999994</v>
      </c>
      <c r="M67" s="2"/>
      <c r="N67" s="7">
        <f t="shared" si="47"/>
        <v>-0.51567975830815704</v>
      </c>
      <c r="O67" s="11"/>
      <c r="P67" s="6">
        <v>7405.81</v>
      </c>
      <c r="Q67" s="2"/>
      <c r="R67" s="7">
        <f t="shared" si="48"/>
        <v>1.2163974857190884E-3</v>
      </c>
      <c r="S67" s="2"/>
      <c r="T67" s="6">
        <v>8985</v>
      </c>
      <c r="U67" s="2"/>
      <c r="V67" s="7">
        <f t="shared" si="49"/>
        <v>1.4853766037231787E-3</v>
      </c>
      <c r="W67" s="2"/>
      <c r="X67" s="6">
        <f t="shared" si="50"/>
        <v>-1579.1899999999996</v>
      </c>
      <c r="Y67" s="2"/>
      <c r="Z67" s="7">
        <f t="shared" si="51"/>
        <v>-0.17575848636616578</v>
      </c>
    </row>
    <row r="68" spans="1:26" s="25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4"/>
        <v>7.3877968646866281E-6</v>
      </c>
      <c r="G68" s="1"/>
      <c r="H68" s="1">
        <f>SUM(OSRRefH22_10x_0)</f>
        <v>5</v>
      </c>
      <c r="I68" s="1"/>
      <c r="J68" s="5">
        <f t="shared" si="45"/>
        <v>5.8210131589823468E-6</v>
      </c>
      <c r="K68" s="1"/>
      <c r="L68" s="1">
        <f t="shared" si="46"/>
        <v>0.90000000000000036</v>
      </c>
      <c r="M68" s="1"/>
      <c r="N68" s="5">
        <f t="shared" si="47"/>
        <v>0.18000000000000008</v>
      </c>
      <c r="O68" s="13"/>
      <c r="P68" s="1">
        <f>SUM(OSRRefP22_10x_0)</f>
        <v>35.4</v>
      </c>
      <c r="Q68" s="1"/>
      <c r="R68" s="5">
        <f t="shared" si="48"/>
        <v>5.8144174633775007E-6</v>
      </c>
      <c r="S68" s="1"/>
      <c r="T68" s="1">
        <f>SUM(OSRRefT22_10x_0)</f>
        <v>30</v>
      </c>
      <c r="U68" s="1"/>
      <c r="V68" s="5">
        <f t="shared" si="49"/>
        <v>4.959521214434653E-6</v>
      </c>
      <c r="W68" s="1"/>
      <c r="X68" s="1">
        <f t="shared" si="50"/>
        <v>5.3999999999999986</v>
      </c>
      <c r="Y68" s="1"/>
      <c r="Z68" s="5">
        <f t="shared" si="51"/>
        <v>0.17999999999999997</v>
      </c>
    </row>
    <row r="69" spans="1:26" s="24" customFormat="1" hidden="1" outlineLevel="2" x14ac:dyDescent="0.25">
      <c r="A69" s="26"/>
      <c r="B69" s="11" t="str">
        <f>CONCATENATE("          ", "6314", " - ", "LIABILITY INSURANCE")</f>
        <v xml:space="preserve">          6314 - LIABILITY INSURANCE</v>
      </c>
      <c r="C69" s="11"/>
      <c r="D69" s="6">
        <v>5.9</v>
      </c>
      <c r="E69" s="2"/>
      <c r="F69" s="7">
        <f t="shared" si="44"/>
        <v>7.3877968646866281E-6</v>
      </c>
      <c r="G69" s="2"/>
      <c r="H69" s="6">
        <v>5</v>
      </c>
      <c r="I69" s="2"/>
      <c r="J69" s="7">
        <f t="shared" si="45"/>
        <v>5.8210131589823468E-6</v>
      </c>
      <c r="K69" s="2"/>
      <c r="L69" s="6">
        <f t="shared" si="46"/>
        <v>0.90000000000000036</v>
      </c>
      <c r="M69" s="2"/>
      <c r="N69" s="7">
        <f t="shared" si="47"/>
        <v>0.18000000000000008</v>
      </c>
      <c r="O69" s="11"/>
      <c r="P69" s="6">
        <v>35.4</v>
      </c>
      <c r="Q69" s="2"/>
      <c r="R69" s="7">
        <f t="shared" si="48"/>
        <v>5.8144174633775007E-6</v>
      </c>
      <c r="S69" s="2"/>
      <c r="T69" s="6">
        <v>30</v>
      </c>
      <c r="U69" s="2"/>
      <c r="V69" s="7">
        <f t="shared" si="49"/>
        <v>4.959521214434653E-6</v>
      </c>
      <c r="W69" s="2"/>
      <c r="X69" s="6">
        <f t="shared" si="50"/>
        <v>5.3999999999999986</v>
      </c>
      <c r="Y69" s="2"/>
      <c r="Z69" s="7">
        <f t="shared" si="51"/>
        <v>0.17999999999999997</v>
      </c>
    </row>
    <row r="70" spans="1:26" s="25" customFormat="1" outlineLevel="1" collapsed="1" x14ac:dyDescent="0.25">
      <c r="A70" s="27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64695.709999999992</v>
      </c>
      <c r="E70" s="1"/>
      <c r="F70" s="5">
        <f t="shared" si="44"/>
        <v>8.1009959914690718E-2</v>
      </c>
      <c r="G70" s="1"/>
      <c r="H70" s="1">
        <f>SUM(OSRRefH22_11x_0)</f>
        <v>68698</v>
      </c>
      <c r="I70" s="1"/>
      <c r="J70" s="5">
        <f t="shared" si="45"/>
        <v>7.9978392399153858E-2</v>
      </c>
      <c r="K70" s="1"/>
      <c r="L70" s="1">
        <f t="shared" si="46"/>
        <v>-4002.2900000000081</v>
      </c>
      <c r="M70" s="1"/>
      <c r="N70" s="5">
        <f t="shared" si="47"/>
        <v>-5.8259192407348219E-2</v>
      </c>
      <c r="O70" s="13"/>
      <c r="P70" s="1">
        <f>SUM(OSRRefP22_11x_0)</f>
        <v>471590.87</v>
      </c>
      <c r="Q70" s="1"/>
      <c r="R70" s="5">
        <f t="shared" si="48"/>
        <v>7.745836695190364E-2</v>
      </c>
      <c r="S70" s="1"/>
      <c r="T70" s="1">
        <f>SUM(OSRRefT22_11x_0)</f>
        <v>483902</v>
      </c>
      <c r="U70" s="1"/>
      <c r="V70" s="5">
        <f t="shared" si="49"/>
        <v>7.9997407823578587E-2</v>
      </c>
      <c r="W70" s="1"/>
      <c r="X70" s="1">
        <f t="shared" si="50"/>
        <v>-12311.130000000005</v>
      </c>
      <c r="Y70" s="1"/>
      <c r="Z70" s="5">
        <f t="shared" si="51"/>
        <v>-2.5441370360114249E-2</v>
      </c>
    </row>
    <row r="71" spans="1:26" s="24" customFormat="1" hidden="1" outlineLevel="2" x14ac:dyDescent="0.25">
      <c r="A71" s="26"/>
      <c r="B71" s="11" t="str">
        <f>CONCATENATE("          ", "6387", " - ", "COMMISSION DUE HOUSING")</f>
        <v xml:space="preserve">          6387 - COMMISSION DUE HOUSING</v>
      </c>
      <c r="C71" s="11"/>
      <c r="D71" s="6">
        <v>64695.709999999992</v>
      </c>
      <c r="E71" s="2"/>
      <c r="F71" s="7">
        <f t="shared" si="44"/>
        <v>8.1009959914690718E-2</v>
      </c>
      <c r="G71" s="2"/>
      <c r="H71" s="6">
        <v>68698</v>
      </c>
      <c r="I71" s="2"/>
      <c r="J71" s="7">
        <f t="shared" si="45"/>
        <v>7.9978392399153858E-2</v>
      </c>
      <c r="K71" s="2"/>
      <c r="L71" s="6">
        <f t="shared" si="46"/>
        <v>-4002.2900000000081</v>
      </c>
      <c r="M71" s="2"/>
      <c r="N71" s="7">
        <f t="shared" si="47"/>
        <v>-5.8259192407348219E-2</v>
      </c>
      <c r="O71" s="11"/>
      <c r="P71" s="6">
        <v>471590.87</v>
      </c>
      <c r="Q71" s="2"/>
      <c r="R71" s="7">
        <f t="shared" si="48"/>
        <v>7.745836695190364E-2</v>
      </c>
      <c r="S71" s="2"/>
      <c r="T71" s="6">
        <v>483902</v>
      </c>
      <c r="U71" s="2"/>
      <c r="V71" s="7">
        <f t="shared" si="49"/>
        <v>7.9997407823578587E-2</v>
      </c>
      <c r="W71" s="2"/>
      <c r="X71" s="6">
        <f t="shared" si="50"/>
        <v>-12311.130000000005</v>
      </c>
      <c r="Y71" s="2"/>
      <c r="Z71" s="7">
        <f t="shared" si="51"/>
        <v>-2.5441370360114249E-2</v>
      </c>
    </row>
    <row r="72" spans="1:26" s="25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410.22</v>
      </c>
      <c r="E72" s="1"/>
      <c r="F72" s="5">
        <f t="shared" si="44"/>
        <v>5.1366475081894049E-4</v>
      </c>
      <c r="G72" s="1"/>
      <c r="H72" s="1">
        <f>SUM(OSRRefH22_12x_0)</f>
        <v>2107</v>
      </c>
      <c r="I72" s="1"/>
      <c r="J72" s="5">
        <f t="shared" si="45"/>
        <v>2.452974945195161E-3</v>
      </c>
      <c r="K72" s="1"/>
      <c r="L72" s="1">
        <f t="shared" si="46"/>
        <v>-1696.78</v>
      </c>
      <c r="M72" s="1"/>
      <c r="N72" s="5">
        <f t="shared" si="47"/>
        <v>-0.80530612244897959</v>
      </c>
      <c r="O72" s="13"/>
      <c r="P72" s="1">
        <f>SUM(OSRRefP22_12x_0)</f>
        <v>23808.939999999995</v>
      </c>
      <c r="Q72" s="1"/>
      <c r="R72" s="5">
        <f t="shared" si="48"/>
        <v>3.9105965118787309E-3</v>
      </c>
      <c r="S72" s="1"/>
      <c r="T72" s="1">
        <f>SUM(OSRRefT22_12x_0)</f>
        <v>15862</v>
      </c>
      <c r="U72" s="1"/>
      <c r="V72" s="5">
        <f t="shared" si="49"/>
        <v>2.6222641834454156E-3</v>
      </c>
      <c r="W72" s="1"/>
      <c r="X72" s="1">
        <f t="shared" si="50"/>
        <v>7946.9399999999951</v>
      </c>
      <c r="Y72" s="1"/>
      <c r="Z72" s="5">
        <f t="shared" si="51"/>
        <v>0.50100491741268405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44"/>
        <v>0</v>
      </c>
      <c r="G73" s="2"/>
      <c r="H73" s="6">
        <v>1497</v>
      </c>
      <c r="I73" s="2"/>
      <c r="J73" s="7">
        <f t="shared" si="45"/>
        <v>1.7428113397993147E-3</v>
      </c>
      <c r="K73" s="2"/>
      <c r="L73" s="6">
        <f t="shared" si="46"/>
        <v>-1497</v>
      </c>
      <c r="M73" s="2"/>
      <c r="N73" s="7">
        <f t="shared" si="47"/>
        <v>-1</v>
      </c>
      <c r="O73" s="11"/>
      <c r="P73" s="6">
        <v>22817.929999999997</v>
      </c>
      <c r="Q73" s="2"/>
      <c r="R73" s="7">
        <f t="shared" si="48"/>
        <v>3.7478240302295297E-3</v>
      </c>
      <c r="S73" s="2"/>
      <c r="T73" s="6">
        <v>8982</v>
      </c>
      <c r="U73" s="2"/>
      <c r="V73" s="7">
        <f t="shared" si="49"/>
        <v>1.4848806516017353E-3</v>
      </c>
      <c r="W73" s="2"/>
      <c r="X73" s="6">
        <f t="shared" si="50"/>
        <v>13835.929999999997</v>
      </c>
      <c r="Y73" s="2"/>
      <c r="Z73" s="7">
        <f t="shared" si="51"/>
        <v>1.5404063682921394</v>
      </c>
    </row>
    <row r="74" spans="1:26" s="24" customFormat="1" hidden="1" outlineLevel="2" x14ac:dyDescent="0.25">
      <c r="A74" s="26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4"/>
        <v>0</v>
      </c>
      <c r="G74" s="2"/>
      <c r="H74" s="6">
        <v>70</v>
      </c>
      <c r="I74" s="2"/>
      <c r="J74" s="7">
        <f t="shared" si="45"/>
        <v>8.149418422575286E-5</v>
      </c>
      <c r="K74" s="2"/>
      <c r="L74" s="6">
        <f t="shared" si="46"/>
        <v>-70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140</v>
      </c>
      <c r="U74" s="2"/>
      <c r="V74" s="7">
        <f t="shared" si="49"/>
        <v>2.3144432334028384E-5</v>
      </c>
      <c r="W74" s="2"/>
      <c r="X74" s="6">
        <f t="shared" si="50"/>
        <v>-140</v>
      </c>
      <c r="Y74" s="2"/>
      <c r="Z74" s="7">
        <f t="shared" si="51"/>
        <v>-1</v>
      </c>
    </row>
    <row r="75" spans="1:26" s="24" customFormat="1" hidden="1" outlineLevel="2" x14ac:dyDescent="0.25">
      <c r="A75" s="26"/>
      <c r="B75" s="11" t="str">
        <f>CONCATENATE("          ", "6373", " - ", "MAINTENANCE CONTRACTS")</f>
        <v xml:space="preserve">          6373 - MAINTENANCE CONTRACTS</v>
      </c>
      <c r="C75" s="11"/>
      <c r="D75" s="6">
        <v>221.43</v>
      </c>
      <c r="E75" s="2"/>
      <c r="F75" s="7">
        <f t="shared" si="44"/>
        <v>2.7726777283856949E-4</v>
      </c>
      <c r="G75" s="2"/>
      <c r="H75" s="6">
        <v>30</v>
      </c>
      <c r="I75" s="2"/>
      <c r="J75" s="7">
        <f t="shared" si="45"/>
        <v>3.4926078953894086E-5</v>
      </c>
      <c r="K75" s="2"/>
      <c r="L75" s="6">
        <f t="shared" si="46"/>
        <v>191.43</v>
      </c>
      <c r="M75" s="2"/>
      <c r="N75" s="7">
        <f t="shared" si="47"/>
        <v>6.3810000000000002</v>
      </c>
      <c r="O75" s="11"/>
      <c r="P75" s="6">
        <v>481.82</v>
      </c>
      <c r="Q75" s="2"/>
      <c r="R75" s="7">
        <f t="shared" si="48"/>
        <v>7.9138492152670831E-5</v>
      </c>
      <c r="S75" s="2"/>
      <c r="T75" s="6">
        <v>3680</v>
      </c>
      <c r="U75" s="2"/>
      <c r="V75" s="7">
        <f t="shared" si="49"/>
        <v>6.0836793563731747E-4</v>
      </c>
      <c r="W75" s="2"/>
      <c r="X75" s="6">
        <f t="shared" si="50"/>
        <v>-3198.18</v>
      </c>
      <c r="Y75" s="2"/>
      <c r="Z75" s="7">
        <f t="shared" si="51"/>
        <v>-0.86907065217391299</v>
      </c>
    </row>
    <row r="76" spans="1:26" s="24" customFormat="1" hidden="1" outlineLevel="2" x14ac:dyDescent="0.25">
      <c r="A76" s="26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188.79</v>
      </c>
      <c r="E76" s="2"/>
      <c r="F76" s="7">
        <f t="shared" si="44"/>
        <v>2.3639697798037091E-4</v>
      </c>
      <c r="G76" s="2"/>
      <c r="H76" s="6">
        <v>510</v>
      </c>
      <c r="I76" s="2"/>
      <c r="J76" s="7">
        <f t="shared" si="45"/>
        <v>5.9374334221619937E-4</v>
      </c>
      <c r="K76" s="2"/>
      <c r="L76" s="6">
        <f t="shared" si="46"/>
        <v>-321.21000000000004</v>
      </c>
      <c r="M76" s="2"/>
      <c r="N76" s="7">
        <f t="shared" si="47"/>
        <v>-0.62982352941176478</v>
      </c>
      <c r="O76" s="11"/>
      <c r="P76" s="6">
        <v>509.19</v>
      </c>
      <c r="Q76" s="2"/>
      <c r="R76" s="7">
        <f t="shared" si="48"/>
        <v>8.3633989496530777E-5</v>
      </c>
      <c r="S76" s="2"/>
      <c r="T76" s="6">
        <v>3060</v>
      </c>
      <c r="U76" s="2"/>
      <c r="V76" s="7">
        <f t="shared" si="49"/>
        <v>5.0587116387233462E-4</v>
      </c>
      <c r="W76" s="2"/>
      <c r="X76" s="6">
        <f t="shared" si="50"/>
        <v>-2550.81</v>
      </c>
      <c r="Y76" s="2"/>
      <c r="Z76" s="7">
        <f t="shared" si="51"/>
        <v>-0.8335980392156862</v>
      </c>
    </row>
    <row r="77" spans="1:26" s="25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17824.04</v>
      </c>
      <c r="E77" s="1"/>
      <c r="F77" s="5">
        <f t="shared" ref="F77:F81" si="52">IF(D$12=0,0,D77/D$12)</f>
        <v>2.231870963187272E-2</v>
      </c>
      <c r="G77" s="1"/>
      <c r="H77" s="1">
        <f>SUM(OSRRefH22_13x_0)</f>
        <v>18749</v>
      </c>
      <c r="I77" s="1"/>
      <c r="J77" s="5">
        <f t="shared" ref="J77:J81" si="53">IF(H$12=0,0,H77/H$12)</f>
        <v>2.1827635143552005E-2</v>
      </c>
      <c r="K77" s="1"/>
      <c r="L77" s="1">
        <f t="shared" ref="L77:L81" si="54">+D77-H77</f>
        <v>-924.95999999999913</v>
      </c>
      <c r="M77" s="1"/>
      <c r="N77" s="5">
        <f t="shared" ref="N77:N81" si="55">IF(H77=0,0,L77/H77)</f>
        <v>-4.9333831137660628E-2</v>
      </c>
      <c r="O77" s="13"/>
      <c r="P77" s="1">
        <f>SUM(OSRRefP22_13x_0)</f>
        <v>112966.77</v>
      </c>
      <c r="Q77" s="1"/>
      <c r="R77" s="5">
        <f t="shared" ref="R77:R81" si="56">IF(P$12=0,0,P77/P$12)</f>
        <v>1.8554688143201964E-2</v>
      </c>
      <c r="S77" s="1"/>
      <c r="T77" s="1">
        <f>SUM(OSRRefT22_13x_0)</f>
        <v>111352</v>
      </c>
      <c r="U77" s="1"/>
      <c r="V77" s="5">
        <f t="shared" ref="V77:V81" si="57">IF(T$12=0,0,T77/T$12)</f>
        <v>1.8408420208990917E-2</v>
      </c>
      <c r="W77" s="1"/>
      <c r="X77" s="1">
        <f t="shared" ref="X77:X81" si="58">+P77-T77</f>
        <v>1614.7700000000041</v>
      </c>
      <c r="Y77" s="1"/>
      <c r="Z77" s="5">
        <f t="shared" ref="Z77:Z81" si="59">IF(T77=0,0,X77/T77)</f>
        <v>1.450149076801498E-2</v>
      </c>
    </row>
    <row r="78" spans="1:26" s="24" customFormat="1" hidden="1" outlineLevel="2" x14ac:dyDescent="0.25">
      <c r="A78" s="26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3016.6</v>
      </c>
      <c r="E78" s="2"/>
      <c r="F78" s="7">
        <f t="shared" si="52"/>
        <v>3.7772928850870642E-3</v>
      </c>
      <c r="G78" s="2"/>
      <c r="H78" s="6">
        <v>1630</v>
      </c>
      <c r="I78" s="2"/>
      <c r="J78" s="7">
        <f t="shared" si="53"/>
        <v>1.8976502898282452E-3</v>
      </c>
      <c r="K78" s="2"/>
      <c r="L78" s="6">
        <f t="shared" si="54"/>
        <v>1386.6</v>
      </c>
      <c r="M78" s="2"/>
      <c r="N78" s="7">
        <f t="shared" si="55"/>
        <v>0.85067484662576687</v>
      </c>
      <c r="O78" s="11"/>
      <c r="P78" s="6">
        <v>10828.1</v>
      </c>
      <c r="Q78" s="2"/>
      <c r="R78" s="7">
        <f t="shared" si="56"/>
        <v>1.7785054727457038E-3</v>
      </c>
      <c r="S78" s="2"/>
      <c r="T78" s="6">
        <v>9780</v>
      </c>
      <c r="U78" s="2"/>
      <c r="V78" s="7">
        <f t="shared" si="57"/>
        <v>1.616803915905697E-3</v>
      </c>
      <c r="W78" s="2"/>
      <c r="X78" s="6">
        <f t="shared" si="58"/>
        <v>1048.1000000000004</v>
      </c>
      <c r="Y78" s="2"/>
      <c r="Z78" s="7">
        <f t="shared" si="59"/>
        <v>0.10716768916155422</v>
      </c>
    </row>
    <row r="79" spans="1:26" s="24" customFormat="1" hidden="1" outlineLevel="2" x14ac:dyDescent="0.25">
      <c r="A79" s="26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52"/>
        <v>0</v>
      </c>
      <c r="G79" s="2"/>
      <c r="H79" s="6">
        <v>550</v>
      </c>
      <c r="I79" s="2"/>
      <c r="J79" s="7">
        <f t="shared" si="53"/>
        <v>6.4031144748805818E-4</v>
      </c>
      <c r="K79" s="2"/>
      <c r="L79" s="6">
        <f t="shared" si="54"/>
        <v>-550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3250</v>
      </c>
      <c r="U79" s="2"/>
      <c r="V79" s="7">
        <f t="shared" si="57"/>
        <v>5.3728146489708743E-4</v>
      </c>
      <c r="W79" s="2"/>
      <c r="X79" s="6">
        <f t="shared" si="58"/>
        <v>-3250</v>
      </c>
      <c r="Y79" s="2"/>
      <c r="Z79" s="7">
        <f t="shared" si="59"/>
        <v>-1</v>
      </c>
    </row>
    <row r="80" spans="1:26" s="24" customFormat="1" hidden="1" outlineLevel="2" x14ac:dyDescent="0.25">
      <c r="A80" s="26"/>
      <c r="B80" s="11" t="str">
        <f>CONCATENATE("          ", "6285", " - ", "JANITORIAL SERVICES")</f>
        <v xml:space="preserve">          6285 - JANITORIAL SERVICES</v>
      </c>
      <c r="C80" s="11"/>
      <c r="D80" s="6">
        <v>11438.01</v>
      </c>
      <c r="E80" s="2"/>
      <c r="F80" s="7">
        <f t="shared" si="52"/>
        <v>1.4322321087500728E-2</v>
      </c>
      <c r="G80" s="2"/>
      <c r="H80" s="6">
        <v>11769</v>
      </c>
      <c r="I80" s="2"/>
      <c r="J80" s="7">
        <f t="shared" si="53"/>
        <v>1.3701500773612648E-2</v>
      </c>
      <c r="K80" s="2"/>
      <c r="L80" s="6">
        <f t="shared" si="54"/>
        <v>-330.98999999999978</v>
      </c>
      <c r="M80" s="2"/>
      <c r="N80" s="7">
        <f t="shared" si="55"/>
        <v>-2.8123884782054531E-2</v>
      </c>
      <c r="O80" s="11"/>
      <c r="P80" s="6">
        <v>74085.02</v>
      </c>
      <c r="Q80" s="2"/>
      <c r="R80" s="7">
        <f t="shared" si="56"/>
        <v>1.2168396442448345E-2</v>
      </c>
      <c r="S80" s="2"/>
      <c r="T80" s="6">
        <v>71122</v>
      </c>
      <c r="U80" s="2"/>
      <c r="V80" s="7">
        <f t="shared" si="57"/>
        <v>1.1757702260434048E-2</v>
      </c>
      <c r="W80" s="2"/>
      <c r="X80" s="6">
        <f t="shared" si="58"/>
        <v>2963.0200000000041</v>
      </c>
      <c r="Y80" s="2"/>
      <c r="Z80" s="7">
        <f t="shared" si="59"/>
        <v>4.1661089395686343E-2</v>
      </c>
    </row>
    <row r="81" spans="1:26" s="24" customFormat="1" hidden="1" outlineLevel="2" x14ac:dyDescent="0.25">
      <c r="A81" s="26"/>
      <c r="B81" s="11" t="str">
        <f>CONCATENATE("          ", "6286", " - ", "LAUNDRY EXPENSE")</f>
        <v xml:space="preserve">          6286 - LAUNDRY EXPENSE</v>
      </c>
      <c r="C81" s="11"/>
      <c r="D81" s="6">
        <v>3369.43</v>
      </c>
      <c r="E81" s="2"/>
      <c r="F81" s="7">
        <f t="shared" si="52"/>
        <v>4.2190956592849261E-3</v>
      </c>
      <c r="G81" s="2"/>
      <c r="H81" s="6">
        <v>4800</v>
      </c>
      <c r="I81" s="2"/>
      <c r="J81" s="7">
        <f t="shared" si="53"/>
        <v>5.5881726326230535E-3</v>
      </c>
      <c r="K81" s="2"/>
      <c r="L81" s="6">
        <f t="shared" si="54"/>
        <v>-1430.5700000000002</v>
      </c>
      <c r="M81" s="2"/>
      <c r="N81" s="7">
        <f t="shared" si="55"/>
        <v>-0.29803541666666672</v>
      </c>
      <c r="O81" s="11"/>
      <c r="P81" s="6">
        <v>28053.649999999998</v>
      </c>
      <c r="Q81" s="2"/>
      <c r="R81" s="7">
        <f t="shared" si="56"/>
        <v>4.6077862280079155E-3</v>
      </c>
      <c r="S81" s="2"/>
      <c r="T81" s="6">
        <v>27200</v>
      </c>
      <c r="U81" s="2"/>
      <c r="V81" s="7">
        <f t="shared" si="57"/>
        <v>4.4966325677540855E-3</v>
      </c>
      <c r="W81" s="2"/>
      <c r="X81" s="6">
        <f t="shared" si="58"/>
        <v>853.64999999999782</v>
      </c>
      <c r="Y81" s="2"/>
      <c r="Z81" s="7">
        <f t="shared" si="59"/>
        <v>3.1384191176470511E-2</v>
      </c>
    </row>
    <row r="82" spans="1:26" s="25" customFormat="1" outlineLevel="1" collapsed="1" x14ac:dyDescent="0.25">
      <c r="A82" s="27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10267.6</v>
      </c>
      <c r="E82" s="1"/>
      <c r="F82" s="5">
        <f t="shared" ref="F82:F91" si="60">IF(D$12=0,0,D82/D$12)</f>
        <v>1.2856770014890918E-2</v>
      </c>
      <c r="G82" s="1"/>
      <c r="H82" s="1">
        <f>SUM(OSRRefH22_14x_0)</f>
        <v>22425</v>
      </c>
      <c r="I82" s="1"/>
      <c r="J82" s="5">
        <f t="shared" ref="J82:J91" si="61">IF(H$12=0,0,H82/H$12)</f>
        <v>2.6107244018035828E-2</v>
      </c>
      <c r="K82" s="1"/>
      <c r="L82" s="1">
        <f t="shared" ref="L82:L91" si="62">+D82-H82</f>
        <v>-12157.4</v>
      </c>
      <c r="M82" s="1"/>
      <c r="N82" s="5">
        <f t="shared" ref="N82:N91" si="63">IF(H82=0,0,L82/H82)</f>
        <v>-0.54213600891861757</v>
      </c>
      <c r="O82" s="13"/>
      <c r="P82" s="1">
        <f>SUM(OSRRefP22_14x_0)</f>
        <v>134596.37</v>
      </c>
      <c r="Q82" s="1"/>
      <c r="R82" s="5">
        <f t="shared" ref="R82:R91" si="64">IF(P$12=0,0,P82/P$12)</f>
        <v>2.2107330063141795E-2</v>
      </c>
      <c r="S82" s="1"/>
      <c r="T82" s="1">
        <f>SUM(OSRRefT22_14x_0)</f>
        <v>145179</v>
      </c>
      <c r="U82" s="1"/>
      <c r="V82" s="5">
        <f t="shared" ref="V82:V91" si="65">IF(T$12=0,0,T82/T$12)</f>
        <v>2.400061101301362E-2</v>
      </c>
      <c r="W82" s="1"/>
      <c r="X82" s="1">
        <f t="shared" ref="X82:X91" si="66">+P82-T82</f>
        <v>-10582.630000000005</v>
      </c>
      <c r="Y82" s="1"/>
      <c r="Z82" s="5">
        <f t="shared" ref="Z82:Z91" si="67">IF(T82=0,0,X82/T82)</f>
        <v>-7.2893669194580513E-2</v>
      </c>
    </row>
    <row r="83" spans="1:26" s="24" customFormat="1" hidden="1" outlineLevel="2" x14ac:dyDescent="0.25">
      <c r="A83" s="26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60"/>
        <v>0</v>
      </c>
      <c r="G83" s="2"/>
      <c r="H83" s="6"/>
      <c r="I83" s="2"/>
      <c r="J83" s="7">
        <f t="shared" si="61"/>
        <v>0</v>
      </c>
      <c r="K83" s="2"/>
      <c r="L83" s="6">
        <f t="shared" si="62"/>
        <v>0</v>
      </c>
      <c r="M83" s="2"/>
      <c r="N83" s="7">
        <f t="shared" si="63"/>
        <v>0</v>
      </c>
      <c r="O83" s="11"/>
      <c r="P83" s="6">
        <v>100</v>
      </c>
      <c r="Q83" s="2"/>
      <c r="R83" s="7">
        <f t="shared" si="64"/>
        <v>1.6424908088637008E-5</v>
      </c>
      <c r="S83" s="2"/>
      <c r="T83" s="6">
        <v>600</v>
      </c>
      <c r="U83" s="2"/>
      <c r="V83" s="7">
        <f t="shared" si="65"/>
        <v>9.9190424288693064E-5</v>
      </c>
      <c r="W83" s="2"/>
      <c r="X83" s="6">
        <f t="shared" si="66"/>
        <v>-500</v>
      </c>
      <c r="Y83" s="2"/>
      <c r="Z83" s="7">
        <f t="shared" si="67"/>
        <v>-0.83333333333333337</v>
      </c>
    </row>
    <row r="84" spans="1:26" s="24" customFormat="1" hidden="1" outlineLevel="2" x14ac:dyDescent="0.25">
      <c r="A84" s="26"/>
      <c r="B84" s="11" t="str">
        <f>CONCATENATE("          ", "6237", " - ", "JANITORIAL SUPPLIES")</f>
        <v xml:space="preserve">          6237 - JANITORIAL SUPPLIES</v>
      </c>
      <c r="C84" s="11"/>
      <c r="D84" s="6">
        <v>4978.47</v>
      </c>
      <c r="E84" s="2"/>
      <c r="F84" s="7">
        <f t="shared" si="60"/>
        <v>6.2338856028705822E-3</v>
      </c>
      <c r="G84" s="2"/>
      <c r="H84" s="6">
        <v>9855</v>
      </c>
      <c r="I84" s="2"/>
      <c r="J84" s="7">
        <f t="shared" si="61"/>
        <v>1.1473216936354206E-2</v>
      </c>
      <c r="K84" s="2"/>
      <c r="L84" s="6">
        <f t="shared" si="62"/>
        <v>-4876.53</v>
      </c>
      <c r="M84" s="2"/>
      <c r="N84" s="7">
        <f t="shared" si="63"/>
        <v>-0.49482800608828004</v>
      </c>
      <c r="O84" s="11"/>
      <c r="P84" s="6">
        <v>50195.19</v>
      </c>
      <c r="Q84" s="2"/>
      <c r="R84" s="7">
        <f t="shared" si="64"/>
        <v>8.2445138224167148E-3</v>
      </c>
      <c r="S84" s="2"/>
      <c r="T84" s="6">
        <v>57875</v>
      </c>
      <c r="U84" s="2"/>
      <c r="V84" s="7">
        <f t="shared" si="65"/>
        <v>9.5677430095135185E-3</v>
      </c>
      <c r="W84" s="2"/>
      <c r="X84" s="6">
        <f t="shared" si="66"/>
        <v>-7679.8099999999977</v>
      </c>
      <c r="Y84" s="2"/>
      <c r="Z84" s="7">
        <f t="shared" si="67"/>
        <v>-0.13269650107991357</v>
      </c>
    </row>
    <row r="85" spans="1:26" s="24" customFormat="1" hidden="1" outlineLevel="2" x14ac:dyDescent="0.25">
      <c r="A85" s="26"/>
      <c r="B85" s="11" t="str">
        <f>CONCATENATE("          ", "6239", " - ", "KITCHEN SUPPLIES")</f>
        <v xml:space="preserve">          6239 - KITCHEN SUPPLIES</v>
      </c>
      <c r="C85" s="11"/>
      <c r="D85" s="6">
        <v>357.36</v>
      </c>
      <c r="E85" s="2"/>
      <c r="F85" s="7">
        <f t="shared" si="60"/>
        <v>4.4747509958718872E-4</v>
      </c>
      <c r="G85" s="2"/>
      <c r="H85" s="6">
        <v>3650</v>
      </c>
      <c r="I85" s="2"/>
      <c r="J85" s="7">
        <f t="shared" si="61"/>
        <v>4.2493396060571138E-3</v>
      </c>
      <c r="K85" s="2"/>
      <c r="L85" s="6">
        <f t="shared" si="62"/>
        <v>-3292.64</v>
      </c>
      <c r="M85" s="2"/>
      <c r="N85" s="7">
        <f t="shared" si="63"/>
        <v>-0.90209315068493146</v>
      </c>
      <c r="O85" s="11"/>
      <c r="P85" s="6">
        <v>21628.190000000002</v>
      </c>
      <c r="Q85" s="2"/>
      <c r="R85" s="7">
        <f t="shared" si="64"/>
        <v>3.552410328735781E-3</v>
      </c>
      <c r="S85" s="2"/>
      <c r="T85" s="6">
        <v>27350</v>
      </c>
      <c r="U85" s="2"/>
      <c r="V85" s="7">
        <f t="shared" si="65"/>
        <v>4.5214301738262588E-3</v>
      </c>
      <c r="W85" s="2"/>
      <c r="X85" s="6">
        <f t="shared" si="66"/>
        <v>-5721.8099999999977</v>
      </c>
      <c r="Y85" s="2"/>
      <c r="Z85" s="7">
        <f t="shared" si="67"/>
        <v>-0.20920694698354653</v>
      </c>
    </row>
    <row r="86" spans="1:26" s="24" customFormat="1" hidden="1" outlineLevel="2" x14ac:dyDescent="0.25">
      <c r="A86" s="26"/>
      <c r="B86" s="11" t="str">
        <f>CONCATENATE("          ", "6241", " - ", "OFFICE EXPENSE")</f>
        <v xml:space="preserve">          6241 - OFFICE EXPENSE</v>
      </c>
      <c r="C86" s="11"/>
      <c r="D86" s="6">
        <v>611.46</v>
      </c>
      <c r="E86" s="2"/>
      <c r="F86" s="7">
        <f t="shared" si="60"/>
        <v>7.656512323527603E-4</v>
      </c>
      <c r="G86" s="2"/>
      <c r="H86" s="6">
        <v>1379</v>
      </c>
      <c r="I86" s="2"/>
      <c r="J86" s="7">
        <f t="shared" si="61"/>
        <v>1.6054354292473314E-3</v>
      </c>
      <c r="K86" s="2"/>
      <c r="L86" s="6">
        <f t="shared" si="62"/>
        <v>-767.54</v>
      </c>
      <c r="M86" s="2"/>
      <c r="N86" s="7">
        <f t="shared" si="63"/>
        <v>-0.55659173313995647</v>
      </c>
      <c r="O86" s="11"/>
      <c r="P86" s="6">
        <v>26706.15</v>
      </c>
      <c r="Q86" s="2"/>
      <c r="R86" s="7">
        <f t="shared" si="64"/>
        <v>4.3864605915135326E-3</v>
      </c>
      <c r="S86" s="2"/>
      <c r="T86" s="6">
        <v>7950</v>
      </c>
      <c r="U86" s="2"/>
      <c r="V86" s="7">
        <f t="shared" si="65"/>
        <v>1.3142731218251831E-3</v>
      </c>
      <c r="W86" s="2"/>
      <c r="X86" s="6">
        <f t="shared" si="66"/>
        <v>18756.150000000001</v>
      </c>
      <c r="Y86" s="2"/>
      <c r="Z86" s="7">
        <f t="shared" si="67"/>
        <v>2.3592641509433965</v>
      </c>
    </row>
    <row r="87" spans="1:26" s="24" customFormat="1" hidden="1" outlineLevel="2" x14ac:dyDescent="0.25">
      <c r="A87" s="26"/>
      <c r="B87" s="11" t="str">
        <f>CONCATENATE("          ", "6243", " - ", "PAPER SUPPLIES")</f>
        <v xml:space="preserve">          6243 - PAPER SUPPLIES</v>
      </c>
      <c r="C87" s="11"/>
      <c r="D87" s="6">
        <v>4311.9399999999996</v>
      </c>
      <c r="E87" s="2"/>
      <c r="F87" s="7">
        <f t="shared" si="60"/>
        <v>5.3992774258842125E-3</v>
      </c>
      <c r="G87" s="2"/>
      <c r="H87" s="6">
        <v>6859</v>
      </c>
      <c r="I87" s="2"/>
      <c r="J87" s="7">
        <f t="shared" si="61"/>
        <v>7.9852658514919846E-3</v>
      </c>
      <c r="K87" s="2"/>
      <c r="L87" s="6">
        <f t="shared" si="62"/>
        <v>-2547.0600000000004</v>
      </c>
      <c r="M87" s="2"/>
      <c r="N87" s="7">
        <f t="shared" si="63"/>
        <v>-0.37134567721242168</v>
      </c>
      <c r="O87" s="11"/>
      <c r="P87" s="6">
        <v>37832.97</v>
      </c>
      <c r="Q87" s="2"/>
      <c r="R87" s="7">
        <f t="shared" si="64"/>
        <v>6.2140305497016129E-3</v>
      </c>
      <c r="S87" s="2"/>
      <c r="T87" s="6">
        <v>39345</v>
      </c>
      <c r="U87" s="2"/>
      <c r="V87" s="7">
        <f t="shared" si="65"/>
        <v>6.504412072731048E-3</v>
      </c>
      <c r="W87" s="2"/>
      <c r="X87" s="6">
        <f t="shared" si="66"/>
        <v>-1512.0299999999988</v>
      </c>
      <c r="Y87" s="2"/>
      <c r="Z87" s="7">
        <f t="shared" si="67"/>
        <v>-3.8430041936713656E-2</v>
      </c>
    </row>
    <row r="88" spans="1:26" s="24" customFormat="1" hidden="1" outlineLevel="2" x14ac:dyDescent="0.25">
      <c r="A88" s="26"/>
      <c r="B88" s="11" t="str">
        <f>CONCATENATE("          ", "6244", " - ", "SAFETY SUPPLY EXPENSE")</f>
        <v xml:space="preserve">          6244 - SAFETY SUPPLY EXPENSE</v>
      </c>
      <c r="C88" s="11"/>
      <c r="D88" s="6"/>
      <c r="E88" s="2"/>
      <c r="F88" s="7">
        <f t="shared" si="60"/>
        <v>0</v>
      </c>
      <c r="G88" s="2"/>
      <c r="H88" s="6">
        <v>125</v>
      </c>
      <c r="I88" s="2"/>
      <c r="J88" s="7">
        <f t="shared" si="61"/>
        <v>1.4552532897455867E-4</v>
      </c>
      <c r="K88" s="2"/>
      <c r="L88" s="6">
        <f t="shared" si="62"/>
        <v>-125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750</v>
      </c>
      <c r="U88" s="2"/>
      <c r="V88" s="7">
        <f t="shared" si="65"/>
        <v>1.2398803036086633E-4</v>
      </c>
      <c r="W88" s="2"/>
      <c r="X88" s="6">
        <f t="shared" si="66"/>
        <v>-750</v>
      </c>
      <c r="Y88" s="2"/>
      <c r="Z88" s="7">
        <f t="shared" si="67"/>
        <v>-1</v>
      </c>
    </row>
    <row r="89" spans="1:26" s="24" customFormat="1" hidden="1" outlineLevel="2" x14ac:dyDescent="0.25">
      <c r="A89" s="26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60"/>
        <v>0</v>
      </c>
      <c r="G89" s="2"/>
      <c r="H89" s="6">
        <v>160</v>
      </c>
      <c r="I89" s="2"/>
      <c r="J89" s="7">
        <f t="shared" si="61"/>
        <v>1.862724210874351E-4</v>
      </c>
      <c r="K89" s="2"/>
      <c r="L89" s="6">
        <f t="shared" si="62"/>
        <v>-160</v>
      </c>
      <c r="M89" s="2"/>
      <c r="N89" s="7">
        <f t="shared" si="63"/>
        <v>-1</v>
      </c>
      <c r="O89" s="11"/>
      <c r="P89" s="6">
        <v>1351.44</v>
      </c>
      <c r="Q89" s="2"/>
      <c r="R89" s="7">
        <f t="shared" si="64"/>
        <v>2.2197277787307598E-4</v>
      </c>
      <c r="S89" s="2"/>
      <c r="T89" s="6">
        <v>950</v>
      </c>
      <c r="U89" s="2"/>
      <c r="V89" s="7">
        <f t="shared" si="65"/>
        <v>1.5705150512376404E-4</v>
      </c>
      <c r="W89" s="2"/>
      <c r="X89" s="6">
        <f t="shared" si="66"/>
        <v>401.44000000000005</v>
      </c>
      <c r="Y89" s="2"/>
      <c r="Z89" s="7">
        <f t="shared" si="67"/>
        <v>0.42256842105263165</v>
      </c>
    </row>
    <row r="90" spans="1:26" s="24" customFormat="1" hidden="1" outlineLevel="2" x14ac:dyDescent="0.25">
      <c r="A90" s="26"/>
      <c r="B90" s="11" t="str">
        <f>CONCATENATE("          ", "6247", " - ", "STORE SUPPLIES")</f>
        <v xml:space="preserve">          6247 - STORE SUPPLIES</v>
      </c>
      <c r="C90" s="11"/>
      <c r="D90" s="6">
        <v>8.3699999999999992</v>
      </c>
      <c r="E90" s="2"/>
      <c r="F90" s="7">
        <f t="shared" si="60"/>
        <v>1.0480654196174079E-5</v>
      </c>
      <c r="G90" s="2"/>
      <c r="H90" s="6">
        <v>22</v>
      </c>
      <c r="I90" s="2"/>
      <c r="J90" s="7">
        <f t="shared" si="61"/>
        <v>2.5612457899522327E-5</v>
      </c>
      <c r="K90" s="2"/>
      <c r="L90" s="6">
        <f t="shared" si="62"/>
        <v>-13.63</v>
      </c>
      <c r="M90" s="2"/>
      <c r="N90" s="7">
        <f t="shared" si="63"/>
        <v>-0.61954545454545462</v>
      </c>
      <c r="O90" s="11"/>
      <c r="P90" s="6">
        <v>667.78</v>
      </c>
      <c r="Q90" s="2"/>
      <c r="R90" s="7">
        <f t="shared" si="64"/>
        <v>1.0968225123430021E-4</v>
      </c>
      <c r="S90" s="2"/>
      <c r="T90" s="6">
        <v>109</v>
      </c>
      <c r="U90" s="2"/>
      <c r="V90" s="7">
        <f t="shared" si="65"/>
        <v>1.8019593745779242E-5</v>
      </c>
      <c r="W90" s="2"/>
      <c r="X90" s="6">
        <f t="shared" si="66"/>
        <v>558.78</v>
      </c>
      <c r="Y90" s="2"/>
      <c r="Z90" s="7">
        <f t="shared" si="67"/>
        <v>5.1264220183486238</v>
      </c>
    </row>
    <row r="91" spans="1:26" s="24" customFormat="1" hidden="1" outlineLevel="2" x14ac:dyDescent="0.25">
      <c r="A91" s="26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60"/>
        <v>0</v>
      </c>
      <c r="G91" s="2"/>
      <c r="H91" s="6">
        <v>375</v>
      </c>
      <c r="I91" s="2"/>
      <c r="J91" s="7">
        <f t="shared" si="61"/>
        <v>4.3657598692367606E-4</v>
      </c>
      <c r="K91" s="2"/>
      <c r="L91" s="6">
        <f t="shared" si="62"/>
        <v>-375</v>
      </c>
      <c r="M91" s="2"/>
      <c r="N91" s="7">
        <f t="shared" si="63"/>
        <v>-1</v>
      </c>
      <c r="O91" s="11"/>
      <c r="P91" s="6">
        <v>-3885.35</v>
      </c>
      <c r="Q91" s="2"/>
      <c r="R91" s="7">
        <f t="shared" si="64"/>
        <v>-6.3816516642185796E-4</v>
      </c>
      <c r="S91" s="2"/>
      <c r="T91" s="6">
        <v>10250</v>
      </c>
      <c r="U91" s="2"/>
      <c r="V91" s="7">
        <f t="shared" si="65"/>
        <v>1.6945030815985066E-3</v>
      </c>
      <c r="W91" s="2"/>
      <c r="X91" s="6">
        <f t="shared" si="66"/>
        <v>-14135.35</v>
      </c>
      <c r="Y91" s="2"/>
      <c r="Z91" s="7">
        <f t="shared" si="67"/>
        <v>-1.3790585365853658</v>
      </c>
    </row>
    <row r="92" spans="1:26" s="25" customFormat="1" outlineLevel="1" collapsed="1" x14ac:dyDescent="0.25">
      <c r="A92" s="27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738.55</v>
      </c>
      <c r="E92" s="1"/>
      <c r="F92" s="5">
        <f t="shared" ref="F92:F98" si="68">IF(D$12=0,0,D92/D$12)</f>
        <v>9.2478938549395053E-4</v>
      </c>
      <c r="G92" s="1"/>
      <c r="H92" s="1">
        <f>SUM(OSRRefH22_15x_0)</f>
        <v>793</v>
      </c>
      <c r="I92" s="1"/>
      <c r="J92" s="5">
        <f t="shared" ref="J92:J98" si="69">IF(H$12=0,0,H92/H$12)</f>
        <v>9.2321268701460023E-4</v>
      </c>
      <c r="K92" s="1"/>
      <c r="L92" s="1">
        <f t="shared" ref="L92:L98" si="70">+D92-H92</f>
        <v>-54.450000000000045</v>
      </c>
      <c r="M92" s="1"/>
      <c r="N92" s="5">
        <f t="shared" ref="N92:N98" si="71">IF(H92=0,0,L92/H92)</f>
        <v>-6.8663303909205609E-2</v>
      </c>
      <c r="O92" s="13"/>
      <c r="P92" s="1">
        <f>SUM(OSRRefP22_15x_0)</f>
        <v>3691.05</v>
      </c>
      <c r="Q92" s="1"/>
      <c r="R92" s="5">
        <f t="shared" ref="R92:R98" si="72">IF(P$12=0,0,P92/P$12)</f>
        <v>6.0625157000563626E-4</v>
      </c>
      <c r="S92" s="1"/>
      <c r="T92" s="1">
        <f>SUM(OSRRefT22_15x_0)</f>
        <v>4758</v>
      </c>
      <c r="U92" s="1"/>
      <c r="V92" s="5">
        <f t="shared" ref="V92:V98" si="73">IF(T$12=0,0,T92/T$12)</f>
        <v>7.8658006460933605E-4</v>
      </c>
      <c r="W92" s="1"/>
      <c r="X92" s="1">
        <f t="shared" ref="X92:X98" si="74">+P92-T92</f>
        <v>-1066.9499999999998</v>
      </c>
      <c r="Y92" s="1"/>
      <c r="Z92" s="5">
        <f t="shared" ref="Z92:Z98" si="75">IF(T92=0,0,X92/T92)</f>
        <v>-0.22424337957124837</v>
      </c>
    </row>
    <row r="93" spans="1:26" s="24" customFormat="1" hidden="1" outlineLevel="2" x14ac:dyDescent="0.25">
      <c r="A93" s="26"/>
      <c r="B93" s="11" t="str">
        <f>CONCATENATE("          ", "6309", " - ", "TELEPHONE")</f>
        <v xml:space="preserve">          6309 - TELEPHONE</v>
      </c>
      <c r="C93" s="11"/>
      <c r="D93" s="6">
        <v>738.55</v>
      </c>
      <c r="E93" s="2"/>
      <c r="F93" s="7">
        <f t="shared" si="68"/>
        <v>9.2478938549395053E-4</v>
      </c>
      <c r="G93" s="2"/>
      <c r="H93" s="6">
        <v>793</v>
      </c>
      <c r="I93" s="2"/>
      <c r="J93" s="7">
        <f t="shared" si="69"/>
        <v>9.2321268701460023E-4</v>
      </c>
      <c r="K93" s="2"/>
      <c r="L93" s="6">
        <f t="shared" si="70"/>
        <v>-54.450000000000045</v>
      </c>
      <c r="M93" s="2"/>
      <c r="N93" s="7">
        <f t="shared" si="71"/>
        <v>-6.8663303909205609E-2</v>
      </c>
      <c r="O93" s="11"/>
      <c r="P93" s="6">
        <v>3691.05</v>
      </c>
      <c r="Q93" s="2"/>
      <c r="R93" s="7">
        <f t="shared" si="72"/>
        <v>6.0625157000563626E-4</v>
      </c>
      <c r="S93" s="2"/>
      <c r="T93" s="6">
        <v>4758</v>
      </c>
      <c r="U93" s="2"/>
      <c r="V93" s="7">
        <f t="shared" si="73"/>
        <v>7.8658006460933605E-4</v>
      </c>
      <c r="W93" s="2"/>
      <c r="X93" s="6">
        <f t="shared" si="74"/>
        <v>-1066.9499999999998</v>
      </c>
      <c r="Y93" s="2"/>
      <c r="Z93" s="7">
        <f t="shared" si="75"/>
        <v>-0.22424337957124837</v>
      </c>
    </row>
    <row r="94" spans="1:26" s="25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1504.1</v>
      </c>
      <c r="E94" s="1"/>
      <c r="F94" s="5">
        <f t="shared" si="68"/>
        <v>1.8833873329110434E-3</v>
      </c>
      <c r="G94" s="1"/>
      <c r="H94" s="1">
        <f>SUM(OSRRefH22_16x_0)</f>
        <v>1000</v>
      </c>
      <c r="I94" s="1"/>
      <c r="J94" s="5">
        <f t="shared" si="69"/>
        <v>1.1642026317964693E-3</v>
      </c>
      <c r="K94" s="1"/>
      <c r="L94" s="1">
        <f t="shared" si="70"/>
        <v>504.09999999999991</v>
      </c>
      <c r="M94" s="1"/>
      <c r="N94" s="5">
        <f t="shared" si="71"/>
        <v>0.50409999999999988</v>
      </c>
      <c r="O94" s="13"/>
      <c r="P94" s="1">
        <f>SUM(OSRRefP22_16x_0)</f>
        <v>5761.37</v>
      </c>
      <c r="Q94" s="1"/>
      <c r="R94" s="5">
        <f t="shared" si="72"/>
        <v>9.46299727146306E-4</v>
      </c>
      <c r="S94" s="1"/>
      <c r="T94" s="1">
        <f>SUM(OSRRefT22_16x_0)</f>
        <v>8758</v>
      </c>
      <c r="U94" s="1"/>
      <c r="V94" s="5">
        <f t="shared" si="73"/>
        <v>1.4478495598672899E-3</v>
      </c>
      <c r="W94" s="1"/>
      <c r="X94" s="1">
        <f t="shared" si="74"/>
        <v>-2996.63</v>
      </c>
      <c r="Y94" s="1"/>
      <c r="Z94" s="5">
        <f t="shared" si="75"/>
        <v>-0.34215916875999086</v>
      </c>
    </row>
    <row r="95" spans="1:26" s="24" customFormat="1" hidden="1" outlineLevel="2" x14ac:dyDescent="0.25">
      <c r="A95" s="26"/>
      <c r="B95" s="11" t="str">
        <f>CONCATENATE("          ", "6376", " - ", "TRAINING")</f>
        <v xml:space="preserve">          6376 - TRAINING</v>
      </c>
      <c r="C95" s="11"/>
      <c r="D95" s="6">
        <v>1504.1</v>
      </c>
      <c r="E95" s="2"/>
      <c r="F95" s="7">
        <f t="shared" si="68"/>
        <v>1.8833873329110434E-3</v>
      </c>
      <c r="G95" s="2"/>
      <c r="H95" s="6">
        <v>1000</v>
      </c>
      <c r="I95" s="2"/>
      <c r="J95" s="7">
        <f t="shared" si="69"/>
        <v>1.1642026317964693E-3</v>
      </c>
      <c r="K95" s="2"/>
      <c r="L95" s="6">
        <f t="shared" si="70"/>
        <v>504.09999999999991</v>
      </c>
      <c r="M95" s="2"/>
      <c r="N95" s="7">
        <f t="shared" si="71"/>
        <v>0.50409999999999988</v>
      </c>
      <c r="O95" s="11"/>
      <c r="P95" s="6">
        <v>5761.37</v>
      </c>
      <c r="Q95" s="2"/>
      <c r="R95" s="7">
        <f t="shared" si="72"/>
        <v>9.46299727146306E-4</v>
      </c>
      <c r="S95" s="2"/>
      <c r="T95" s="6">
        <v>8758</v>
      </c>
      <c r="U95" s="2"/>
      <c r="V95" s="7">
        <f t="shared" si="73"/>
        <v>1.4478495598672899E-3</v>
      </c>
      <c r="W95" s="2"/>
      <c r="X95" s="6">
        <f t="shared" si="74"/>
        <v>-2996.63</v>
      </c>
      <c r="Y95" s="2"/>
      <c r="Z95" s="7">
        <f t="shared" si="75"/>
        <v>-0.34215916875999086</v>
      </c>
    </row>
    <row r="96" spans="1:26" s="25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-267.27999999999997</v>
      </c>
      <c r="E96" s="1"/>
      <c r="F96" s="5">
        <f t="shared" si="68"/>
        <v>-3.3467971965990534E-4</v>
      </c>
      <c r="G96" s="1"/>
      <c r="H96" s="1">
        <f>SUM(OSRRefH22_17x_0)</f>
        <v>410</v>
      </c>
      <c r="I96" s="1"/>
      <c r="J96" s="5">
        <f t="shared" si="69"/>
        <v>4.7732307903655246E-4</v>
      </c>
      <c r="K96" s="1"/>
      <c r="L96" s="1">
        <f t="shared" si="70"/>
        <v>-677.28</v>
      </c>
      <c r="M96" s="1"/>
      <c r="N96" s="5">
        <f t="shared" si="71"/>
        <v>-1.6519024390243902</v>
      </c>
      <c r="O96" s="13"/>
      <c r="P96" s="1">
        <f>SUM(OSRRefP22_17x_0)</f>
        <v>1739.28</v>
      </c>
      <c r="Q96" s="1"/>
      <c r="R96" s="5">
        <f t="shared" si="72"/>
        <v>2.8567514140404574E-4</v>
      </c>
      <c r="S96" s="1"/>
      <c r="T96" s="1">
        <f>SUM(OSRRefT22_17x_0)</f>
        <v>2460</v>
      </c>
      <c r="U96" s="1"/>
      <c r="V96" s="5">
        <f t="shared" si="73"/>
        <v>4.0668073958364159E-4</v>
      </c>
      <c r="W96" s="1"/>
      <c r="X96" s="1">
        <f t="shared" si="74"/>
        <v>-720.72</v>
      </c>
      <c r="Y96" s="1"/>
      <c r="Z96" s="5">
        <f t="shared" si="75"/>
        <v>-0.2929756097560976</v>
      </c>
    </row>
    <row r="97" spans="1:26" s="24" customFormat="1" hidden="1" outlineLevel="2" x14ac:dyDescent="0.25">
      <c r="A97" s="26"/>
      <c r="B97" s="11" t="str">
        <f>CONCATENATE("          ", "6292", " - ", "TRAVEL/CONFERENCE")</f>
        <v xml:space="preserve">          6292 - TRAVEL/CONFERENCE</v>
      </c>
      <c r="C97" s="11"/>
      <c r="D97" s="6">
        <v>-267.27999999999997</v>
      </c>
      <c r="E97" s="2"/>
      <c r="F97" s="7">
        <f t="shared" si="68"/>
        <v>-3.3467971965990534E-4</v>
      </c>
      <c r="G97" s="2"/>
      <c r="H97" s="6">
        <v>300</v>
      </c>
      <c r="I97" s="2"/>
      <c r="J97" s="7">
        <f t="shared" si="69"/>
        <v>3.4926078953894085E-4</v>
      </c>
      <c r="K97" s="2"/>
      <c r="L97" s="6">
        <f t="shared" si="70"/>
        <v>-567.28</v>
      </c>
      <c r="M97" s="2"/>
      <c r="N97" s="7">
        <f t="shared" si="71"/>
        <v>-1.8909333333333331</v>
      </c>
      <c r="O97" s="11"/>
      <c r="P97" s="6">
        <v>1739.28</v>
      </c>
      <c r="Q97" s="2"/>
      <c r="R97" s="7">
        <f t="shared" si="72"/>
        <v>2.8567514140404574E-4</v>
      </c>
      <c r="S97" s="2"/>
      <c r="T97" s="6">
        <v>1800</v>
      </c>
      <c r="U97" s="2"/>
      <c r="V97" s="7">
        <f t="shared" si="73"/>
        <v>2.9757127286607918E-4</v>
      </c>
      <c r="W97" s="2"/>
      <c r="X97" s="6">
        <f t="shared" si="74"/>
        <v>-60.720000000000027</v>
      </c>
      <c r="Y97" s="2"/>
      <c r="Z97" s="7">
        <f t="shared" si="75"/>
        <v>-3.3733333333333351E-2</v>
      </c>
    </row>
    <row r="98" spans="1:26" s="24" customFormat="1" hidden="1" outlineLevel="2" x14ac:dyDescent="0.25">
      <c r="A98" s="26"/>
      <c r="B98" s="11" t="str">
        <f>CONCATENATE("          ", "6298", " - ", "VEHICLE MILEAGE")</f>
        <v xml:space="preserve">          6298 - VEHICLE MILEAGE</v>
      </c>
      <c r="C98" s="11"/>
      <c r="D98" s="6"/>
      <c r="E98" s="2"/>
      <c r="F98" s="7">
        <f t="shared" si="68"/>
        <v>0</v>
      </c>
      <c r="G98" s="2"/>
      <c r="H98" s="6">
        <v>110</v>
      </c>
      <c r="I98" s="2"/>
      <c r="J98" s="7">
        <f t="shared" si="69"/>
        <v>1.2806228949761164E-4</v>
      </c>
      <c r="K98" s="2"/>
      <c r="L98" s="6">
        <f t="shared" si="70"/>
        <v>-110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660</v>
      </c>
      <c r="U98" s="2"/>
      <c r="V98" s="7">
        <f t="shared" si="73"/>
        <v>1.0910946671756237E-4</v>
      </c>
      <c r="W98" s="2"/>
      <c r="X98" s="6">
        <f t="shared" si="74"/>
        <v>-660</v>
      </c>
      <c r="Y98" s="2"/>
      <c r="Z98" s="7">
        <f t="shared" si="75"/>
        <v>-1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+D25-D27+D100</f>
        <v>186146.40000000014</v>
      </c>
      <c r="E102" s="14"/>
      <c r="F102" s="20">
        <f>IF(D$12=0,0,D102/D$12)</f>
        <v>0.23308674411740743</v>
      </c>
      <c r="G102" s="14"/>
      <c r="H102" s="22">
        <f>+H25-H27+H100</f>
        <v>201815.97853209969</v>
      </c>
      <c r="I102" s="14"/>
      <c r="J102" s="20">
        <f>IF(H$12=0,0,H102/H$12)</f>
        <v>0.23495469334565022</v>
      </c>
      <c r="K102" s="16"/>
      <c r="L102" s="22">
        <f>+D102-H102</f>
        <v>-15669.578532099549</v>
      </c>
      <c r="M102" s="16"/>
      <c r="N102" s="20">
        <f>IF(H102=0,0,L102/H102)</f>
        <v>-7.764290343149037E-2</v>
      </c>
      <c r="O102" s="28"/>
      <c r="P102" s="22">
        <f>+P25-P27+P100</f>
        <v>1679752.7200000011</v>
      </c>
      <c r="Q102" s="14"/>
      <c r="R102" s="20">
        <f>IF(P$12=0,0,P102/P$12)</f>
        <v>0.27589784037638032</v>
      </c>
      <c r="S102" s="14"/>
      <c r="T102" s="22">
        <f>+T25-T27+T100</f>
        <v>1541873.7517103003</v>
      </c>
      <c r="U102" s="14"/>
      <c r="V102" s="20">
        <f>IF(T$12=0,0,T102/T$12)</f>
        <v>0.25489851938623947</v>
      </c>
      <c r="W102" s="16"/>
      <c r="X102" s="22">
        <f>+P102-T102</f>
        <v>137878.9682897008</v>
      </c>
      <c r="Y102" s="16"/>
      <c r="Z102" s="20">
        <f>IF(T102=0,0,X102/T102)</f>
        <v>8.9422994675641007E-2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97441.41</v>
      </c>
      <c r="E104" s="4"/>
      <c r="F104" s="12">
        <f>IF(D$12=0,0,D104/D$12)</f>
        <v>0.1220131090319736</v>
      </c>
      <c r="G104" s="4"/>
      <c r="H104" s="4">
        <v>121455</v>
      </c>
      <c r="I104" s="4"/>
      <c r="J104" s="12">
        <f>IF(H$12=0,0,H104/H$12)</f>
        <v>0.14139823064484019</v>
      </c>
      <c r="K104" s="4"/>
      <c r="L104" s="4">
        <f>+D104-H104</f>
        <v>-24013.589999999997</v>
      </c>
      <c r="M104" s="4"/>
      <c r="N104" s="12">
        <f>IF(H104=0,0,L104/H104)</f>
        <v>-0.19771594417685559</v>
      </c>
      <c r="O104" s="10"/>
      <c r="P104" s="4">
        <v>657584.82000000007</v>
      </c>
      <c r="Q104" s="4"/>
      <c r="R104" s="12">
        <f>IF(P$12=0,0,P104/P$12)</f>
        <v>0.10800770228982912</v>
      </c>
      <c r="S104" s="4"/>
      <c r="T104" s="4">
        <v>779197</v>
      </c>
      <c r="U104" s="4"/>
      <c r="V104" s="12">
        <f>IF(T$12=0,0,T104/T$12)</f>
        <v>0.12881480172412796</v>
      </c>
      <c r="W104" s="4"/>
      <c r="X104" s="4">
        <f>+P104-T104</f>
        <v>-121612.17999999993</v>
      </c>
      <c r="Y104" s="4"/>
      <c r="Z104" s="12">
        <f>IF(T104=0,0,X104/T104)</f>
        <v>-0.15607372718324111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1">
        <f>+D102-D104</f>
        <v>88704.990000000136</v>
      </c>
      <c r="E106" s="14"/>
      <c r="F106" s="32">
        <f>IF(D$12=0,0,D106/D$12)</f>
        <v>0.11107363508543384</v>
      </c>
      <c r="G106" s="14"/>
      <c r="H106" s="31">
        <f>+H102-H104</f>
        <v>80360.978532099689</v>
      </c>
      <c r="I106" s="14"/>
      <c r="J106" s="32">
        <f>IF(H$12=0,0,H106/H$12)</f>
        <v>9.3556462700810042E-2</v>
      </c>
      <c r="K106" s="16"/>
      <c r="L106" s="31">
        <f>D106-H106</f>
        <v>8344.0114679004473</v>
      </c>
      <c r="M106" s="16"/>
      <c r="N106" s="32">
        <f>IF(H106=0,0,L106/H106)</f>
        <v>0.1038316309770604</v>
      </c>
      <c r="O106" s="28"/>
      <c r="P106" s="31">
        <f>+P102-P104</f>
        <v>1022167.9000000011</v>
      </c>
      <c r="Q106" s="14"/>
      <c r="R106" s="32">
        <f>IF(P$12=0,0,P106/P$12)</f>
        <v>0.1678901380865512</v>
      </c>
      <c r="S106" s="14"/>
      <c r="T106" s="31">
        <f>+T102-T104</f>
        <v>762676.75171030033</v>
      </c>
      <c r="U106" s="14"/>
      <c r="V106" s="32">
        <f>IF(T$12=0,0,T106/T$12)</f>
        <v>0.12608371766211152</v>
      </c>
      <c r="W106" s="16"/>
      <c r="X106" s="31">
        <f>P106-T106</f>
        <v>259491.14828970074</v>
      </c>
      <c r="Y106" s="16"/>
      <c r="Z106" s="32">
        <f>IF(T106=0,0,X106/T106)</f>
        <v>0.34023739114610824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5">
        <f>SUM(D106:D108)</f>
        <v>88704.990000000136</v>
      </c>
      <c r="E109" s="14"/>
      <c r="F109" s="34">
        <f>IF(D$12=0,0,D109/D$12)</f>
        <v>0.11107363508543384</v>
      </c>
      <c r="G109" s="14"/>
      <c r="H109" s="35">
        <f>SUM(H106:H108)</f>
        <v>80360.978532099689</v>
      </c>
      <c r="I109" s="14"/>
      <c r="J109" s="34">
        <f>IF(H$12=0,0,H109/H$12)</f>
        <v>9.3556462700810042E-2</v>
      </c>
      <c r="K109" s="16"/>
      <c r="L109" s="35">
        <f>+D109-H109</f>
        <v>8344.0114679004473</v>
      </c>
      <c r="M109" s="16"/>
      <c r="N109" s="34">
        <f>IF(H109=0,0,L109/H109)</f>
        <v>0.1038316309770604</v>
      </c>
      <c r="O109" s="28"/>
      <c r="P109" s="35">
        <f>SUM(P106:P108)</f>
        <v>1022167.9000000011</v>
      </c>
      <c r="Q109" s="14"/>
      <c r="R109" s="34">
        <f>IF(P$12=0,0,P109/P$12)</f>
        <v>0.1678901380865512</v>
      </c>
      <c r="S109" s="14"/>
      <c r="T109" s="35">
        <f>SUM(T106:T108)</f>
        <v>762676.75171030033</v>
      </c>
      <c r="U109" s="14"/>
      <c r="V109" s="34">
        <f>IF(T$12=0,0,T109/T$12)</f>
        <v>0.12608371766211152</v>
      </c>
      <c r="W109" s="16"/>
      <c r="X109" s="35">
        <f>+P109-T109</f>
        <v>259491.14828970074</v>
      </c>
      <c r="Y109" s="16"/>
      <c r="Z109" s="34">
        <f>IF(T109=0,0,X109/T109)</f>
        <v>0.34023739114610824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63">
        <v>43847.445604432869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5" t="s">
        <v>314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6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14772.26</v>
      </c>
      <c r="E18" s="21"/>
      <c r="F18" s="30">
        <f t="shared" ref="F18:F28" si="0">IF(D$12=0,0,D18/D$12)</f>
        <v>0</v>
      </c>
      <c r="G18" s="21"/>
      <c r="H18" s="21">
        <f>SUM(OSRRefH22x_0)</f>
        <v>13408.050783619999</v>
      </c>
      <c r="I18" s="21"/>
      <c r="J18" s="30">
        <f t="shared" ref="J18:J28" si="1">IF(H$12=0,0,H18/H$12)</f>
        <v>0</v>
      </c>
      <c r="K18" s="4"/>
      <c r="L18" s="21">
        <f t="shared" ref="L18:L28" si="2">+D18-H18</f>
        <v>1364.2092163800007</v>
      </c>
      <c r="M18" s="4"/>
      <c r="N18" s="30">
        <f t="shared" ref="N18:N28" si="3">IF(H18=0,0,L18/H18)</f>
        <v>0.10174552874207432</v>
      </c>
      <c r="O18" s="10"/>
      <c r="P18" s="21">
        <f>SUM(OSRRefP22x_0)</f>
        <v>92531.800000000017</v>
      </c>
      <c r="Q18" s="21"/>
      <c r="R18" s="30">
        <f t="shared" ref="R18:R28" si="4">IF(P$12=0,0,P18/P$12)</f>
        <v>0</v>
      </c>
      <c r="S18" s="21"/>
      <c r="T18" s="21">
        <f>SUM(OSRRefT22x_0)</f>
        <v>86051.330093530007</v>
      </c>
      <c r="U18" s="21"/>
      <c r="V18" s="30">
        <f t="shared" ref="V18:V28" si="5">IF(T$12=0,0,T18/T$12)</f>
        <v>0</v>
      </c>
      <c r="W18" s="4"/>
      <c r="X18" s="21">
        <f t="shared" ref="X18:X28" si="6">+P18-T18</f>
        <v>6480.4699064700108</v>
      </c>
      <c r="Y18" s="4"/>
      <c r="Z18" s="30">
        <f t="shared" ref="Z18:Z28" si="7">IF(T18=0,0,X18/T18)</f>
        <v>7.5309351981268924E-2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5667.8899999999994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1215.36981638</v>
      </c>
      <c r="M19" s="1"/>
      <c r="N19" s="5">
        <f t="shared" si="3"/>
        <v>0.27296222504529488</v>
      </c>
      <c r="O19" s="13"/>
      <c r="P19" s="1">
        <f>SUM(OSRRefP22_0x_0)</f>
        <v>35410.550000000003</v>
      </c>
      <c r="Q19" s="1"/>
      <c r="R19" s="5">
        <f t="shared" si="4"/>
        <v>0</v>
      </c>
      <c r="S19" s="1"/>
      <c r="T19" s="1">
        <f>SUM(OSRRefT22_0x_0)</f>
        <v>27952.88119353</v>
      </c>
      <c r="U19" s="1"/>
      <c r="V19" s="5">
        <f t="shared" si="5"/>
        <v>0</v>
      </c>
      <c r="W19" s="1"/>
      <c r="X19" s="1">
        <f t="shared" si="6"/>
        <v>7457.6688064700029</v>
      </c>
      <c r="Y19" s="1"/>
      <c r="Z19" s="5">
        <f t="shared" si="7"/>
        <v>0.26679427980383508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637.97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14.630547980000074</v>
      </c>
      <c r="M20" s="2"/>
      <c r="N20" s="7">
        <f t="shared" si="3"/>
        <v>2.3471236952174575E-2</v>
      </c>
      <c r="O20" s="11"/>
      <c r="P20" s="6">
        <v>4915.54</v>
      </c>
      <c r="Q20" s="2"/>
      <c r="R20" s="7">
        <f t="shared" si="4"/>
        <v>0</v>
      </c>
      <c r="S20" s="2"/>
      <c r="T20" s="6">
        <v>4051.7064381299997</v>
      </c>
      <c r="U20" s="2"/>
      <c r="V20" s="7">
        <f t="shared" si="5"/>
        <v>0</v>
      </c>
      <c r="W20" s="2"/>
      <c r="X20" s="6">
        <f t="shared" si="6"/>
        <v>863.83356187000027</v>
      </c>
      <c r="Y20" s="2"/>
      <c r="Z20" s="7">
        <f t="shared" si="7"/>
        <v>0.21320240621102077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474.04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158.0126808</v>
      </c>
      <c r="M21" s="2"/>
      <c r="N21" s="7">
        <f t="shared" si="3"/>
        <v>0.49999690279940834</v>
      </c>
      <c r="O21" s="11"/>
      <c r="P21" s="6">
        <v>1902.75</v>
      </c>
      <c r="Q21" s="2"/>
      <c r="R21" s="7">
        <f t="shared" si="4"/>
        <v>0</v>
      </c>
      <c r="S21" s="2"/>
      <c r="T21" s="6">
        <v>2054.1775748</v>
      </c>
      <c r="U21" s="2"/>
      <c r="V21" s="7">
        <f t="shared" si="5"/>
        <v>0</v>
      </c>
      <c r="W21" s="2"/>
      <c r="X21" s="6">
        <f t="shared" si="6"/>
        <v>-151.4275748</v>
      </c>
      <c r="Y21" s="2"/>
      <c r="Z21" s="7">
        <f t="shared" si="7"/>
        <v>-7.3716886338194676E-2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753.59999999999991</v>
      </c>
      <c r="M22" s="2"/>
      <c r="N22" s="7">
        <f t="shared" si="3"/>
        <v>0.38118361153262514</v>
      </c>
      <c r="O22" s="11"/>
      <c r="P22" s="6">
        <v>16383.6</v>
      </c>
      <c r="Q22" s="2"/>
      <c r="R22" s="7">
        <f t="shared" si="4"/>
        <v>0</v>
      </c>
      <c r="S22" s="2"/>
      <c r="T22" s="6">
        <v>11862</v>
      </c>
      <c r="U22" s="2"/>
      <c r="V22" s="7">
        <f t="shared" si="5"/>
        <v>0</v>
      </c>
      <c r="W22" s="2"/>
      <c r="X22" s="6">
        <f t="shared" si="6"/>
        <v>4521.6000000000004</v>
      </c>
      <c r="Y22" s="2"/>
      <c r="Z22" s="7">
        <f t="shared" si="7"/>
        <v>0.3811836115326252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31.77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10.592911600000001</v>
      </c>
      <c r="M23" s="2"/>
      <c r="N23" s="7">
        <f t="shared" si="3"/>
        <v>0.50020623231662009</v>
      </c>
      <c r="O23" s="11"/>
      <c r="P23" s="6">
        <v>166.57</v>
      </c>
      <c r="Q23" s="2"/>
      <c r="R23" s="7">
        <f t="shared" si="4"/>
        <v>0</v>
      </c>
      <c r="S23" s="2"/>
      <c r="T23" s="6">
        <v>137.65107459999999</v>
      </c>
      <c r="U23" s="2"/>
      <c r="V23" s="7">
        <f t="shared" si="5"/>
        <v>0</v>
      </c>
      <c r="W23" s="2"/>
      <c r="X23" s="6">
        <f t="shared" si="6"/>
        <v>28.918925400000006</v>
      </c>
      <c r="Y23" s="2"/>
      <c r="Z23" s="7">
        <f t="shared" si="7"/>
        <v>0.21008862796048239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-131.54292400000008</v>
      </c>
      <c r="M24" s="2"/>
      <c r="N24" s="7">
        <f t="shared" si="3"/>
        <v>-0.18779158978598876</v>
      </c>
      <c r="O24" s="11"/>
      <c r="P24" s="6">
        <v>3413.58</v>
      </c>
      <c r="Q24" s="2"/>
      <c r="R24" s="7">
        <f t="shared" si="4"/>
        <v>0</v>
      </c>
      <c r="S24" s="2"/>
      <c r="T24" s="6">
        <v>4553.0740059999998</v>
      </c>
      <c r="U24" s="2"/>
      <c r="V24" s="7">
        <f t="shared" si="5"/>
        <v>0</v>
      </c>
      <c r="W24" s="2"/>
      <c r="X24" s="6">
        <f t="shared" si="6"/>
        <v>-1139.4940059999999</v>
      </c>
      <c r="Y24" s="2"/>
      <c r="Z24" s="7">
        <f t="shared" si="7"/>
        <v>-0.25026915980245107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752.4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182.24761999999998</v>
      </c>
      <c r="M26" s="2"/>
      <c r="N26" s="7">
        <f t="shared" si="3"/>
        <v>0.31964721431137405</v>
      </c>
      <c r="O26" s="11"/>
      <c r="P26" s="6">
        <v>5231.05</v>
      </c>
      <c r="Q26" s="2"/>
      <c r="R26" s="7">
        <f t="shared" si="4"/>
        <v>0</v>
      </c>
      <c r="S26" s="2"/>
      <c r="T26" s="6">
        <v>3705.9904700000002</v>
      </c>
      <c r="U26" s="2"/>
      <c r="V26" s="7">
        <f t="shared" si="5"/>
        <v>0</v>
      </c>
      <c r="W26" s="2"/>
      <c r="X26" s="6">
        <f t="shared" si="6"/>
        <v>1525.05953</v>
      </c>
      <c r="Y26" s="2"/>
      <c r="Z26" s="7">
        <f t="shared" si="7"/>
        <v>0.41151199452490766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375.68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131.32898</v>
      </c>
      <c r="M27" s="2"/>
      <c r="N27" s="7">
        <f t="shared" si="3"/>
        <v>0.53746033063418353</v>
      </c>
      <c r="O27" s="11"/>
      <c r="P27" s="6">
        <v>2672.42</v>
      </c>
      <c r="Q27" s="2"/>
      <c r="R27" s="7">
        <f t="shared" si="4"/>
        <v>0</v>
      </c>
      <c r="S27" s="2"/>
      <c r="T27" s="6">
        <v>1588.28163</v>
      </c>
      <c r="U27" s="2"/>
      <c r="V27" s="7">
        <f t="shared" si="5"/>
        <v>0</v>
      </c>
      <c r="W27" s="2"/>
      <c r="X27" s="6">
        <f t="shared" si="6"/>
        <v>1084.1383700000001</v>
      </c>
      <c r="Y27" s="2"/>
      <c r="Z27" s="7">
        <f t="shared" si="7"/>
        <v>0.68258572631101966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96.5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96.5</v>
      </c>
      <c r="M28" s="2"/>
      <c r="N28" s="7">
        <f t="shared" si="3"/>
        <v>0</v>
      </c>
      <c r="O28" s="11"/>
      <c r="P28" s="6">
        <v>725.04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725.04</v>
      </c>
      <c r="Y28" s="2"/>
      <c r="Z28" s="7">
        <f t="shared" si="7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7330.54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9.3999999999141437E-3</v>
      </c>
      <c r="M29" s="1"/>
      <c r="N29" s="5">
        <f t="shared" ref="N29:N39" si="11">IF(H29=0,0,L29/H29)</f>
        <v>1.282308268369297E-6</v>
      </c>
      <c r="O29" s="13"/>
      <c r="P29" s="1">
        <f>SUM(OSRRefP22_1x_0)</f>
        <v>45612.24</v>
      </c>
      <c r="Q29" s="1"/>
      <c r="R29" s="5">
        <f t="shared" ref="R29:R39" si="12">IF(P$12=0,0,P29/P$12)</f>
        <v>0</v>
      </c>
      <c r="S29" s="1"/>
      <c r="T29" s="1">
        <f>SUM(OSRRefT22_1x_0)</f>
        <v>47648.448900000003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-2036.2089000000051</v>
      </c>
      <c r="Y29" s="1"/>
      <c r="Z29" s="5">
        <f t="shared" ref="Z29:Z39" si="15">IF(T29=0,0,X29/T29)</f>
        <v>-4.2734001777757866E-2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7330.54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7330.54</v>
      </c>
      <c r="M30" s="2"/>
      <c r="N30" s="7">
        <f t="shared" si="11"/>
        <v>0</v>
      </c>
      <c r="O30" s="11"/>
      <c r="P30" s="6">
        <v>45612.24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45612.24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47648.448900000003</v>
      </c>
      <c r="U31" s="2"/>
      <c r="V31" s="7">
        <f t="shared" si="13"/>
        <v>0</v>
      </c>
      <c r="W31" s="2"/>
      <c r="X31" s="6">
        <f t="shared" si="14"/>
        <v>-47648.448900000003</v>
      </c>
      <c r="Y31" s="2"/>
      <c r="Z31" s="7">
        <f t="shared" si="15"/>
        <v>-1</v>
      </c>
    </row>
    <row r="32" spans="1:26" s="24" customFormat="1" hidden="1" outlineLevel="2" x14ac:dyDescent="0.25">
      <c r="A32" s="26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6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6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750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-750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750</v>
      </c>
      <c r="U41" s="2"/>
      <c r="V41" s="7">
        <f t="shared" si="21"/>
        <v>0</v>
      </c>
      <c r="W41" s="2"/>
      <c r="X41" s="6">
        <f t="shared" si="22"/>
        <v>-750</v>
      </c>
      <c r="Y41" s="2"/>
      <c r="Z41" s="7">
        <f t="shared" si="23"/>
        <v>-1</v>
      </c>
    </row>
    <row r="42" spans="1:26" s="25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600</v>
      </c>
      <c r="U42" s="1"/>
      <c r="V42" s="5">
        <f t="shared" si="21"/>
        <v>0</v>
      </c>
      <c r="W42" s="1"/>
      <c r="X42" s="1">
        <f t="shared" si="22"/>
        <v>-600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600</v>
      </c>
      <c r="U43" s="2"/>
      <c r="V43" s="7">
        <f t="shared" si="21"/>
        <v>0</v>
      </c>
      <c r="W43" s="2"/>
      <c r="X43" s="6">
        <f t="shared" si="22"/>
        <v>-600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1800</v>
      </c>
      <c r="U44" s="1"/>
      <c r="V44" s="5">
        <f t="shared" si="21"/>
        <v>0</v>
      </c>
      <c r="W44" s="1"/>
      <c r="X44" s="1">
        <f t="shared" si="22"/>
        <v>-1800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1800</v>
      </c>
      <c r="U45" s="2"/>
      <c r="V45" s="7">
        <f t="shared" si="21"/>
        <v>0</v>
      </c>
      <c r="W45" s="2"/>
      <c r="X45" s="6">
        <f t="shared" si="22"/>
        <v>-1800</v>
      </c>
      <c r="Y45" s="2"/>
      <c r="Z45" s="7">
        <f t="shared" si="23"/>
        <v>-1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214.55</v>
      </c>
      <c r="Q46" s="1"/>
      <c r="R46" s="5">
        <f t="shared" si="20"/>
        <v>0</v>
      </c>
      <c r="S46" s="1"/>
      <c r="T46" s="1">
        <f>SUM(OSRRefT22_5x_0)</f>
        <v>1200</v>
      </c>
      <c r="U46" s="1"/>
      <c r="V46" s="5">
        <f t="shared" si="21"/>
        <v>0</v>
      </c>
      <c r="W46" s="1"/>
      <c r="X46" s="1">
        <f t="shared" si="22"/>
        <v>-985.45</v>
      </c>
      <c r="Y46" s="1"/>
      <c r="Z46" s="5">
        <f t="shared" si="23"/>
        <v>-0.82120833333333332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-200</v>
      </c>
      <c r="M47" s="2"/>
      <c r="N47" s="7">
        <f t="shared" si="19"/>
        <v>-1</v>
      </c>
      <c r="O47" s="11"/>
      <c r="P47" s="6">
        <v>214.55</v>
      </c>
      <c r="Q47" s="2"/>
      <c r="R47" s="7">
        <f t="shared" si="20"/>
        <v>0</v>
      </c>
      <c r="S47" s="2"/>
      <c r="T47" s="6">
        <v>1200</v>
      </c>
      <c r="U47" s="2"/>
      <c r="V47" s="7">
        <f t="shared" si="21"/>
        <v>0</v>
      </c>
      <c r="W47" s="2"/>
      <c r="X47" s="6">
        <f t="shared" si="22"/>
        <v>-985.45</v>
      </c>
      <c r="Y47" s="2"/>
      <c r="Z47" s="7">
        <f t="shared" si="23"/>
        <v>-0.82120833333333332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6340.43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6340.43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6340.43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6340.43</v>
      </c>
      <c r="Y49" s="2"/>
      <c r="Z49" s="7">
        <f t="shared" si="23"/>
        <v>0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94.73</v>
      </c>
      <c r="E50" s="1"/>
      <c r="F50" s="5">
        <f t="shared" si="16"/>
        <v>0</v>
      </c>
      <c r="G50" s="1"/>
      <c r="H50" s="1">
        <f>SUM(OSRRefH22_7x_0)</f>
        <v>200</v>
      </c>
      <c r="I50" s="1"/>
      <c r="J50" s="5">
        <f t="shared" si="17"/>
        <v>0</v>
      </c>
      <c r="K50" s="1"/>
      <c r="L50" s="1">
        <f t="shared" si="18"/>
        <v>-105.27</v>
      </c>
      <c r="M50" s="1"/>
      <c r="N50" s="5">
        <f t="shared" si="19"/>
        <v>-0.52634999999999998</v>
      </c>
      <c r="O50" s="13"/>
      <c r="P50" s="1">
        <f>SUM(OSRRefP22_7x_0)</f>
        <v>2433.04</v>
      </c>
      <c r="Q50" s="1"/>
      <c r="R50" s="5">
        <f t="shared" si="20"/>
        <v>0</v>
      </c>
      <c r="S50" s="1"/>
      <c r="T50" s="1">
        <f>SUM(OSRRefT22_7x_0)</f>
        <v>1900</v>
      </c>
      <c r="U50" s="1"/>
      <c r="V50" s="5">
        <f t="shared" si="21"/>
        <v>0</v>
      </c>
      <c r="W50" s="1"/>
      <c r="X50" s="1">
        <f t="shared" si="22"/>
        <v>533.04</v>
      </c>
      <c r="Y50" s="1"/>
      <c r="Z50" s="5">
        <f t="shared" si="23"/>
        <v>0.2805473684210526</v>
      </c>
    </row>
    <row r="51" spans="1:26" s="24" customFormat="1" hidden="1" outlineLevel="2" x14ac:dyDescent="0.25">
      <c r="A51" s="26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600</v>
      </c>
      <c r="U51" s="2"/>
      <c r="V51" s="7">
        <f t="shared" si="21"/>
        <v>0</v>
      </c>
      <c r="W51" s="2"/>
      <c r="X51" s="6">
        <f t="shared" si="22"/>
        <v>-600</v>
      </c>
      <c r="Y51" s="2"/>
      <c r="Z51" s="7">
        <f t="shared" si="23"/>
        <v>-1</v>
      </c>
    </row>
    <row r="52" spans="1:26" s="24" customFormat="1" hidden="1" outlineLevel="2" x14ac:dyDescent="0.25">
      <c r="A52" s="26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600</v>
      </c>
      <c r="U52" s="2"/>
      <c r="V52" s="7">
        <f t="shared" si="21"/>
        <v>0</v>
      </c>
      <c r="W52" s="2"/>
      <c r="X52" s="6">
        <f t="shared" si="22"/>
        <v>-600</v>
      </c>
      <c r="Y52" s="2"/>
      <c r="Z52" s="7">
        <f t="shared" si="23"/>
        <v>-1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>
        <v>94.73</v>
      </c>
      <c r="E53" s="2"/>
      <c r="F53" s="7">
        <f t="shared" si="16"/>
        <v>0</v>
      </c>
      <c r="G53" s="2"/>
      <c r="H53" s="6">
        <v>100</v>
      </c>
      <c r="I53" s="2"/>
      <c r="J53" s="7">
        <f t="shared" si="17"/>
        <v>0</v>
      </c>
      <c r="K53" s="2"/>
      <c r="L53" s="6">
        <f t="shared" si="18"/>
        <v>-5.269999999999996</v>
      </c>
      <c r="M53" s="2"/>
      <c r="N53" s="7">
        <f t="shared" si="19"/>
        <v>-5.2699999999999962E-2</v>
      </c>
      <c r="O53" s="11"/>
      <c r="P53" s="6">
        <v>2433.04</v>
      </c>
      <c r="Q53" s="2"/>
      <c r="R53" s="7">
        <f t="shared" si="20"/>
        <v>0</v>
      </c>
      <c r="S53" s="2"/>
      <c r="T53" s="6">
        <v>700</v>
      </c>
      <c r="U53" s="2"/>
      <c r="V53" s="7">
        <f t="shared" si="21"/>
        <v>0</v>
      </c>
      <c r="W53" s="2"/>
      <c r="X53" s="6">
        <f t="shared" si="22"/>
        <v>1733.04</v>
      </c>
      <c r="Y53" s="2"/>
      <c r="Z53" s="7">
        <f t="shared" si="23"/>
        <v>2.4757714285714285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-600</v>
      </c>
      <c r="Q54" s="1"/>
      <c r="R54" s="5">
        <f t="shared" ref="R54:R59" si="28">IF(P$12=0,0,P54/P$12)</f>
        <v>0</v>
      </c>
      <c r="S54" s="1"/>
      <c r="T54" s="1">
        <f>SUM(OSRRefT22_8x_0)</f>
        <v>600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-1200</v>
      </c>
      <c r="Y54" s="1"/>
      <c r="Z54" s="5">
        <f t="shared" ref="Z54:Z59" si="31">IF(T54=0,0,X54/T54)</f>
        <v>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-600</v>
      </c>
      <c r="Q55" s="2"/>
      <c r="R55" s="7">
        <f t="shared" si="28"/>
        <v>0</v>
      </c>
      <c r="S55" s="2"/>
      <c r="T55" s="6">
        <v>600</v>
      </c>
      <c r="U55" s="2"/>
      <c r="V55" s="7">
        <f t="shared" si="29"/>
        <v>0</v>
      </c>
      <c r="W55" s="2"/>
      <c r="X55" s="6">
        <f t="shared" si="30"/>
        <v>-1200</v>
      </c>
      <c r="Y55" s="2"/>
      <c r="Z55" s="7">
        <f t="shared" si="31"/>
        <v>-2</v>
      </c>
    </row>
    <row r="56" spans="1:26" s="25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1629.1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1329.1</v>
      </c>
      <c r="M56" s="1"/>
      <c r="N56" s="5">
        <f t="shared" si="27"/>
        <v>4.4303333333333335</v>
      </c>
      <c r="O56" s="13"/>
      <c r="P56" s="1">
        <f>SUM(OSRRefP22_9x_0)</f>
        <v>2950.22</v>
      </c>
      <c r="Q56" s="1"/>
      <c r="R56" s="5">
        <f t="shared" si="28"/>
        <v>0</v>
      </c>
      <c r="S56" s="1"/>
      <c r="T56" s="1">
        <f>SUM(OSRRefT22_9x_0)</f>
        <v>1800</v>
      </c>
      <c r="U56" s="1"/>
      <c r="V56" s="5">
        <f t="shared" si="29"/>
        <v>0</v>
      </c>
      <c r="W56" s="1"/>
      <c r="X56" s="1">
        <f t="shared" si="30"/>
        <v>1150.2199999999998</v>
      </c>
      <c r="Y56" s="1"/>
      <c r="Z56" s="5">
        <f t="shared" si="31"/>
        <v>0.63901111111111097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6">
        <v>1629.1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1329.1</v>
      </c>
      <c r="M57" s="2"/>
      <c r="N57" s="7">
        <f t="shared" si="27"/>
        <v>4.4303333333333335</v>
      </c>
      <c r="O57" s="11"/>
      <c r="P57" s="6">
        <v>2950.22</v>
      </c>
      <c r="Q57" s="2"/>
      <c r="R57" s="7">
        <f t="shared" si="28"/>
        <v>0</v>
      </c>
      <c r="S57" s="2"/>
      <c r="T57" s="6">
        <v>1800</v>
      </c>
      <c r="U57" s="2"/>
      <c r="V57" s="7">
        <f t="shared" si="29"/>
        <v>0</v>
      </c>
      <c r="W57" s="2"/>
      <c r="X57" s="6">
        <f t="shared" si="30"/>
        <v>1150.2199999999998</v>
      </c>
      <c r="Y57" s="2"/>
      <c r="Z57" s="7">
        <f t="shared" si="31"/>
        <v>0.63901111111111097</v>
      </c>
    </row>
    <row r="58" spans="1:26" s="25" customFormat="1" outlineLevel="1" collapsed="1" x14ac:dyDescent="0.25">
      <c r="A58" s="27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-300</v>
      </c>
      <c r="M58" s="1"/>
      <c r="N58" s="5">
        <f t="shared" si="27"/>
        <v>-1</v>
      </c>
      <c r="O58" s="13"/>
      <c r="P58" s="1">
        <f>SUM(OSRRefP22_10x_0)</f>
        <v>170.77</v>
      </c>
      <c r="Q58" s="1"/>
      <c r="R58" s="5">
        <f t="shared" si="28"/>
        <v>0</v>
      </c>
      <c r="S58" s="1"/>
      <c r="T58" s="1">
        <f>SUM(OSRRefT22_10x_0)</f>
        <v>1800</v>
      </c>
      <c r="U58" s="1"/>
      <c r="V58" s="5">
        <f t="shared" si="29"/>
        <v>0</v>
      </c>
      <c r="W58" s="1"/>
      <c r="X58" s="1">
        <f t="shared" si="30"/>
        <v>-1629.23</v>
      </c>
      <c r="Y58" s="1"/>
      <c r="Z58" s="5">
        <f t="shared" si="31"/>
        <v>-0.90512777777777775</v>
      </c>
    </row>
    <row r="59" spans="1:26" s="24" customFormat="1" hidden="1" outlineLevel="2" x14ac:dyDescent="0.25">
      <c r="A59" s="26"/>
      <c r="B59" s="11" t="str">
        <f>CONCATENATE("          ", "6292", " - ", "TRAVEL/CONFERENCE")</f>
        <v xml:space="preserve">          6292 - TRAVEL/CONFERENCE</v>
      </c>
      <c r="C59" s="11"/>
      <c r="D59" s="6"/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-300</v>
      </c>
      <c r="M59" s="2"/>
      <c r="N59" s="7">
        <f t="shared" si="27"/>
        <v>-1</v>
      </c>
      <c r="O59" s="11"/>
      <c r="P59" s="6">
        <v>170.77</v>
      </c>
      <c r="Q59" s="2"/>
      <c r="R59" s="7">
        <f t="shared" si="28"/>
        <v>0</v>
      </c>
      <c r="S59" s="2"/>
      <c r="T59" s="6">
        <v>1800</v>
      </c>
      <c r="U59" s="2"/>
      <c r="V59" s="7">
        <f t="shared" si="29"/>
        <v>0</v>
      </c>
      <c r="W59" s="2"/>
      <c r="X59" s="6">
        <f t="shared" si="30"/>
        <v>-1629.23</v>
      </c>
      <c r="Y59" s="2"/>
      <c r="Z59" s="7">
        <f t="shared" si="31"/>
        <v>-0.90512777777777775</v>
      </c>
    </row>
    <row r="60" spans="1:26" s="5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+D16-D18+D61</f>
        <v>-14772.26</v>
      </c>
      <c r="E63" s="14"/>
      <c r="F63" s="20">
        <f>IF(D$12=0,0,D63/D$12)</f>
        <v>0</v>
      </c>
      <c r="G63" s="14"/>
      <c r="H63" s="22">
        <f>+H16-H18+H61</f>
        <v>-13408.050783619999</v>
      </c>
      <c r="I63" s="14"/>
      <c r="J63" s="20">
        <f>IF(H$12=0,0,H63/H$12)</f>
        <v>0</v>
      </c>
      <c r="K63" s="16"/>
      <c r="L63" s="22">
        <f>+D63-H63</f>
        <v>-1364.2092163800007</v>
      </c>
      <c r="M63" s="16"/>
      <c r="N63" s="20">
        <f>IF(H63=0,0,L63/H63)</f>
        <v>0.10174552874207432</v>
      </c>
      <c r="O63" s="28"/>
      <c r="P63" s="22">
        <f>+P16-P18+P61</f>
        <v>-92531.800000000017</v>
      </c>
      <c r="Q63" s="14"/>
      <c r="R63" s="20">
        <f>IF(P$12=0,0,P63/P$12)</f>
        <v>0</v>
      </c>
      <c r="S63" s="14"/>
      <c r="T63" s="22">
        <f>+T16-T18+T61</f>
        <v>-86051.330093530007</v>
      </c>
      <c r="U63" s="14"/>
      <c r="V63" s="20">
        <f>IF(T$12=0,0,T63/T$12)</f>
        <v>0</v>
      </c>
      <c r="W63" s="16"/>
      <c r="X63" s="22">
        <f>+P63-T63</f>
        <v>-6480.4699064700108</v>
      </c>
      <c r="Y63" s="16"/>
      <c r="Z63" s="20">
        <f>IF(T63=0,0,X63/T63)</f>
        <v>7.5309351981268924E-2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1">
        <f>+D63-D65</f>
        <v>-14772.26</v>
      </c>
      <c r="E67" s="14"/>
      <c r="F67" s="32">
        <f>IF(D$12=0,0,D67/D$12)</f>
        <v>0</v>
      </c>
      <c r="G67" s="14"/>
      <c r="H67" s="31">
        <f>+H63-H65</f>
        <v>-13408.050783619999</v>
      </c>
      <c r="I67" s="14"/>
      <c r="J67" s="32">
        <f>IF(H$12=0,0,H67/H$12)</f>
        <v>0</v>
      </c>
      <c r="K67" s="16"/>
      <c r="L67" s="31">
        <f>D67-H67</f>
        <v>-1364.2092163800007</v>
      </c>
      <c r="M67" s="16"/>
      <c r="N67" s="32">
        <f>IF(H67=0,0,L67/H67)</f>
        <v>0.10174552874207432</v>
      </c>
      <c r="O67" s="28"/>
      <c r="P67" s="31">
        <f>+P63-P65</f>
        <v>-92531.800000000017</v>
      </c>
      <c r="Q67" s="14"/>
      <c r="R67" s="32">
        <f>IF(P$12=0,0,P67/P$12)</f>
        <v>0</v>
      </c>
      <c r="S67" s="14"/>
      <c r="T67" s="31">
        <f>+T63-T65</f>
        <v>-86051.330093530007</v>
      </c>
      <c r="U67" s="14"/>
      <c r="V67" s="32">
        <f>IF(T$12=0,0,T67/T$12)</f>
        <v>0</v>
      </c>
      <c r="W67" s="16"/>
      <c r="X67" s="31">
        <f>P67-T67</f>
        <v>-6480.4699064700108</v>
      </c>
      <c r="Y67" s="16"/>
      <c r="Z67" s="32">
        <f>IF(T67=0,0,X67/T67)</f>
        <v>7.5309351981268924E-2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5">
        <f>SUM(D67:D69)</f>
        <v>-14772.26</v>
      </c>
      <c r="E70" s="14"/>
      <c r="F70" s="34">
        <f>IF(D$12=0,0,D70/D$12)</f>
        <v>0</v>
      </c>
      <c r="G70" s="14"/>
      <c r="H70" s="35">
        <f>SUM(H67:H69)</f>
        <v>-13408.050783619999</v>
      </c>
      <c r="I70" s="14"/>
      <c r="J70" s="34">
        <f>IF(H$12=0,0,H70/H$12)</f>
        <v>0</v>
      </c>
      <c r="K70" s="16"/>
      <c r="L70" s="35">
        <f>+D70-H70</f>
        <v>-1364.2092163800007</v>
      </c>
      <c r="M70" s="16"/>
      <c r="N70" s="34">
        <f>IF(H70=0,0,L70/H70)</f>
        <v>0.10174552874207432</v>
      </c>
      <c r="O70" s="28"/>
      <c r="P70" s="35">
        <f>SUM(P67:P69)</f>
        <v>-92531.800000000017</v>
      </c>
      <c r="Q70" s="14"/>
      <c r="R70" s="34">
        <f>IF(P$12=0,0,P70/P$12)</f>
        <v>0</v>
      </c>
      <c r="S70" s="14"/>
      <c r="T70" s="35">
        <f>SUM(T67:T69)</f>
        <v>-86051.330093530007</v>
      </c>
      <c r="U70" s="14"/>
      <c r="V70" s="34">
        <f>IF(T$12=0,0,T70/T$12)</f>
        <v>0</v>
      </c>
      <c r="W70" s="16"/>
      <c r="X70" s="35">
        <f>+P70-T70</f>
        <v>-6480.4699064700108</v>
      </c>
      <c r="Y70" s="16"/>
      <c r="Z70" s="34">
        <f>IF(T70=0,0,X70/T70)</f>
        <v>7.5309351981268924E-2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3">
        <v>43847.446373761573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5" t="s">
        <v>314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310266.69</v>
      </c>
      <c r="E12" s="4"/>
      <c r="F12" s="12"/>
      <c r="G12" s="4"/>
      <c r="H12" s="4">
        <f>SUM(OSRRefH13x_0)</f>
        <v>325000</v>
      </c>
      <c r="I12" s="4"/>
      <c r="J12" s="12"/>
      <c r="K12" s="4"/>
      <c r="L12" s="4">
        <f t="shared" ref="L12:L16" si="0">+D12-H12</f>
        <v>-14733.309999999998</v>
      </c>
      <c r="M12" s="4"/>
      <c r="N12" s="12">
        <f t="shared" ref="N12:N16" si="1">IF(H12=0,0,L12/H12)</f>
        <v>-4.5333261538461532E-2</v>
      </c>
      <c r="O12" s="10"/>
      <c r="P12" s="4">
        <f>SUM(OSRRefP13x_0)</f>
        <v>2489581.6799999997</v>
      </c>
      <c r="Q12" s="4"/>
      <c r="R12" s="12"/>
      <c r="S12" s="4"/>
      <c r="T12" s="4">
        <f>SUM(OSRRefT13x_0)</f>
        <v>2514670</v>
      </c>
      <c r="U12" s="4"/>
      <c r="V12" s="12"/>
      <c r="W12" s="4"/>
      <c r="X12" s="4">
        <f t="shared" ref="X12:X16" si="2">+P12-T12</f>
        <v>-25088.320000000298</v>
      </c>
      <c r="Y12" s="4"/>
      <c r="Z12" s="12">
        <f t="shared" ref="Z12:Z16" si="3">IF(T12=0,0,X12/T12)</f>
        <v>-9.9767842301376718E-3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--445.47</f>
        <v>445.47</v>
      </c>
      <c r="E13" s="2"/>
      <c r="F13" s="19"/>
      <c r="G13" s="2"/>
      <c r="H13" s="2"/>
      <c r="I13" s="2"/>
      <c r="J13" s="19"/>
      <c r="K13" s="2"/>
      <c r="L13" s="2">
        <f t="shared" si="0"/>
        <v>445.47</v>
      </c>
      <c r="M13" s="2"/>
      <c r="N13" s="19">
        <f t="shared" si="1"/>
        <v>0</v>
      </c>
      <c r="O13" s="11"/>
      <c r="P13" s="2">
        <f>--17975.88</f>
        <v>17975.88</v>
      </c>
      <c r="Q13" s="2"/>
      <c r="R13" s="19"/>
      <c r="S13" s="2"/>
      <c r="T13" s="2"/>
      <c r="U13" s="2"/>
      <c r="V13" s="19"/>
      <c r="W13" s="2"/>
      <c r="X13" s="2">
        <f t="shared" si="2"/>
        <v>17975.88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325000</v>
      </c>
      <c r="I14" s="2"/>
      <c r="J14" s="19"/>
      <c r="K14" s="2"/>
      <c r="L14" s="2">
        <f t="shared" si="0"/>
        <v>-325000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2514670</v>
      </c>
      <c r="U14" s="2"/>
      <c r="V14" s="19"/>
      <c r="W14" s="2"/>
      <c r="X14" s="2">
        <f t="shared" si="2"/>
        <v>-2514670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--303036.39</f>
        <v>303036.39</v>
      </c>
      <c r="E15" s="2"/>
      <c r="F15" s="19"/>
      <c r="G15" s="2"/>
      <c r="H15" s="2"/>
      <c r="I15" s="2"/>
      <c r="J15" s="19"/>
      <c r="K15" s="2"/>
      <c r="L15" s="2">
        <f t="shared" si="0"/>
        <v>303036.39</v>
      </c>
      <c r="M15" s="2"/>
      <c r="N15" s="19">
        <f t="shared" si="1"/>
        <v>0</v>
      </c>
      <c r="O15" s="11"/>
      <c r="P15" s="2">
        <f>--2293476.82</f>
        <v>2293476.8199999998</v>
      </c>
      <c r="Q15" s="2"/>
      <c r="R15" s="19"/>
      <c r="S15" s="2"/>
      <c r="T15" s="2"/>
      <c r="U15" s="2"/>
      <c r="V15" s="19"/>
      <c r="W15" s="2"/>
      <c r="X15" s="2">
        <f t="shared" si="2"/>
        <v>2293476.8199999998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--6784.83</f>
        <v>6784.83</v>
      </c>
      <c r="E16" s="2"/>
      <c r="F16" s="19"/>
      <c r="G16" s="2"/>
      <c r="H16" s="2"/>
      <c r="I16" s="2"/>
      <c r="J16" s="19"/>
      <c r="K16" s="2"/>
      <c r="L16" s="2">
        <f t="shared" si="0"/>
        <v>6784.83</v>
      </c>
      <c r="M16" s="2"/>
      <c r="N16" s="19">
        <f t="shared" si="1"/>
        <v>0</v>
      </c>
      <c r="O16" s="11"/>
      <c r="P16" s="2">
        <f>--178128.98</f>
        <v>178128.98</v>
      </c>
      <c r="Q16" s="2"/>
      <c r="R16" s="19"/>
      <c r="S16" s="2"/>
      <c r="T16" s="2"/>
      <c r="U16" s="2"/>
      <c r="V16" s="19"/>
      <c r="W16" s="2"/>
      <c r="X16" s="2">
        <f t="shared" si="2"/>
        <v>178128.98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78445.31</v>
      </c>
      <c r="E18" s="4"/>
      <c r="F18" s="12">
        <f t="shared" ref="F18:F21" si="4">IF(D$12=0,0,D18/D$12)</f>
        <v>0.25283187827865117</v>
      </c>
      <c r="G18" s="4"/>
      <c r="H18" s="4">
        <f>SUM(OSRRefH16x_0)</f>
        <v>87750</v>
      </c>
      <c r="I18" s="4"/>
      <c r="J18" s="12">
        <f t="shared" ref="J18:J21" si="5">IF(H$12=0,0,H18/H$12)</f>
        <v>0.27</v>
      </c>
      <c r="K18" s="4"/>
      <c r="L18" s="4">
        <f t="shared" ref="L18:L21" si="6">+D18-H18</f>
        <v>-9304.6900000000023</v>
      </c>
      <c r="M18" s="4"/>
      <c r="N18" s="12">
        <f t="shared" ref="N18:N21" si="7">IF(H18=0,0,L18/H18)</f>
        <v>-0.1060363532763533</v>
      </c>
      <c r="O18" s="10"/>
      <c r="P18" s="4">
        <f>SUM(OSRRefP16x_0)</f>
        <v>594016.91999999993</v>
      </c>
      <c r="Q18" s="4"/>
      <c r="R18" s="12">
        <f t="shared" ref="R18:R21" si="8">IF(P$12=0,0,P18/P$12)</f>
        <v>0.23860109703249424</v>
      </c>
      <c r="S18" s="4"/>
      <c r="T18" s="4">
        <f>SUM(OSRRefT16x_0)</f>
        <v>666634</v>
      </c>
      <c r="U18" s="4"/>
      <c r="V18" s="12">
        <f t="shared" ref="V18:V21" si="9">IF(T$12=0,0,T18/T$12)</f>
        <v>0.26509800490720453</v>
      </c>
      <c r="W18" s="4"/>
      <c r="X18" s="4">
        <f t="shared" ref="X18:X21" si="10">+P18-T18</f>
        <v>-72617.080000000075</v>
      </c>
      <c r="Y18" s="4"/>
      <c r="Z18" s="12">
        <f t="shared" ref="Z18:Z21" si="11">IF(T18=0,0,X18/T18)</f>
        <v>-0.10893095761692334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87750</v>
      </c>
      <c r="I19" s="2"/>
      <c r="J19" s="19">
        <f t="shared" si="5"/>
        <v>0.27</v>
      </c>
      <c r="K19" s="2"/>
      <c r="L19" s="2">
        <f t="shared" si="6"/>
        <v>-87750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666634</v>
      </c>
      <c r="U19" s="2"/>
      <c r="V19" s="19">
        <f t="shared" si="9"/>
        <v>0.26509800490720453</v>
      </c>
      <c r="W19" s="2"/>
      <c r="X19" s="2">
        <f t="shared" si="10"/>
        <v>-666634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78445.31</v>
      </c>
      <c r="E20" s="2"/>
      <c r="F20" s="19">
        <f t="shared" si="4"/>
        <v>0.25283187827865117</v>
      </c>
      <c r="G20" s="2"/>
      <c r="H20" s="2"/>
      <c r="I20" s="2"/>
      <c r="J20" s="19">
        <f t="shared" si="5"/>
        <v>0</v>
      </c>
      <c r="K20" s="2"/>
      <c r="L20" s="2">
        <f t="shared" si="6"/>
        <v>78445.31</v>
      </c>
      <c r="M20" s="2"/>
      <c r="N20" s="19">
        <f t="shared" si="7"/>
        <v>0</v>
      </c>
      <c r="O20" s="11"/>
      <c r="P20" s="2">
        <v>591909.91999999993</v>
      </c>
      <c r="Q20" s="2"/>
      <c r="R20" s="19">
        <f t="shared" si="8"/>
        <v>0.23775477011061552</v>
      </c>
      <c r="S20" s="2"/>
      <c r="T20" s="2"/>
      <c r="U20" s="2"/>
      <c r="V20" s="19">
        <f t="shared" si="9"/>
        <v>0</v>
      </c>
      <c r="W20" s="2"/>
      <c r="X20" s="2">
        <f t="shared" si="10"/>
        <v>591909.91999999993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2107</v>
      </c>
      <c r="Q21" s="2"/>
      <c r="R21" s="19">
        <f t="shared" si="8"/>
        <v>8.4632692187869903E-4</v>
      </c>
      <c r="S21" s="2"/>
      <c r="T21" s="2"/>
      <c r="U21" s="2"/>
      <c r="V21" s="19">
        <f t="shared" si="9"/>
        <v>0</v>
      </c>
      <c r="W21" s="2"/>
      <c r="X21" s="2">
        <f t="shared" si="10"/>
        <v>2107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231821.38</v>
      </c>
      <c r="E23" s="14"/>
      <c r="F23" s="20">
        <f>IF(D$12=0,0,D23/D$12)</f>
        <v>0.74716812172134883</v>
      </c>
      <c r="G23" s="14"/>
      <c r="H23" s="22">
        <f>H12-H18</f>
        <v>237250</v>
      </c>
      <c r="I23" s="14"/>
      <c r="J23" s="20">
        <f>IF(H$12=0,0,H23/H$12)</f>
        <v>0.73</v>
      </c>
      <c r="K23" s="16"/>
      <c r="L23" s="22">
        <f>+D23-H23</f>
        <v>-5428.6199999999953</v>
      </c>
      <c r="M23" s="16"/>
      <c r="N23" s="20">
        <f>IF(H23=0,0,L23/H23)</f>
        <v>-2.2881433087460466E-2</v>
      </c>
      <c r="O23" s="28"/>
      <c r="P23" s="22">
        <f>P12-P18</f>
        <v>1895564.7599999998</v>
      </c>
      <c r="Q23" s="14"/>
      <c r="R23" s="20">
        <f>IF(P$12=0,0,P23/P$12)</f>
        <v>0.76139890296750579</v>
      </c>
      <c r="S23" s="14"/>
      <c r="T23" s="22">
        <f>T12-T18</f>
        <v>1848036</v>
      </c>
      <c r="U23" s="14"/>
      <c r="V23" s="20">
        <f>IF(T$12=0,0,T23/T$12)</f>
        <v>0.73490199509279552</v>
      </c>
      <c r="W23" s="16"/>
      <c r="X23" s="22">
        <f>+P23-T23</f>
        <v>47528.759999999776</v>
      </c>
      <c r="Y23" s="16"/>
      <c r="Z23" s="20">
        <f>IF(T23=0,0,X23/T23)</f>
        <v>2.5718524963799286E-2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146464.72999999995</v>
      </c>
      <c r="E25" s="21"/>
      <c r="F25" s="30">
        <f t="shared" ref="F25:F36" si="12">IF(D$12=0,0,D25/D$12)</f>
        <v>0.47206076166281319</v>
      </c>
      <c r="G25" s="21"/>
      <c r="H25" s="21">
        <f>SUM(OSRRefH22x_0)</f>
        <v>168360.46182348338</v>
      </c>
      <c r="I25" s="21"/>
      <c r="J25" s="30">
        <f t="shared" ref="J25:J36" si="13">IF(H$12=0,0,H25/H$12)</f>
        <v>0.5180321902261027</v>
      </c>
      <c r="K25" s="4"/>
      <c r="L25" s="21">
        <f t="shared" ref="L25:L36" si="14">+D25-H25</f>
        <v>-21895.731823483424</v>
      </c>
      <c r="M25" s="4"/>
      <c r="N25" s="30">
        <f t="shared" ref="N25:N36" si="15">IF(H25=0,0,L25/H25)</f>
        <v>-0.13005269518944351</v>
      </c>
      <c r="O25" s="10"/>
      <c r="P25" s="21">
        <f>SUM(OSRRefP22x_0)</f>
        <v>1017844.9800000001</v>
      </c>
      <c r="Q25" s="21"/>
      <c r="R25" s="30">
        <f t="shared" ref="R25:R36" si="16">IF(P$12=0,0,P25/P$12)</f>
        <v>0.40884176975466829</v>
      </c>
      <c r="S25" s="21"/>
      <c r="T25" s="21">
        <f>SUM(OSRRefT22x_0)</f>
        <v>1110592.8168827957</v>
      </c>
      <c r="U25" s="21"/>
      <c r="V25" s="30">
        <f t="shared" ref="V25:V36" si="17">IF(T$12=0,0,T25/T$12)</f>
        <v>0.44164555066183464</v>
      </c>
      <c r="W25" s="4"/>
      <c r="X25" s="21">
        <f t="shared" ref="X25:X36" si="18">+P25-T25</f>
        <v>-92747.836882795556</v>
      </c>
      <c r="Y25" s="4"/>
      <c r="Z25" s="30">
        <f t="shared" ref="Z25:Z36" si="19">IF(T25=0,0,X25/T25)</f>
        <v>-8.35120086073666E-2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28502.87</v>
      </c>
      <c r="E26" s="1"/>
      <c r="F26" s="5">
        <f t="shared" si="12"/>
        <v>9.1865710753545604E-2</v>
      </c>
      <c r="G26" s="1"/>
      <c r="H26" s="1">
        <f>SUM(OSRRefH22_0x_0)</f>
        <v>28027.743448714169</v>
      </c>
      <c r="I26" s="1"/>
      <c r="J26" s="5">
        <f t="shared" si="13"/>
        <v>8.623921061142821E-2</v>
      </c>
      <c r="K26" s="1"/>
      <c r="L26" s="1">
        <f t="shared" si="14"/>
        <v>475.12655128582992</v>
      </c>
      <c r="M26" s="1"/>
      <c r="N26" s="5">
        <f t="shared" si="15"/>
        <v>1.6952008717905805E-2</v>
      </c>
      <c r="O26" s="13"/>
      <c r="P26" s="1">
        <f>SUM(OSRRefP22_0x_0)</f>
        <v>168836.25</v>
      </c>
      <c r="Q26" s="1"/>
      <c r="R26" s="5">
        <f t="shared" si="16"/>
        <v>6.7817116167082345E-2</v>
      </c>
      <c r="S26" s="1"/>
      <c r="T26" s="1">
        <f>SUM(OSRRefT22_0x_0)</f>
        <v>185696.73544679582</v>
      </c>
      <c r="U26" s="1"/>
      <c r="V26" s="5">
        <f t="shared" si="17"/>
        <v>7.384536955019777E-2</v>
      </c>
      <c r="W26" s="1"/>
      <c r="X26" s="1">
        <f t="shared" si="18"/>
        <v>-16860.485446795821</v>
      </c>
      <c r="Y26" s="1"/>
      <c r="Z26" s="5">
        <f t="shared" si="19"/>
        <v>-9.0795809663689747E-2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3905.2</v>
      </c>
      <c r="E27" s="2"/>
      <c r="F27" s="7">
        <f t="shared" si="12"/>
        <v>1.2586591232207362E-2</v>
      </c>
      <c r="G27" s="2"/>
      <c r="H27" s="6">
        <v>4144.8353583203098</v>
      </c>
      <c r="I27" s="2"/>
      <c r="J27" s="7">
        <f t="shared" si="13"/>
        <v>1.2753339564062492E-2</v>
      </c>
      <c r="K27" s="2"/>
      <c r="L27" s="6">
        <f t="shared" si="14"/>
        <v>-239.63535832030993</v>
      </c>
      <c r="M27" s="2"/>
      <c r="N27" s="7">
        <f t="shared" si="15"/>
        <v>-5.7815410650574529E-2</v>
      </c>
      <c r="O27" s="11"/>
      <c r="P27" s="6">
        <v>27713.5</v>
      </c>
      <c r="Q27" s="2"/>
      <c r="R27" s="7">
        <f t="shared" si="16"/>
        <v>1.1131789819404521E-2</v>
      </c>
      <c r="S27" s="2"/>
      <c r="T27" s="6">
        <v>31027.274693082021</v>
      </c>
      <c r="U27" s="2"/>
      <c r="V27" s="7">
        <f t="shared" si="17"/>
        <v>1.2338507515134002E-2</v>
      </c>
      <c r="W27" s="2"/>
      <c r="X27" s="6">
        <f t="shared" si="18"/>
        <v>-3313.7746930820213</v>
      </c>
      <c r="Y27" s="2"/>
      <c r="Z27" s="7">
        <f t="shared" si="19"/>
        <v>-0.1068019903733561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4628.33</v>
      </c>
      <c r="E28" s="2"/>
      <c r="F28" s="7">
        <f t="shared" si="12"/>
        <v>1.4917263596681938E-2</v>
      </c>
      <c r="G28" s="2"/>
      <c r="H28" s="6">
        <v>3568.0330733415399</v>
      </c>
      <c r="I28" s="2"/>
      <c r="J28" s="7">
        <f t="shared" si="13"/>
        <v>1.0978563302589353E-2</v>
      </c>
      <c r="K28" s="2"/>
      <c r="L28" s="6">
        <f t="shared" si="14"/>
        <v>1060.2969266584601</v>
      </c>
      <c r="M28" s="2"/>
      <c r="N28" s="7">
        <f t="shared" si="15"/>
        <v>0.29716566659105242</v>
      </c>
      <c r="O28" s="11"/>
      <c r="P28" s="6">
        <v>16055.26</v>
      </c>
      <c r="Q28" s="2"/>
      <c r="R28" s="7">
        <f t="shared" si="16"/>
        <v>6.4489790108031332E-3</v>
      </c>
      <c r="S28" s="2"/>
      <c r="T28" s="6">
        <v>22644.700416720003</v>
      </c>
      <c r="U28" s="2"/>
      <c r="V28" s="7">
        <f t="shared" si="17"/>
        <v>9.0050386001821331E-3</v>
      </c>
      <c r="W28" s="2"/>
      <c r="X28" s="6">
        <f t="shared" si="18"/>
        <v>-6589.4404167200028</v>
      </c>
      <c r="Y28" s="2"/>
      <c r="Z28" s="7">
        <f t="shared" si="19"/>
        <v>-0.29099260734112453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12745.03</v>
      </c>
      <c r="E29" s="2"/>
      <c r="F29" s="7">
        <f t="shared" si="12"/>
        <v>4.1077661285521823E-2</v>
      </c>
      <c r="G29" s="2"/>
      <c r="H29" s="6">
        <v>14965.615384615401</v>
      </c>
      <c r="I29" s="2"/>
      <c r="J29" s="7">
        <f t="shared" si="13"/>
        <v>4.6048047337278158E-2</v>
      </c>
      <c r="K29" s="2"/>
      <c r="L29" s="6">
        <f t="shared" si="14"/>
        <v>-2220.5853846154005</v>
      </c>
      <c r="M29" s="2"/>
      <c r="N29" s="7">
        <f t="shared" si="15"/>
        <v>-0.14837915632244258</v>
      </c>
      <c r="O29" s="11"/>
      <c r="P29" s="6">
        <v>76316.17</v>
      </c>
      <c r="Q29" s="2"/>
      <c r="R29" s="7">
        <f t="shared" si="16"/>
        <v>3.0654214165007836E-2</v>
      </c>
      <c r="S29" s="2"/>
      <c r="T29" s="6">
        <v>97555.1538461538</v>
      </c>
      <c r="U29" s="2"/>
      <c r="V29" s="7">
        <f t="shared" si="17"/>
        <v>3.8794415905925549E-2</v>
      </c>
      <c r="W29" s="2"/>
      <c r="X29" s="6">
        <f t="shared" si="18"/>
        <v>-21238.983846153802</v>
      </c>
      <c r="Y29" s="2"/>
      <c r="Z29" s="7">
        <f t="shared" si="19"/>
        <v>-0.21771257600237148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310.14999999999998</v>
      </c>
      <c r="E30" s="2"/>
      <c r="F30" s="7">
        <f t="shared" si="12"/>
        <v>9.9962390419674118E-4</v>
      </c>
      <c r="G30" s="2"/>
      <c r="H30" s="6">
        <v>239.09499976000001</v>
      </c>
      <c r="I30" s="2"/>
      <c r="J30" s="7">
        <f t="shared" si="13"/>
        <v>7.3567692233846157E-4</v>
      </c>
      <c r="K30" s="2"/>
      <c r="L30" s="6">
        <f t="shared" si="14"/>
        <v>71.05500023999997</v>
      </c>
      <c r="M30" s="2"/>
      <c r="N30" s="7">
        <f t="shared" si="15"/>
        <v>0.29718312934743057</v>
      </c>
      <c r="O30" s="11"/>
      <c r="P30" s="6">
        <v>1387.08</v>
      </c>
      <c r="Q30" s="2"/>
      <c r="R30" s="7">
        <f t="shared" si="16"/>
        <v>5.5715384280944746E-4</v>
      </c>
      <c r="S30" s="2"/>
      <c r="T30" s="6">
        <v>1517.42837844</v>
      </c>
      <c r="U30" s="2"/>
      <c r="V30" s="7">
        <f t="shared" si="17"/>
        <v>6.0343042166168914E-4</v>
      </c>
      <c r="W30" s="2"/>
      <c r="X30" s="6">
        <f t="shared" si="18"/>
        <v>-130.34837844000003</v>
      </c>
      <c r="Y30" s="2"/>
      <c r="Z30" s="7">
        <f t="shared" si="19"/>
        <v>-8.5900844014796501E-2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1217.31</v>
      </c>
      <c r="E31" s="2"/>
      <c r="F31" s="7">
        <f t="shared" si="12"/>
        <v>3.9234311617531359E-3</v>
      </c>
      <c r="G31" s="2"/>
      <c r="H31" s="6">
        <v>1270.4277151384601</v>
      </c>
      <c r="I31" s="2"/>
      <c r="J31" s="7">
        <f t="shared" si="13"/>
        <v>3.9090083542721848E-3</v>
      </c>
      <c r="K31" s="2"/>
      <c r="L31" s="6">
        <f t="shared" si="14"/>
        <v>-53.117715138460198</v>
      </c>
      <c r="M31" s="2"/>
      <c r="N31" s="7">
        <f t="shared" si="15"/>
        <v>-4.1810891328572013E-2</v>
      </c>
      <c r="O31" s="11"/>
      <c r="P31" s="6">
        <v>7717.34</v>
      </c>
      <c r="Q31" s="2"/>
      <c r="R31" s="7">
        <f t="shared" si="16"/>
        <v>3.0998541088236163E-3</v>
      </c>
      <c r="S31" s="2"/>
      <c r="T31" s="6">
        <v>8257.7801484000011</v>
      </c>
      <c r="U31" s="2"/>
      <c r="V31" s="7">
        <f t="shared" si="17"/>
        <v>3.2838424717358543E-3</v>
      </c>
      <c r="W31" s="2"/>
      <c r="X31" s="6">
        <f t="shared" si="18"/>
        <v>-540.44014840000091</v>
      </c>
      <c r="Y31" s="2"/>
      <c r="Z31" s="7">
        <f t="shared" si="19"/>
        <v>-6.5446177869571243E-2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731.23</v>
      </c>
      <c r="E33" s="2"/>
      <c r="F33" s="7">
        <f t="shared" si="12"/>
        <v>2.3567789375005099E-3</v>
      </c>
      <c r="G33" s="2"/>
      <c r="H33" s="6"/>
      <c r="I33" s="2"/>
      <c r="J33" s="7">
        <f t="shared" si="13"/>
        <v>0</v>
      </c>
      <c r="K33" s="2"/>
      <c r="L33" s="6">
        <f t="shared" si="14"/>
        <v>731.23</v>
      </c>
      <c r="M33" s="2"/>
      <c r="N33" s="7">
        <f t="shared" si="15"/>
        <v>0</v>
      </c>
      <c r="O33" s="11"/>
      <c r="P33" s="6">
        <v>2935.17</v>
      </c>
      <c r="Q33" s="2"/>
      <c r="R33" s="7">
        <f t="shared" si="16"/>
        <v>1.1789812013719512E-3</v>
      </c>
      <c r="S33" s="2"/>
      <c r="T33" s="6"/>
      <c r="U33" s="2"/>
      <c r="V33" s="7">
        <f t="shared" si="17"/>
        <v>0</v>
      </c>
      <c r="W33" s="2"/>
      <c r="X33" s="6">
        <f t="shared" si="18"/>
        <v>2935.17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2178.1</v>
      </c>
      <c r="E34" s="2"/>
      <c r="F34" s="7">
        <f t="shared" si="12"/>
        <v>7.0200897170108719E-3</v>
      </c>
      <c r="G34" s="2"/>
      <c r="H34" s="6">
        <v>1293.5404587692301</v>
      </c>
      <c r="I34" s="2"/>
      <c r="J34" s="7">
        <f t="shared" si="13"/>
        <v>3.9801244885207081E-3</v>
      </c>
      <c r="K34" s="2"/>
      <c r="L34" s="6">
        <f t="shared" si="14"/>
        <v>884.55954123076981</v>
      </c>
      <c r="M34" s="2"/>
      <c r="N34" s="7">
        <f t="shared" si="15"/>
        <v>0.68382827551633374</v>
      </c>
      <c r="O34" s="11"/>
      <c r="P34" s="6">
        <v>15816.369999999999</v>
      </c>
      <c r="Q34" s="2"/>
      <c r="R34" s="7">
        <f t="shared" si="16"/>
        <v>6.3530231311792109E-3</v>
      </c>
      <c r="S34" s="2"/>
      <c r="T34" s="6">
        <v>8620.6049819999989</v>
      </c>
      <c r="U34" s="2"/>
      <c r="V34" s="7">
        <f t="shared" si="17"/>
        <v>3.4281257508937549E-3</v>
      </c>
      <c r="W34" s="2"/>
      <c r="X34" s="6">
        <f t="shared" si="18"/>
        <v>7195.7650180000001</v>
      </c>
      <c r="Y34" s="2"/>
      <c r="Z34" s="7">
        <f t="shared" si="19"/>
        <v>0.83471694075124725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1522.22</v>
      </c>
      <c r="E35" s="2"/>
      <c r="F35" s="7">
        <f t="shared" si="12"/>
        <v>4.9061663693256924E-3</v>
      </c>
      <c r="G35" s="2"/>
      <c r="H35" s="6">
        <v>2546.19645876923</v>
      </c>
      <c r="I35" s="2"/>
      <c r="J35" s="7">
        <f t="shared" si="13"/>
        <v>7.8344506423668608E-3</v>
      </c>
      <c r="K35" s="2"/>
      <c r="L35" s="6">
        <f t="shared" si="14"/>
        <v>-1023.97645876923</v>
      </c>
      <c r="M35" s="2"/>
      <c r="N35" s="7">
        <f t="shared" si="15"/>
        <v>-0.40215925021912707</v>
      </c>
      <c r="O35" s="11"/>
      <c r="P35" s="6">
        <v>14597.88</v>
      </c>
      <c r="Q35" s="2"/>
      <c r="R35" s="7">
        <f t="shared" si="16"/>
        <v>5.8635874923372673E-3</v>
      </c>
      <c r="S35" s="2"/>
      <c r="T35" s="6">
        <v>16073.792981999999</v>
      </c>
      <c r="U35" s="2"/>
      <c r="V35" s="7">
        <f t="shared" si="17"/>
        <v>6.392008884664787E-3</v>
      </c>
      <c r="W35" s="2"/>
      <c r="X35" s="6">
        <f t="shared" si="18"/>
        <v>-1475.9129819999998</v>
      </c>
      <c r="Y35" s="2"/>
      <c r="Z35" s="7">
        <f t="shared" si="19"/>
        <v>-9.182107693266793E-2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1265.3</v>
      </c>
      <c r="E36" s="2"/>
      <c r="F36" s="7">
        <f t="shared" si="12"/>
        <v>4.0781045493475301E-3</v>
      </c>
      <c r="G36" s="2"/>
      <c r="H36" s="6"/>
      <c r="I36" s="2"/>
      <c r="J36" s="7">
        <f t="shared" si="13"/>
        <v>0</v>
      </c>
      <c r="K36" s="2"/>
      <c r="L36" s="6">
        <f t="shared" si="14"/>
        <v>1265.3</v>
      </c>
      <c r="M36" s="2"/>
      <c r="N36" s="7">
        <f t="shared" si="15"/>
        <v>0</v>
      </c>
      <c r="O36" s="11"/>
      <c r="P36" s="6">
        <v>6297.48</v>
      </c>
      <c r="Q36" s="2"/>
      <c r="R36" s="7">
        <f t="shared" si="16"/>
        <v>2.5295333953453581E-3</v>
      </c>
      <c r="S36" s="2"/>
      <c r="T36" s="6"/>
      <c r="U36" s="2"/>
      <c r="V36" s="7">
        <f t="shared" si="17"/>
        <v>0</v>
      </c>
      <c r="W36" s="2"/>
      <c r="X36" s="6">
        <f t="shared" si="18"/>
        <v>6297.48</v>
      </c>
      <c r="Y36" s="2"/>
      <c r="Z36" s="7">
        <f t="shared" si="19"/>
        <v>0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74528.709999999992</v>
      </c>
      <c r="E37" s="1"/>
      <c r="F37" s="5">
        <f t="shared" ref="F37:F47" si="20">IF(D$12=0,0,D37/D$12)</f>
        <v>0.24020854446218506</v>
      </c>
      <c r="G37" s="1"/>
      <c r="H37" s="1">
        <f>SUM(OSRRefH22_1x_0)</f>
        <v>89797.718374769203</v>
      </c>
      <c r="I37" s="1"/>
      <c r="J37" s="5">
        <f t="shared" ref="J37:J47" si="21">IF(H$12=0,0,H37/H$12)</f>
        <v>0.27630067192236679</v>
      </c>
      <c r="K37" s="1"/>
      <c r="L37" s="1">
        <f t="shared" ref="L37:L47" si="22">+D37-H37</f>
        <v>-15269.008374769212</v>
      </c>
      <c r="M37" s="1"/>
      <c r="N37" s="5">
        <f t="shared" ref="N37:N47" si="23">IF(H37=0,0,L37/H37)</f>
        <v>-0.17003782112864241</v>
      </c>
      <c r="O37" s="13"/>
      <c r="P37" s="1">
        <f>SUM(OSRRefP22_1x_0)</f>
        <v>514350.91000000003</v>
      </c>
      <c r="Q37" s="1"/>
      <c r="R37" s="5">
        <f t="shared" ref="R37:R47" si="24">IF(P$12=0,0,P37/P$12)</f>
        <v>0.20660133954713231</v>
      </c>
      <c r="S37" s="1"/>
      <c r="T37" s="1">
        <f>SUM(OSRRefT22_1x_0)</f>
        <v>569255.08143599983</v>
      </c>
      <c r="U37" s="1"/>
      <c r="V37" s="5">
        <f t="shared" ref="V37:V47" si="25">IF(T$12=0,0,T37/T$12)</f>
        <v>0.22637367186787921</v>
      </c>
      <c r="W37" s="1"/>
      <c r="X37" s="1">
        <f t="shared" ref="X37:X47" si="26">+P37-T37</f>
        <v>-54904.1714359998</v>
      </c>
      <c r="Y37" s="1"/>
      <c r="Z37" s="5">
        <f t="shared" ref="Z37:Z47" si="27">IF(T37=0,0,X37/T37)</f>
        <v>-9.6449154740083878E-2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12777.77</v>
      </c>
      <c r="E39" s="2"/>
      <c r="F39" s="7">
        <f t="shared" si="20"/>
        <v>4.1183183409085909E-2</v>
      </c>
      <c r="G39" s="2"/>
      <c r="H39" s="6">
        <v>13886.0703747692</v>
      </c>
      <c r="I39" s="2"/>
      <c r="J39" s="7">
        <f t="shared" si="21"/>
        <v>4.2726370383905234E-2</v>
      </c>
      <c r="K39" s="2"/>
      <c r="L39" s="6">
        <f t="shared" si="22"/>
        <v>-1108.3003747692001</v>
      </c>
      <c r="M39" s="2"/>
      <c r="N39" s="7">
        <f t="shared" si="23"/>
        <v>-7.9813823843422727E-2</v>
      </c>
      <c r="O39" s="11"/>
      <c r="P39" s="6">
        <v>88001.900000000009</v>
      </c>
      <c r="Q39" s="2"/>
      <c r="R39" s="7">
        <f t="shared" si="24"/>
        <v>3.5348066989310437E-2</v>
      </c>
      <c r="S39" s="2"/>
      <c r="T39" s="6">
        <v>90259.457435999793</v>
      </c>
      <c r="U39" s="2"/>
      <c r="V39" s="7">
        <f t="shared" si="25"/>
        <v>3.5893161900368557E-2</v>
      </c>
      <c r="W39" s="2"/>
      <c r="X39" s="6">
        <f t="shared" si="26"/>
        <v>-2257.5574359997845</v>
      </c>
      <c r="Y39" s="2"/>
      <c r="Z39" s="7">
        <f t="shared" si="27"/>
        <v>-2.5011865793682055E-2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20394.21</v>
      </c>
      <c r="E41" s="2"/>
      <c r="F41" s="7">
        <f t="shared" si="20"/>
        <v>6.5731226255709235E-2</v>
      </c>
      <c r="G41" s="2"/>
      <c r="H41" s="6">
        <v>38111.648000000001</v>
      </c>
      <c r="I41" s="2"/>
      <c r="J41" s="7">
        <f t="shared" si="21"/>
        <v>0.11726660923076923</v>
      </c>
      <c r="K41" s="2"/>
      <c r="L41" s="6">
        <f t="shared" si="22"/>
        <v>-17717.438000000002</v>
      </c>
      <c r="M41" s="2"/>
      <c r="N41" s="7">
        <f t="shared" si="23"/>
        <v>-0.46488249471657594</v>
      </c>
      <c r="O41" s="11"/>
      <c r="P41" s="6">
        <v>111178.41</v>
      </c>
      <c r="Q41" s="2"/>
      <c r="R41" s="7">
        <f t="shared" si="24"/>
        <v>4.4657466309761737E-2</v>
      </c>
      <c r="S41" s="2"/>
      <c r="T41" s="6">
        <v>253545.62400000001</v>
      </c>
      <c r="U41" s="2"/>
      <c r="V41" s="7">
        <f t="shared" si="25"/>
        <v>0.10082659911638506</v>
      </c>
      <c r="W41" s="2"/>
      <c r="X41" s="6">
        <f t="shared" si="26"/>
        <v>-142367.21400000001</v>
      </c>
      <c r="Y41" s="2"/>
      <c r="Z41" s="7">
        <f t="shared" si="27"/>
        <v>-0.56150530919831609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12088.79</v>
      </c>
      <c r="E42" s="2"/>
      <c r="F42" s="7">
        <f t="shared" si="20"/>
        <v>3.8962577645702157E-2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12088.79</v>
      </c>
      <c r="M42" s="2"/>
      <c r="N42" s="7">
        <f t="shared" si="23"/>
        <v>0</v>
      </c>
      <c r="O42" s="11"/>
      <c r="P42" s="6">
        <v>88958.34</v>
      </c>
      <c r="Q42" s="2"/>
      <c r="R42" s="7">
        <f t="shared" si="24"/>
        <v>3.5732243980844208E-2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88958.34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>
        <v>660</v>
      </c>
      <c r="E43" s="2"/>
      <c r="F43" s="7">
        <f t="shared" si="20"/>
        <v>2.1272022465576306E-3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660</v>
      </c>
      <c r="M43" s="2"/>
      <c r="N43" s="7">
        <f t="shared" si="23"/>
        <v>0</v>
      </c>
      <c r="O43" s="11"/>
      <c r="P43" s="6">
        <v>10133.07</v>
      </c>
      <c r="Q43" s="2"/>
      <c r="R43" s="7">
        <f t="shared" si="24"/>
        <v>4.0701898159854711E-3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10133.07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25717.439999999999</v>
      </c>
      <c r="E44" s="2"/>
      <c r="F44" s="7">
        <f t="shared" si="20"/>
        <v>8.2888175975319806E-2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25717.439999999999</v>
      </c>
      <c r="M44" s="2"/>
      <c r="N44" s="7">
        <f t="shared" si="23"/>
        <v>0</v>
      </c>
      <c r="O44" s="11"/>
      <c r="P44" s="6">
        <v>197939.69</v>
      </c>
      <c r="Q44" s="2"/>
      <c r="R44" s="7">
        <f t="shared" si="24"/>
        <v>7.95072086166701E-2</v>
      </c>
      <c r="S44" s="2"/>
      <c r="T44" s="6">
        <v>47250</v>
      </c>
      <c r="U44" s="2"/>
      <c r="V44" s="7">
        <f t="shared" si="25"/>
        <v>1.8789741795146083E-2</v>
      </c>
      <c r="W44" s="2"/>
      <c r="X44" s="6">
        <f t="shared" si="26"/>
        <v>150689.69</v>
      </c>
      <c r="Y44" s="2"/>
      <c r="Z44" s="7">
        <f t="shared" si="27"/>
        <v>3.1891997883597885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>
        <v>2890.5</v>
      </c>
      <c r="E45" s="2"/>
      <c r="F45" s="7">
        <f t="shared" si="20"/>
        <v>9.3161789298103516E-3</v>
      </c>
      <c r="G45" s="2"/>
      <c r="H45" s="6">
        <v>37800</v>
      </c>
      <c r="I45" s="2"/>
      <c r="J45" s="7">
        <f t="shared" si="21"/>
        <v>0.11630769230769231</v>
      </c>
      <c r="K45" s="2"/>
      <c r="L45" s="6">
        <f t="shared" si="22"/>
        <v>-34909.5</v>
      </c>
      <c r="M45" s="2"/>
      <c r="N45" s="7">
        <f t="shared" si="23"/>
        <v>-0.92353174603174604</v>
      </c>
      <c r="O45" s="11"/>
      <c r="P45" s="6">
        <v>18139.5</v>
      </c>
      <c r="Q45" s="2"/>
      <c r="R45" s="7">
        <f t="shared" si="24"/>
        <v>7.2861638345603514E-3</v>
      </c>
      <c r="S45" s="2"/>
      <c r="T45" s="6">
        <v>178200</v>
      </c>
      <c r="U45" s="2"/>
      <c r="V45" s="7">
        <f t="shared" si="25"/>
        <v>7.0864169055979517E-2</v>
      </c>
      <c r="W45" s="2"/>
      <c r="X45" s="6">
        <f t="shared" si="26"/>
        <v>-160060.5</v>
      </c>
      <c r="Y45" s="2"/>
      <c r="Z45" s="7">
        <f t="shared" si="27"/>
        <v>-0.89820707070707073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7" si="28">IF(D$12=0,0,D48/D$12)</f>
        <v>0</v>
      </c>
      <c r="G48" s="1"/>
      <c r="H48" s="1">
        <f>SUM(OSRRefH22_2x_0)</f>
        <v>150</v>
      </c>
      <c r="I48" s="1"/>
      <c r="J48" s="5">
        <f t="shared" ref="J48:J67" si="29">IF(H$12=0,0,H48/H$12)</f>
        <v>4.6153846153846153E-4</v>
      </c>
      <c r="K48" s="1"/>
      <c r="L48" s="1">
        <f t="shared" ref="L48:L67" si="30">+D48-H48</f>
        <v>-150</v>
      </c>
      <c r="M48" s="1"/>
      <c r="N48" s="5">
        <f t="shared" ref="N48:N67" si="31">IF(H48=0,0,L48/H48)</f>
        <v>-1</v>
      </c>
      <c r="O48" s="13"/>
      <c r="P48" s="1">
        <f>SUM(OSRRefP22_2x_0)</f>
        <v>2683.18</v>
      </c>
      <c r="Q48" s="1"/>
      <c r="R48" s="5">
        <f t="shared" ref="R48:R67" si="32">IF(P$12=0,0,P48/P$12)</f>
        <v>1.0777633935673886E-3</v>
      </c>
      <c r="S48" s="1"/>
      <c r="T48" s="1">
        <f>SUM(OSRRefT22_2x_0)</f>
        <v>3450</v>
      </c>
      <c r="U48" s="1"/>
      <c r="V48" s="5">
        <f t="shared" ref="V48:V67" si="33">IF(T$12=0,0,T48/T$12)</f>
        <v>1.3719494009154284E-3</v>
      </c>
      <c r="W48" s="1"/>
      <c r="X48" s="1">
        <f t="shared" ref="X48:X67" si="34">+P48-T48</f>
        <v>-766.82000000000016</v>
      </c>
      <c r="Y48" s="1"/>
      <c r="Z48" s="5">
        <f t="shared" ref="Z48:Z67" si="35">IF(T48=0,0,X48/T48)</f>
        <v>-0.22226666666666672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150</v>
      </c>
      <c r="I49" s="2"/>
      <c r="J49" s="7">
        <f t="shared" si="29"/>
        <v>4.6153846153846153E-4</v>
      </c>
      <c r="K49" s="2"/>
      <c r="L49" s="6">
        <f t="shared" si="30"/>
        <v>-150</v>
      </c>
      <c r="M49" s="2"/>
      <c r="N49" s="7">
        <f t="shared" si="31"/>
        <v>-1</v>
      </c>
      <c r="O49" s="11"/>
      <c r="P49" s="6">
        <v>2683.18</v>
      </c>
      <c r="Q49" s="2"/>
      <c r="R49" s="7">
        <f t="shared" si="32"/>
        <v>1.0777633935673886E-3</v>
      </c>
      <c r="S49" s="2"/>
      <c r="T49" s="6">
        <v>3450</v>
      </c>
      <c r="U49" s="2"/>
      <c r="V49" s="7">
        <f t="shared" si="33"/>
        <v>1.3719494009154284E-3</v>
      </c>
      <c r="W49" s="2"/>
      <c r="X49" s="6">
        <f t="shared" si="34"/>
        <v>-766.82000000000016</v>
      </c>
      <c r="Y49" s="2"/>
      <c r="Z49" s="7">
        <f t="shared" si="35"/>
        <v>-0.22226666666666672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3.0769230769230768E-5</v>
      </c>
      <c r="K50" s="1"/>
      <c r="L50" s="1">
        <f t="shared" si="30"/>
        <v>-10</v>
      </c>
      <c r="M50" s="1"/>
      <c r="N50" s="5">
        <f t="shared" si="31"/>
        <v>-1</v>
      </c>
      <c r="O50" s="13"/>
      <c r="P50" s="1">
        <f>SUM(OSRRefP22_3x_0)</f>
        <v>1.05</v>
      </c>
      <c r="Q50" s="1"/>
      <c r="R50" s="5">
        <f t="shared" si="32"/>
        <v>4.217576022651324E-7</v>
      </c>
      <c r="S50" s="1"/>
      <c r="T50" s="1">
        <f>SUM(OSRRefT22_3x_0)</f>
        <v>62</v>
      </c>
      <c r="U50" s="1"/>
      <c r="V50" s="5">
        <f t="shared" si="33"/>
        <v>2.4655322567175814E-5</v>
      </c>
      <c r="W50" s="1"/>
      <c r="X50" s="1">
        <f t="shared" si="34"/>
        <v>-60.95</v>
      </c>
      <c r="Y50" s="1"/>
      <c r="Z50" s="5">
        <f t="shared" si="35"/>
        <v>-0.98306451612903234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10</v>
      </c>
      <c r="I51" s="2"/>
      <c r="J51" s="7">
        <f t="shared" si="29"/>
        <v>3.0769230769230768E-5</v>
      </c>
      <c r="K51" s="2"/>
      <c r="L51" s="6">
        <f t="shared" si="30"/>
        <v>-10</v>
      </c>
      <c r="M51" s="2"/>
      <c r="N51" s="7">
        <f t="shared" si="31"/>
        <v>-1</v>
      </c>
      <c r="O51" s="11"/>
      <c r="P51" s="6">
        <v>1.05</v>
      </c>
      <c r="Q51" s="2"/>
      <c r="R51" s="7">
        <f t="shared" si="32"/>
        <v>4.217576022651324E-7</v>
      </c>
      <c r="S51" s="2"/>
      <c r="T51" s="6">
        <v>62</v>
      </c>
      <c r="U51" s="2"/>
      <c r="V51" s="7">
        <f t="shared" si="33"/>
        <v>2.4655322567175814E-5</v>
      </c>
      <c r="W51" s="2"/>
      <c r="X51" s="6">
        <f t="shared" si="34"/>
        <v>-60.95</v>
      </c>
      <c r="Y51" s="2"/>
      <c r="Z51" s="7">
        <f t="shared" si="35"/>
        <v>-0.98306451612903234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133.88</v>
      </c>
      <c r="E52" s="1"/>
      <c r="F52" s="5">
        <f t="shared" si="28"/>
        <v>4.3149975268050848E-4</v>
      </c>
      <c r="G52" s="1"/>
      <c r="H52" s="1">
        <f>SUM(OSRRefH22_4x_0)</f>
        <v>225</v>
      </c>
      <c r="I52" s="1"/>
      <c r="J52" s="5">
        <f t="shared" si="29"/>
        <v>6.9230769230769226E-4</v>
      </c>
      <c r="K52" s="1"/>
      <c r="L52" s="1">
        <f t="shared" si="30"/>
        <v>-91.12</v>
      </c>
      <c r="M52" s="1"/>
      <c r="N52" s="5">
        <f t="shared" si="31"/>
        <v>-0.40497777777777783</v>
      </c>
      <c r="O52" s="13"/>
      <c r="P52" s="1">
        <f>SUM(OSRRefP22_4x_0)</f>
        <v>1529</v>
      </c>
      <c r="Q52" s="1"/>
      <c r="R52" s="5">
        <f t="shared" si="32"/>
        <v>6.1415940367941658E-4</v>
      </c>
      <c r="S52" s="1"/>
      <c r="T52" s="1">
        <f>SUM(OSRRefT22_4x_0)</f>
        <v>1350</v>
      </c>
      <c r="U52" s="1"/>
      <c r="V52" s="5">
        <f t="shared" si="33"/>
        <v>5.3684976557560231E-4</v>
      </c>
      <c r="W52" s="1"/>
      <c r="X52" s="1">
        <f t="shared" si="34"/>
        <v>179</v>
      </c>
      <c r="Y52" s="1"/>
      <c r="Z52" s="5">
        <f t="shared" si="35"/>
        <v>0.1325925925925926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6">
        <v>133.88</v>
      </c>
      <c r="E53" s="2"/>
      <c r="F53" s="7">
        <f t="shared" si="28"/>
        <v>4.3149975268050848E-4</v>
      </c>
      <c r="G53" s="2"/>
      <c r="H53" s="6">
        <v>225</v>
      </c>
      <c r="I53" s="2"/>
      <c r="J53" s="7">
        <f t="shared" si="29"/>
        <v>6.9230769230769226E-4</v>
      </c>
      <c r="K53" s="2"/>
      <c r="L53" s="6">
        <f t="shared" si="30"/>
        <v>-91.12</v>
      </c>
      <c r="M53" s="2"/>
      <c r="N53" s="7">
        <f t="shared" si="31"/>
        <v>-0.40497777777777783</v>
      </c>
      <c r="O53" s="11"/>
      <c r="P53" s="6">
        <v>1529</v>
      </c>
      <c r="Q53" s="2"/>
      <c r="R53" s="7">
        <f t="shared" si="32"/>
        <v>6.1415940367941658E-4</v>
      </c>
      <c r="S53" s="2"/>
      <c r="T53" s="6">
        <v>1350</v>
      </c>
      <c r="U53" s="2"/>
      <c r="V53" s="7">
        <f t="shared" si="33"/>
        <v>5.3684976557560231E-4</v>
      </c>
      <c r="W53" s="2"/>
      <c r="X53" s="6">
        <f t="shared" si="34"/>
        <v>179</v>
      </c>
      <c r="Y53" s="2"/>
      <c r="Z53" s="7">
        <f t="shared" si="35"/>
        <v>0.1325925925925926</v>
      </c>
    </row>
    <row r="54" spans="1:26" s="25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6677.17</v>
      </c>
      <c r="E54" s="1"/>
      <c r="F54" s="5">
        <f t="shared" si="28"/>
        <v>2.1520743976738206E-2</v>
      </c>
      <c r="G54" s="1"/>
      <c r="H54" s="1">
        <f>SUM(OSRRefH22_5x_0)</f>
        <v>8000</v>
      </c>
      <c r="I54" s="1"/>
      <c r="J54" s="5">
        <f t="shared" si="29"/>
        <v>2.4615384615384615E-2</v>
      </c>
      <c r="K54" s="1"/>
      <c r="L54" s="1">
        <f t="shared" si="30"/>
        <v>-1322.83</v>
      </c>
      <c r="M54" s="1"/>
      <c r="N54" s="5">
        <f t="shared" si="31"/>
        <v>-0.16535374999999999</v>
      </c>
      <c r="O54" s="13"/>
      <c r="P54" s="1">
        <f>SUM(OSRRefP22_5x_0)</f>
        <v>46247.68</v>
      </c>
      <c r="Q54" s="1"/>
      <c r="R54" s="5">
        <f t="shared" si="32"/>
        <v>1.8576486311547732E-2</v>
      </c>
      <c r="S54" s="1"/>
      <c r="T54" s="1">
        <f>SUM(OSRRefT22_5x_0)</f>
        <v>43000</v>
      </c>
      <c r="U54" s="1"/>
      <c r="V54" s="5">
        <f t="shared" si="33"/>
        <v>1.7099659199815483E-2</v>
      </c>
      <c r="W54" s="1"/>
      <c r="X54" s="1">
        <f t="shared" si="34"/>
        <v>3247.6800000000003</v>
      </c>
      <c r="Y54" s="1"/>
      <c r="Z54" s="5">
        <f t="shared" si="35"/>
        <v>7.5527441860465117E-2</v>
      </c>
    </row>
    <row r="55" spans="1:26" s="24" customFormat="1" hidden="1" outlineLevel="2" x14ac:dyDescent="0.25">
      <c r="A55" s="26"/>
      <c r="B55" s="11" t="str">
        <f>CONCATENATE("          ", "6399", " - ", "DONATION-ON CAMPUS")</f>
        <v xml:space="preserve">          6399 - DONATION-ON CAMPUS</v>
      </c>
      <c r="C55" s="11"/>
      <c r="D55" s="6">
        <v>6677.17</v>
      </c>
      <c r="E55" s="2"/>
      <c r="F55" s="7">
        <f t="shared" si="28"/>
        <v>2.1520743976738206E-2</v>
      </c>
      <c r="G55" s="2"/>
      <c r="H55" s="6">
        <v>8000</v>
      </c>
      <c r="I55" s="2"/>
      <c r="J55" s="7">
        <f t="shared" si="29"/>
        <v>2.4615384615384615E-2</v>
      </c>
      <c r="K55" s="2"/>
      <c r="L55" s="6">
        <f t="shared" si="30"/>
        <v>-1322.83</v>
      </c>
      <c r="M55" s="2"/>
      <c r="N55" s="7">
        <f t="shared" si="31"/>
        <v>-0.16535374999999999</v>
      </c>
      <c r="O55" s="11"/>
      <c r="P55" s="6">
        <v>46247.68</v>
      </c>
      <c r="Q55" s="2"/>
      <c r="R55" s="7">
        <f t="shared" si="32"/>
        <v>1.8576486311547732E-2</v>
      </c>
      <c r="S55" s="2"/>
      <c r="T55" s="6">
        <v>43000</v>
      </c>
      <c r="U55" s="2"/>
      <c r="V55" s="7">
        <f t="shared" si="33"/>
        <v>1.7099659199815483E-2</v>
      </c>
      <c r="W55" s="2"/>
      <c r="X55" s="6">
        <f t="shared" si="34"/>
        <v>3247.6800000000003</v>
      </c>
      <c r="Y55" s="2"/>
      <c r="Z55" s="7">
        <f t="shared" si="35"/>
        <v>7.5527441860465117E-2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65.040000000000006</v>
      </c>
      <c r="E56" s="1"/>
      <c r="F56" s="5">
        <f t="shared" si="28"/>
        <v>2.0962611229713381E-4</v>
      </c>
      <c r="G56" s="1"/>
      <c r="H56" s="1">
        <f>SUM(OSRRefH22_6x_0)</f>
        <v>200</v>
      </c>
      <c r="I56" s="1"/>
      <c r="J56" s="5">
        <f t="shared" si="29"/>
        <v>6.1538461538461541E-4</v>
      </c>
      <c r="K56" s="1"/>
      <c r="L56" s="1">
        <f t="shared" si="30"/>
        <v>-134.95999999999998</v>
      </c>
      <c r="M56" s="1"/>
      <c r="N56" s="5">
        <f t="shared" si="31"/>
        <v>-0.67479999999999984</v>
      </c>
      <c r="O56" s="13"/>
      <c r="P56" s="1">
        <f>SUM(OSRRefP22_6x_0)</f>
        <v>86.37</v>
      </c>
      <c r="Q56" s="1"/>
      <c r="R56" s="5">
        <f t="shared" si="32"/>
        <v>3.4692575340609037E-5</v>
      </c>
      <c r="S56" s="1"/>
      <c r="T56" s="1">
        <f>SUM(OSRRefT22_6x_0)</f>
        <v>980</v>
      </c>
      <c r="U56" s="1"/>
      <c r="V56" s="5">
        <f t="shared" si="33"/>
        <v>3.8971316315858541E-4</v>
      </c>
      <c r="W56" s="1"/>
      <c r="X56" s="1">
        <f t="shared" si="34"/>
        <v>-893.63</v>
      </c>
      <c r="Y56" s="1"/>
      <c r="Z56" s="5">
        <f t="shared" si="35"/>
        <v>-0.91186734693877547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65.040000000000006</v>
      </c>
      <c r="E57" s="2"/>
      <c r="F57" s="7">
        <f t="shared" si="28"/>
        <v>2.0962611229713381E-4</v>
      </c>
      <c r="G57" s="2"/>
      <c r="H57" s="6">
        <v>200</v>
      </c>
      <c r="I57" s="2"/>
      <c r="J57" s="7">
        <f t="shared" si="29"/>
        <v>6.1538461538461541E-4</v>
      </c>
      <c r="K57" s="2"/>
      <c r="L57" s="6">
        <f t="shared" si="30"/>
        <v>-134.95999999999998</v>
      </c>
      <c r="M57" s="2"/>
      <c r="N57" s="7">
        <f t="shared" si="31"/>
        <v>-0.67479999999999984</v>
      </c>
      <c r="O57" s="11"/>
      <c r="P57" s="6">
        <v>86.37</v>
      </c>
      <c r="Q57" s="2"/>
      <c r="R57" s="7">
        <f t="shared" si="32"/>
        <v>3.4692575340609037E-5</v>
      </c>
      <c r="S57" s="2"/>
      <c r="T57" s="6">
        <v>980</v>
      </c>
      <c r="U57" s="2"/>
      <c r="V57" s="7">
        <f t="shared" si="33"/>
        <v>3.8971316315858541E-4</v>
      </c>
      <c r="W57" s="2"/>
      <c r="X57" s="6">
        <f t="shared" si="34"/>
        <v>-893.63</v>
      </c>
      <c r="Y57" s="2"/>
      <c r="Z57" s="7">
        <f t="shared" si="35"/>
        <v>-0.91186734693877547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83.78</v>
      </c>
      <c r="E58" s="1"/>
      <c r="F58" s="5">
        <f t="shared" si="28"/>
        <v>2.700257639645429E-4</v>
      </c>
      <c r="G58" s="1"/>
      <c r="H58" s="1">
        <f>SUM(OSRRefH22_7x_0)</f>
        <v>400</v>
      </c>
      <c r="I58" s="1"/>
      <c r="J58" s="5">
        <f t="shared" si="29"/>
        <v>1.2307692307692308E-3</v>
      </c>
      <c r="K58" s="1"/>
      <c r="L58" s="1">
        <f t="shared" si="30"/>
        <v>-316.22000000000003</v>
      </c>
      <c r="M58" s="1"/>
      <c r="N58" s="5">
        <f t="shared" si="31"/>
        <v>-0.79055000000000009</v>
      </c>
      <c r="O58" s="13"/>
      <c r="P58" s="1">
        <f>SUM(OSRRefP22_7x_0)</f>
        <v>1280.06</v>
      </c>
      <c r="Q58" s="1"/>
      <c r="R58" s="5">
        <f t="shared" si="32"/>
        <v>5.1416670129095753E-4</v>
      </c>
      <c r="S58" s="1"/>
      <c r="T58" s="1">
        <f>SUM(OSRRefT22_7x_0)</f>
        <v>2600</v>
      </c>
      <c r="U58" s="1"/>
      <c r="V58" s="5">
        <f t="shared" si="33"/>
        <v>1.0339328818493082E-3</v>
      </c>
      <c r="W58" s="1"/>
      <c r="X58" s="1">
        <f t="shared" si="34"/>
        <v>-1319.94</v>
      </c>
      <c r="Y58" s="1"/>
      <c r="Z58" s="5">
        <f t="shared" si="35"/>
        <v>-0.50766923076923076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83.78</v>
      </c>
      <c r="E59" s="2"/>
      <c r="F59" s="7">
        <f t="shared" si="28"/>
        <v>2.700257639645429E-4</v>
      </c>
      <c r="G59" s="2"/>
      <c r="H59" s="6">
        <v>400</v>
      </c>
      <c r="I59" s="2"/>
      <c r="J59" s="7">
        <f t="shared" si="29"/>
        <v>1.2307692307692308E-3</v>
      </c>
      <c r="K59" s="2"/>
      <c r="L59" s="6">
        <f t="shared" si="30"/>
        <v>-316.22000000000003</v>
      </c>
      <c r="M59" s="2"/>
      <c r="N59" s="7">
        <f t="shared" si="31"/>
        <v>-0.79055000000000009</v>
      </c>
      <c r="O59" s="11"/>
      <c r="P59" s="6">
        <v>1280.06</v>
      </c>
      <c r="Q59" s="2"/>
      <c r="R59" s="7">
        <f t="shared" si="32"/>
        <v>5.1416670129095753E-4</v>
      </c>
      <c r="S59" s="2"/>
      <c r="T59" s="6">
        <v>2600</v>
      </c>
      <c r="U59" s="2"/>
      <c r="V59" s="7">
        <f t="shared" si="33"/>
        <v>1.0339328818493082E-3</v>
      </c>
      <c r="W59" s="2"/>
      <c r="X59" s="6">
        <f t="shared" si="34"/>
        <v>-1319.94</v>
      </c>
      <c r="Y59" s="2"/>
      <c r="Z59" s="7">
        <f t="shared" si="35"/>
        <v>-0.50766923076923076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351.39</v>
      </c>
      <c r="E60" s="1"/>
      <c r="F60" s="5">
        <f t="shared" si="28"/>
        <v>1.1325418142695239E-3</v>
      </c>
      <c r="G60" s="1"/>
      <c r="H60" s="1">
        <f>SUM(OSRRefH22_8x_0)</f>
        <v>220</v>
      </c>
      <c r="I60" s="1"/>
      <c r="J60" s="5">
        <f t="shared" si="29"/>
        <v>6.7692307692307691E-4</v>
      </c>
      <c r="K60" s="1"/>
      <c r="L60" s="1">
        <f t="shared" si="30"/>
        <v>131.38999999999999</v>
      </c>
      <c r="M60" s="1"/>
      <c r="N60" s="5">
        <f t="shared" si="31"/>
        <v>0.59722727272727272</v>
      </c>
      <c r="O60" s="13"/>
      <c r="P60" s="1">
        <f>SUM(OSRRefP22_8x_0)</f>
        <v>1850.94</v>
      </c>
      <c r="Q60" s="1"/>
      <c r="R60" s="5">
        <f t="shared" si="32"/>
        <v>7.4347430127297547E-4</v>
      </c>
      <c r="S60" s="1"/>
      <c r="T60" s="1">
        <f>SUM(OSRRefT22_8x_0)</f>
        <v>2495</v>
      </c>
      <c r="U60" s="1"/>
      <c r="V60" s="5">
        <f t="shared" si="33"/>
        <v>9.9217790008231696E-4</v>
      </c>
      <c r="W60" s="1"/>
      <c r="X60" s="1">
        <f t="shared" si="34"/>
        <v>-644.05999999999995</v>
      </c>
      <c r="Y60" s="1"/>
      <c r="Z60" s="5">
        <f t="shared" si="35"/>
        <v>-0.2581402805611222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>
        <v>351.39</v>
      </c>
      <c r="E61" s="2"/>
      <c r="F61" s="7">
        <f t="shared" si="28"/>
        <v>1.1325418142695239E-3</v>
      </c>
      <c r="G61" s="2"/>
      <c r="H61" s="6">
        <v>220</v>
      </c>
      <c r="I61" s="2"/>
      <c r="J61" s="7">
        <f t="shared" si="29"/>
        <v>6.7692307692307691E-4</v>
      </c>
      <c r="K61" s="2"/>
      <c r="L61" s="6">
        <f t="shared" si="30"/>
        <v>131.38999999999999</v>
      </c>
      <c r="M61" s="2"/>
      <c r="N61" s="7">
        <f t="shared" si="31"/>
        <v>0.59722727272727272</v>
      </c>
      <c r="O61" s="11"/>
      <c r="P61" s="6">
        <v>1850.94</v>
      </c>
      <c r="Q61" s="2"/>
      <c r="R61" s="7">
        <f t="shared" si="32"/>
        <v>7.4347430127297547E-4</v>
      </c>
      <c r="S61" s="2"/>
      <c r="T61" s="6">
        <v>2495</v>
      </c>
      <c r="U61" s="2"/>
      <c r="V61" s="7">
        <f t="shared" si="33"/>
        <v>9.9217790008231696E-4</v>
      </c>
      <c r="W61" s="2"/>
      <c r="X61" s="6">
        <f t="shared" si="34"/>
        <v>-644.05999999999995</v>
      </c>
      <c r="Y61" s="2"/>
      <c r="Z61" s="7">
        <f t="shared" si="35"/>
        <v>-0.2581402805611222</v>
      </c>
    </row>
    <row r="62" spans="1:26" s="25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25751.68</v>
      </c>
      <c r="E62" s="1"/>
      <c r="F62" s="5">
        <f t="shared" si="28"/>
        <v>8.2998532649444262E-2</v>
      </c>
      <c r="G62" s="1"/>
      <c r="H62" s="1">
        <f>SUM(OSRRefH22_9x_0)</f>
        <v>26000</v>
      </c>
      <c r="I62" s="1"/>
      <c r="J62" s="5">
        <f t="shared" si="29"/>
        <v>0.08</v>
      </c>
      <c r="K62" s="1"/>
      <c r="L62" s="1">
        <f t="shared" si="30"/>
        <v>-248.31999999999971</v>
      </c>
      <c r="M62" s="1"/>
      <c r="N62" s="5">
        <f t="shared" si="31"/>
        <v>-9.5507692307692203E-3</v>
      </c>
      <c r="O62" s="13"/>
      <c r="P62" s="1">
        <f>SUM(OSRRefP22_9x_0)</f>
        <v>191505.72</v>
      </c>
      <c r="Q62" s="1"/>
      <c r="R62" s="5">
        <f t="shared" si="32"/>
        <v>7.6922850749769345E-2</v>
      </c>
      <c r="S62" s="1"/>
      <c r="T62" s="1">
        <f>SUM(OSRRefT22_9x_0)</f>
        <v>201174</v>
      </c>
      <c r="U62" s="1"/>
      <c r="V62" s="5">
        <f t="shared" si="33"/>
        <v>8.0000159066597201E-2</v>
      </c>
      <c r="W62" s="1"/>
      <c r="X62" s="1">
        <f t="shared" si="34"/>
        <v>-9668.2799999999988</v>
      </c>
      <c r="Y62" s="1"/>
      <c r="Z62" s="5">
        <f t="shared" si="35"/>
        <v>-4.8059291956216998E-2</v>
      </c>
    </row>
    <row r="63" spans="1:26" s="24" customFormat="1" hidden="1" outlineLevel="2" x14ac:dyDescent="0.25">
      <c r="A63" s="26"/>
      <c r="B63" s="11" t="str">
        <f>CONCATENATE("          ", "6387", " - ", "COMMISSION DUE HOUSING")</f>
        <v xml:space="preserve">          6387 - COMMISSION DUE HOUSING</v>
      </c>
      <c r="C63" s="11"/>
      <c r="D63" s="6">
        <v>25751.68</v>
      </c>
      <c r="E63" s="2"/>
      <c r="F63" s="7">
        <f t="shared" si="28"/>
        <v>8.2998532649444262E-2</v>
      </c>
      <c r="G63" s="2"/>
      <c r="H63" s="6">
        <v>26000</v>
      </c>
      <c r="I63" s="2"/>
      <c r="J63" s="7">
        <f t="shared" si="29"/>
        <v>0.08</v>
      </c>
      <c r="K63" s="2"/>
      <c r="L63" s="6">
        <f t="shared" si="30"/>
        <v>-248.31999999999971</v>
      </c>
      <c r="M63" s="2"/>
      <c r="N63" s="7">
        <f t="shared" si="31"/>
        <v>-9.5507692307692203E-3</v>
      </c>
      <c r="O63" s="11"/>
      <c r="P63" s="6">
        <v>191505.72</v>
      </c>
      <c r="Q63" s="2"/>
      <c r="R63" s="7">
        <f t="shared" si="32"/>
        <v>7.6922850749769345E-2</v>
      </c>
      <c r="S63" s="2"/>
      <c r="T63" s="6">
        <v>201174</v>
      </c>
      <c r="U63" s="2"/>
      <c r="V63" s="7">
        <f t="shared" si="33"/>
        <v>8.0000159066597201E-2</v>
      </c>
      <c r="W63" s="2"/>
      <c r="X63" s="6">
        <f t="shared" si="34"/>
        <v>-9668.2799999999988</v>
      </c>
      <c r="Y63" s="2"/>
      <c r="Z63" s="7">
        <f t="shared" si="35"/>
        <v>-4.8059291956216998E-2</v>
      </c>
    </row>
    <row r="64" spans="1:26" s="25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71.36</v>
      </c>
      <c r="E64" s="1"/>
      <c r="F64" s="5">
        <f t="shared" si="28"/>
        <v>2.2999568532477657E-4</v>
      </c>
      <c r="G64" s="1"/>
      <c r="H64" s="1">
        <f>SUM(OSRRefH22_10x_0)</f>
        <v>250</v>
      </c>
      <c r="I64" s="1"/>
      <c r="J64" s="5">
        <f t="shared" si="29"/>
        <v>7.6923076923076923E-4</v>
      </c>
      <c r="K64" s="1"/>
      <c r="L64" s="1">
        <f t="shared" si="30"/>
        <v>-178.64</v>
      </c>
      <c r="M64" s="1"/>
      <c r="N64" s="5">
        <f t="shared" si="31"/>
        <v>-0.71455999999999997</v>
      </c>
      <c r="O64" s="13"/>
      <c r="P64" s="1">
        <f>SUM(OSRRefP22_10x_0)</f>
        <v>8530.3700000000008</v>
      </c>
      <c r="Q64" s="1"/>
      <c r="R64" s="5">
        <f t="shared" si="32"/>
        <v>3.426427045366112E-3</v>
      </c>
      <c r="S64" s="1"/>
      <c r="T64" s="1">
        <f>SUM(OSRRefT22_10x_0)</f>
        <v>5000</v>
      </c>
      <c r="U64" s="1"/>
      <c r="V64" s="5">
        <f t="shared" si="33"/>
        <v>1.9883324650948235E-3</v>
      </c>
      <c r="W64" s="1"/>
      <c r="X64" s="1">
        <f t="shared" si="34"/>
        <v>3530.3700000000008</v>
      </c>
      <c r="Y64" s="1"/>
      <c r="Z64" s="5">
        <f t="shared" si="35"/>
        <v>0.7060740000000002</v>
      </c>
    </row>
    <row r="65" spans="1:26" s="24" customFormat="1" hidden="1" outlineLevel="2" x14ac:dyDescent="0.25">
      <c r="A65" s="26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/>
      <c r="I65" s="2"/>
      <c r="J65" s="7">
        <f t="shared" si="29"/>
        <v>0</v>
      </c>
      <c r="K65" s="2"/>
      <c r="L65" s="6">
        <f t="shared" si="30"/>
        <v>0</v>
      </c>
      <c r="M65" s="2"/>
      <c r="N65" s="7">
        <f t="shared" si="31"/>
        <v>0</v>
      </c>
      <c r="O65" s="11"/>
      <c r="P65" s="6">
        <v>8238.75</v>
      </c>
      <c r="Q65" s="2"/>
      <c r="R65" s="7">
        <f t="shared" si="32"/>
        <v>3.3092909006303423E-3</v>
      </c>
      <c r="S65" s="2"/>
      <c r="T65" s="6"/>
      <c r="U65" s="2"/>
      <c r="V65" s="7">
        <f t="shared" si="33"/>
        <v>0</v>
      </c>
      <c r="W65" s="2"/>
      <c r="X65" s="6">
        <f t="shared" si="34"/>
        <v>8238.75</v>
      </c>
      <c r="Y65" s="2"/>
      <c r="Z65" s="7">
        <f t="shared" si="35"/>
        <v>0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6">
        <v>71.36</v>
      </c>
      <c r="E66" s="2"/>
      <c r="F66" s="7">
        <f t="shared" si="28"/>
        <v>2.2999568532477657E-4</v>
      </c>
      <c r="G66" s="2"/>
      <c r="H66" s="6"/>
      <c r="I66" s="2"/>
      <c r="J66" s="7">
        <f t="shared" si="29"/>
        <v>0</v>
      </c>
      <c r="K66" s="2"/>
      <c r="L66" s="6">
        <f t="shared" si="30"/>
        <v>71.36</v>
      </c>
      <c r="M66" s="2"/>
      <c r="N66" s="7">
        <f t="shared" si="31"/>
        <v>0</v>
      </c>
      <c r="O66" s="11"/>
      <c r="P66" s="6">
        <v>139.84</v>
      </c>
      <c r="Q66" s="2"/>
      <c r="R66" s="7">
        <f t="shared" si="32"/>
        <v>5.6170079143577257E-5</v>
      </c>
      <c r="S66" s="2"/>
      <c r="T66" s="6">
        <v>3500</v>
      </c>
      <c r="U66" s="2"/>
      <c r="V66" s="7">
        <f t="shared" si="33"/>
        <v>1.3918327255663765E-3</v>
      </c>
      <c r="W66" s="2"/>
      <c r="X66" s="6">
        <f t="shared" si="34"/>
        <v>-3360.16</v>
      </c>
      <c r="Y66" s="2"/>
      <c r="Z66" s="7">
        <f t="shared" si="35"/>
        <v>-0.96004571428571428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7.6923076923076923E-4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>
        <v>151.78</v>
      </c>
      <c r="Q67" s="2"/>
      <c r="R67" s="7">
        <f t="shared" si="32"/>
        <v>6.0966065592192185E-5</v>
      </c>
      <c r="S67" s="2"/>
      <c r="T67" s="6">
        <v>1500</v>
      </c>
      <c r="U67" s="2"/>
      <c r="V67" s="7">
        <f t="shared" si="33"/>
        <v>5.9649973952844706E-4</v>
      </c>
      <c r="W67" s="2"/>
      <c r="X67" s="6">
        <f t="shared" si="34"/>
        <v>-1348.22</v>
      </c>
      <c r="Y67" s="2"/>
      <c r="Z67" s="7">
        <f t="shared" si="35"/>
        <v>-0.89881333333333335</v>
      </c>
    </row>
    <row r="68" spans="1:26" s="25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5871.89</v>
      </c>
      <c r="E68" s="1"/>
      <c r="F68" s="5">
        <f t="shared" ref="F68:F72" si="36">IF(D$12=0,0,D68/D$12)</f>
        <v>1.8925299393241345E-2</v>
      </c>
      <c r="G68" s="1"/>
      <c r="H68" s="1">
        <f>SUM(OSRRefH22_11x_0)</f>
        <v>6600</v>
      </c>
      <c r="I68" s="1"/>
      <c r="J68" s="5">
        <f t="shared" ref="J68:J72" si="37">IF(H$12=0,0,H68/H$12)</f>
        <v>2.0307692307692308E-2</v>
      </c>
      <c r="K68" s="1"/>
      <c r="L68" s="1">
        <f t="shared" ref="L68:L72" si="38">+D68-H68</f>
        <v>-728.10999999999967</v>
      </c>
      <c r="M68" s="1"/>
      <c r="N68" s="5">
        <f t="shared" ref="N68:N72" si="39">IF(H68=0,0,L68/H68)</f>
        <v>-0.11031969696969691</v>
      </c>
      <c r="O68" s="13"/>
      <c r="P68" s="1">
        <f>SUM(OSRRefP22_11x_0)</f>
        <v>38108.210000000006</v>
      </c>
      <c r="Q68" s="1"/>
      <c r="R68" s="5">
        <f t="shared" ref="R68:R72" si="40">IF(P$12=0,0,P68/P$12)</f>
        <v>1.5307073596396327E-2</v>
      </c>
      <c r="S68" s="1"/>
      <c r="T68" s="1">
        <f>SUM(OSRRefT22_11x_0)</f>
        <v>39110</v>
      </c>
      <c r="U68" s="1"/>
      <c r="V68" s="5">
        <f t="shared" ref="V68:V72" si="41">IF(T$12=0,0,T68/T$12)</f>
        <v>1.555273654197171E-2</v>
      </c>
      <c r="W68" s="1"/>
      <c r="X68" s="1">
        <f t="shared" ref="X68:X72" si="42">+P68-T68</f>
        <v>-1001.7899999999936</v>
      </c>
      <c r="Y68" s="1"/>
      <c r="Z68" s="5">
        <f t="shared" ref="Z68:Z72" si="43">IF(T68=0,0,X68/T68)</f>
        <v>-2.5614676553311011E-2</v>
      </c>
    </row>
    <row r="69" spans="1:26" s="24" customFormat="1" hidden="1" outlineLevel="2" x14ac:dyDescent="0.25">
      <c r="A69" s="26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834.64</v>
      </c>
      <c r="E69" s="2"/>
      <c r="F69" s="7">
        <f t="shared" si="36"/>
        <v>2.6900728531316074E-3</v>
      </c>
      <c r="G69" s="2"/>
      <c r="H69" s="6">
        <v>450</v>
      </c>
      <c r="I69" s="2"/>
      <c r="J69" s="7">
        <f t="shared" si="37"/>
        <v>1.3846153846153845E-3</v>
      </c>
      <c r="K69" s="2"/>
      <c r="L69" s="6">
        <f t="shared" si="38"/>
        <v>384.64</v>
      </c>
      <c r="M69" s="2"/>
      <c r="N69" s="7">
        <f t="shared" si="39"/>
        <v>0.85475555555555549</v>
      </c>
      <c r="O69" s="11"/>
      <c r="P69" s="6">
        <v>3041.24</v>
      </c>
      <c r="Q69" s="2"/>
      <c r="R69" s="7">
        <f t="shared" si="40"/>
        <v>1.2215867526788678E-3</v>
      </c>
      <c r="S69" s="2"/>
      <c r="T69" s="6">
        <v>2700</v>
      </c>
      <c r="U69" s="2"/>
      <c r="V69" s="7">
        <f t="shared" si="41"/>
        <v>1.0736995311512046E-3</v>
      </c>
      <c r="W69" s="2"/>
      <c r="X69" s="6">
        <f t="shared" si="42"/>
        <v>341.23999999999978</v>
      </c>
      <c r="Y69" s="2"/>
      <c r="Z69" s="7">
        <f t="shared" si="43"/>
        <v>0.1263851851851851</v>
      </c>
    </row>
    <row r="70" spans="1:26" s="24" customFormat="1" hidden="1" outlineLevel="2" x14ac:dyDescent="0.25">
      <c r="A70" s="26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550</v>
      </c>
      <c r="I70" s="2"/>
      <c r="J70" s="7">
        <f t="shared" si="37"/>
        <v>1.6923076923076924E-3</v>
      </c>
      <c r="K70" s="2"/>
      <c r="L70" s="6">
        <f t="shared" si="38"/>
        <v>-550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3250</v>
      </c>
      <c r="U70" s="2"/>
      <c r="V70" s="7">
        <f t="shared" si="41"/>
        <v>1.2924161023116353E-3</v>
      </c>
      <c r="W70" s="2"/>
      <c r="X70" s="6">
        <f t="shared" si="42"/>
        <v>-3250</v>
      </c>
      <c r="Y70" s="2"/>
      <c r="Z70" s="7">
        <f t="shared" si="43"/>
        <v>-1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6">
        <v>3882.07</v>
      </c>
      <c r="E71" s="2"/>
      <c r="F71" s="7">
        <f t="shared" si="36"/>
        <v>1.2512042462566639E-2</v>
      </c>
      <c r="G71" s="2"/>
      <c r="H71" s="6">
        <v>4000</v>
      </c>
      <c r="I71" s="2"/>
      <c r="J71" s="7">
        <f t="shared" si="37"/>
        <v>1.2307692307692308E-2</v>
      </c>
      <c r="K71" s="2"/>
      <c r="L71" s="6">
        <f t="shared" si="38"/>
        <v>-117.92999999999984</v>
      </c>
      <c r="M71" s="2"/>
      <c r="N71" s="7">
        <f t="shared" si="39"/>
        <v>-2.948249999999996E-2</v>
      </c>
      <c r="O71" s="11"/>
      <c r="P71" s="6">
        <v>24549.38</v>
      </c>
      <c r="Q71" s="2"/>
      <c r="R71" s="7">
        <f t="shared" si="40"/>
        <v>9.860845377043426E-3</v>
      </c>
      <c r="S71" s="2"/>
      <c r="T71" s="6">
        <v>23560</v>
      </c>
      <c r="U71" s="2"/>
      <c r="V71" s="7">
        <f t="shared" si="41"/>
        <v>9.3690225755268079E-3</v>
      </c>
      <c r="W71" s="2"/>
      <c r="X71" s="6">
        <f t="shared" si="42"/>
        <v>989.38000000000102</v>
      </c>
      <c r="Y71" s="2"/>
      <c r="Z71" s="7">
        <f t="shared" si="43"/>
        <v>4.1994057724957595E-2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1155.18</v>
      </c>
      <c r="E72" s="2"/>
      <c r="F72" s="7">
        <f t="shared" si="36"/>
        <v>3.723184077543097E-3</v>
      </c>
      <c r="G72" s="2"/>
      <c r="H72" s="6">
        <v>1600</v>
      </c>
      <c r="I72" s="2"/>
      <c r="J72" s="7">
        <f t="shared" si="37"/>
        <v>4.9230769230769232E-3</v>
      </c>
      <c r="K72" s="2"/>
      <c r="L72" s="6">
        <f t="shared" si="38"/>
        <v>-444.81999999999994</v>
      </c>
      <c r="M72" s="2"/>
      <c r="N72" s="7">
        <f t="shared" si="39"/>
        <v>-0.27801249999999994</v>
      </c>
      <c r="O72" s="11"/>
      <c r="P72" s="6">
        <v>10517.59</v>
      </c>
      <c r="Q72" s="2"/>
      <c r="R72" s="7">
        <f t="shared" si="40"/>
        <v>4.2246414666740322E-3</v>
      </c>
      <c r="S72" s="2"/>
      <c r="T72" s="6">
        <v>9600</v>
      </c>
      <c r="U72" s="2"/>
      <c r="V72" s="7">
        <f t="shared" si="41"/>
        <v>3.8175983329820614E-3</v>
      </c>
      <c r="W72" s="2"/>
      <c r="X72" s="6">
        <f t="shared" si="42"/>
        <v>917.59000000000015</v>
      </c>
      <c r="Y72" s="2"/>
      <c r="Z72" s="7">
        <f t="shared" si="43"/>
        <v>9.558229166666668E-2</v>
      </c>
    </row>
    <row r="73" spans="1:26" s="25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4237.66</v>
      </c>
      <c r="E73" s="1"/>
      <c r="F73" s="5">
        <f t="shared" ref="F73:F81" si="44">IF(D$12=0,0,D73/D$12)</f>
        <v>1.3658121018405165E-2</v>
      </c>
      <c r="G73" s="1"/>
      <c r="H73" s="1">
        <f>SUM(OSRRefH22_12x_0)</f>
        <v>8235</v>
      </c>
      <c r="I73" s="1"/>
      <c r="J73" s="5">
        <f t="shared" ref="J73:J81" si="45">IF(H$12=0,0,H73/H$12)</f>
        <v>2.5338461538461539E-2</v>
      </c>
      <c r="K73" s="1"/>
      <c r="L73" s="1">
        <f t="shared" ref="L73:L81" si="46">+D73-H73</f>
        <v>-3997.34</v>
      </c>
      <c r="M73" s="1"/>
      <c r="N73" s="5">
        <f t="shared" ref="N73:N81" si="47">IF(H73=0,0,L73/H73)</f>
        <v>-0.48540862173649063</v>
      </c>
      <c r="O73" s="13"/>
      <c r="P73" s="1">
        <f>SUM(OSRRefP22_12x_0)</f>
        <v>39664.76</v>
      </c>
      <c r="Q73" s="1"/>
      <c r="R73" s="5">
        <f t="shared" ref="R73:R81" si="48">IF(P$12=0,0,P73/P$12)</f>
        <v>1.5932299116211364E-2</v>
      </c>
      <c r="S73" s="1"/>
      <c r="T73" s="1">
        <f>SUM(OSRRefT22_12x_0)</f>
        <v>54950</v>
      </c>
      <c r="U73" s="1"/>
      <c r="V73" s="5">
        <f t="shared" ref="V73:V81" si="49">IF(T$12=0,0,T73/T$12)</f>
        <v>2.185177379139211E-2</v>
      </c>
      <c r="W73" s="1"/>
      <c r="X73" s="1">
        <f t="shared" ref="X73:X81" si="50">+P73-T73</f>
        <v>-15285.239999999998</v>
      </c>
      <c r="Y73" s="1"/>
      <c r="Z73" s="5">
        <f t="shared" ref="Z73:Z81" si="51">IF(T73=0,0,X73/T73)</f>
        <v>-0.27816633303002725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6">
        <v>2414.9</v>
      </c>
      <c r="E74" s="2"/>
      <c r="F74" s="7">
        <f t="shared" si="44"/>
        <v>7.7833040988060948E-3</v>
      </c>
      <c r="G74" s="2"/>
      <c r="H74" s="6">
        <v>3850</v>
      </c>
      <c r="I74" s="2"/>
      <c r="J74" s="7">
        <f t="shared" si="45"/>
        <v>1.1846153846153847E-2</v>
      </c>
      <c r="K74" s="2"/>
      <c r="L74" s="6">
        <f t="shared" si="46"/>
        <v>-1435.1</v>
      </c>
      <c r="M74" s="2"/>
      <c r="N74" s="7">
        <f t="shared" si="47"/>
        <v>-0.37275324675324673</v>
      </c>
      <c r="O74" s="11"/>
      <c r="P74" s="6">
        <v>18289.47</v>
      </c>
      <c r="Q74" s="2"/>
      <c r="R74" s="7">
        <f t="shared" si="48"/>
        <v>7.3464028703810209E-3</v>
      </c>
      <c r="S74" s="2"/>
      <c r="T74" s="6">
        <v>23850</v>
      </c>
      <c r="U74" s="2"/>
      <c r="V74" s="7">
        <f t="shared" si="49"/>
        <v>9.4843458585023091E-3</v>
      </c>
      <c r="W74" s="2"/>
      <c r="X74" s="6">
        <f t="shared" si="50"/>
        <v>-5560.5299999999988</v>
      </c>
      <c r="Y74" s="2"/>
      <c r="Z74" s="7">
        <f t="shared" si="51"/>
        <v>-0.23314591194968548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6">
        <v>76.61</v>
      </c>
      <c r="E75" s="2"/>
      <c r="F75" s="7">
        <f t="shared" si="44"/>
        <v>2.4691661228603044E-4</v>
      </c>
      <c r="G75" s="2"/>
      <c r="H75" s="6">
        <v>1800</v>
      </c>
      <c r="I75" s="2"/>
      <c r="J75" s="7">
        <f t="shared" si="45"/>
        <v>5.5384615384615381E-3</v>
      </c>
      <c r="K75" s="2"/>
      <c r="L75" s="6">
        <f t="shared" si="46"/>
        <v>-1723.39</v>
      </c>
      <c r="M75" s="2"/>
      <c r="N75" s="7">
        <f t="shared" si="47"/>
        <v>-0.95743888888888895</v>
      </c>
      <c r="O75" s="11"/>
      <c r="P75" s="6">
        <v>3195.7</v>
      </c>
      <c r="Q75" s="2"/>
      <c r="R75" s="7">
        <f t="shared" si="48"/>
        <v>1.2836293043416035E-3</v>
      </c>
      <c r="S75" s="2"/>
      <c r="T75" s="6">
        <v>11000</v>
      </c>
      <c r="U75" s="2"/>
      <c r="V75" s="7">
        <f t="shared" si="49"/>
        <v>4.3743314232086118E-3</v>
      </c>
      <c r="W75" s="2"/>
      <c r="X75" s="6">
        <f t="shared" si="50"/>
        <v>-7804.3</v>
      </c>
      <c r="Y75" s="2"/>
      <c r="Z75" s="7">
        <f t="shared" si="51"/>
        <v>-0.70948181818181821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75.650000000000006</v>
      </c>
      <c r="E76" s="2"/>
      <c r="F76" s="7">
        <f t="shared" si="44"/>
        <v>2.4382249992740119E-4</v>
      </c>
      <c r="G76" s="2"/>
      <c r="H76" s="6">
        <v>450</v>
      </c>
      <c r="I76" s="2"/>
      <c r="J76" s="7">
        <f t="shared" si="45"/>
        <v>1.3846153846153845E-3</v>
      </c>
      <c r="K76" s="2"/>
      <c r="L76" s="6">
        <f t="shared" si="46"/>
        <v>-374.35</v>
      </c>
      <c r="M76" s="2"/>
      <c r="N76" s="7">
        <f t="shared" si="47"/>
        <v>-0.8318888888888889</v>
      </c>
      <c r="O76" s="11"/>
      <c r="P76" s="6">
        <v>1415.25</v>
      </c>
      <c r="Q76" s="2"/>
      <c r="R76" s="7">
        <f t="shared" si="48"/>
        <v>5.6846899676736063E-4</v>
      </c>
      <c r="S76" s="2"/>
      <c r="T76" s="6">
        <v>2800</v>
      </c>
      <c r="U76" s="2"/>
      <c r="V76" s="7">
        <f t="shared" si="49"/>
        <v>1.1134661804531013E-3</v>
      </c>
      <c r="W76" s="2"/>
      <c r="X76" s="6">
        <f t="shared" si="50"/>
        <v>-1384.75</v>
      </c>
      <c r="Y76" s="2"/>
      <c r="Z76" s="7">
        <f t="shared" si="51"/>
        <v>-0.49455357142857143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6">
        <v>1670.5</v>
      </c>
      <c r="E77" s="2"/>
      <c r="F77" s="7">
        <f t="shared" si="44"/>
        <v>5.3840778073856394E-3</v>
      </c>
      <c r="G77" s="2"/>
      <c r="H77" s="6">
        <v>1850</v>
      </c>
      <c r="I77" s="2"/>
      <c r="J77" s="7">
        <f t="shared" si="45"/>
        <v>5.6923076923076927E-3</v>
      </c>
      <c r="K77" s="2"/>
      <c r="L77" s="6">
        <f t="shared" si="46"/>
        <v>-179.5</v>
      </c>
      <c r="M77" s="2"/>
      <c r="N77" s="7">
        <f t="shared" si="47"/>
        <v>-9.7027027027027021E-2</v>
      </c>
      <c r="O77" s="11"/>
      <c r="P77" s="6">
        <v>15018.42</v>
      </c>
      <c r="Q77" s="2"/>
      <c r="R77" s="7">
        <f t="shared" si="48"/>
        <v>6.0325074371530571E-3</v>
      </c>
      <c r="S77" s="2"/>
      <c r="T77" s="6">
        <v>11100</v>
      </c>
      <c r="U77" s="2"/>
      <c r="V77" s="7">
        <f t="shared" si="49"/>
        <v>4.414098072510508E-3</v>
      </c>
      <c r="W77" s="2"/>
      <c r="X77" s="6">
        <f t="shared" si="50"/>
        <v>3918.42</v>
      </c>
      <c r="Y77" s="2"/>
      <c r="Z77" s="7">
        <f t="shared" si="51"/>
        <v>0.35301081081081082</v>
      </c>
    </row>
    <row r="78" spans="1:26" s="24" customFormat="1" hidden="1" outlineLevel="2" x14ac:dyDescent="0.25">
      <c r="A78" s="26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3.8461538461538462E-4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750</v>
      </c>
      <c r="U78" s="2"/>
      <c r="V78" s="7">
        <f t="shared" si="49"/>
        <v>2.9824986976422353E-4</v>
      </c>
      <c r="W78" s="2"/>
      <c r="X78" s="6">
        <f t="shared" si="50"/>
        <v>-750</v>
      </c>
      <c r="Y78" s="2"/>
      <c r="Z78" s="7">
        <f t="shared" si="51"/>
        <v>-1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>
        <v>160</v>
      </c>
      <c r="I79" s="2"/>
      <c r="J79" s="7">
        <f t="shared" si="45"/>
        <v>4.9230769230769228E-4</v>
      </c>
      <c r="K79" s="2"/>
      <c r="L79" s="6">
        <f t="shared" si="46"/>
        <v>-160</v>
      </c>
      <c r="M79" s="2"/>
      <c r="N79" s="7">
        <f t="shared" si="47"/>
        <v>-1</v>
      </c>
      <c r="O79" s="11"/>
      <c r="P79" s="6">
        <v>441</v>
      </c>
      <c r="Q79" s="2"/>
      <c r="R79" s="7">
        <f t="shared" si="48"/>
        <v>1.771381929513556E-4</v>
      </c>
      <c r="S79" s="2"/>
      <c r="T79" s="6">
        <v>950</v>
      </c>
      <c r="U79" s="2"/>
      <c r="V79" s="7">
        <f t="shared" si="49"/>
        <v>3.7778316836801649E-4</v>
      </c>
      <c r="W79" s="2"/>
      <c r="X79" s="6">
        <f t="shared" si="50"/>
        <v>-509</v>
      </c>
      <c r="Y79" s="2"/>
      <c r="Z79" s="7">
        <f t="shared" si="51"/>
        <v>-0.53578947368421048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82.5</v>
      </c>
      <c r="Q80" s="2"/>
      <c r="R80" s="7">
        <f t="shared" si="48"/>
        <v>3.3138097320831834E-5</v>
      </c>
      <c r="S80" s="2"/>
      <c r="T80" s="6"/>
      <c r="U80" s="2"/>
      <c r="V80" s="7">
        <f t="shared" si="49"/>
        <v>0</v>
      </c>
      <c r="W80" s="2"/>
      <c r="X80" s="6">
        <f t="shared" si="50"/>
        <v>82.5</v>
      </c>
      <c r="Y80" s="2"/>
      <c r="Z80" s="7">
        <f t="shared" si="51"/>
        <v>0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1222.42</v>
      </c>
      <c r="Q81" s="2"/>
      <c r="R81" s="7">
        <f t="shared" si="48"/>
        <v>4.9101421729613639E-4</v>
      </c>
      <c r="S81" s="2"/>
      <c r="T81" s="6">
        <v>4500</v>
      </c>
      <c r="U81" s="2"/>
      <c r="V81" s="7">
        <f t="shared" si="49"/>
        <v>1.7894992185853412E-3</v>
      </c>
      <c r="W81" s="2"/>
      <c r="X81" s="6">
        <f t="shared" si="50"/>
        <v>-3277.58</v>
      </c>
      <c r="Y81" s="2"/>
      <c r="Z81" s="7">
        <f t="shared" si="51"/>
        <v>-0.72835111111111106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189.3</v>
      </c>
      <c r="E82" s="1"/>
      <c r="F82" s="5">
        <f t="shared" ref="F82:F88" si="52">IF(D$12=0,0,D82/D$12)</f>
        <v>6.1012028071721143E-4</v>
      </c>
      <c r="G82" s="1"/>
      <c r="H82" s="1">
        <f>SUM(OSRRefH22_13x_0)</f>
        <v>185</v>
      </c>
      <c r="I82" s="1"/>
      <c r="J82" s="5">
        <f t="shared" ref="J82:J88" si="53">IF(H$12=0,0,H82/H$12)</f>
        <v>5.6923076923076925E-4</v>
      </c>
      <c r="K82" s="1"/>
      <c r="L82" s="1">
        <f t="shared" ref="L82:L88" si="54">+D82-H82</f>
        <v>4.3000000000000114</v>
      </c>
      <c r="M82" s="1"/>
      <c r="N82" s="5">
        <f t="shared" ref="N82:N88" si="55">IF(H82=0,0,L82/H82)</f>
        <v>2.3243243243243304E-2</v>
      </c>
      <c r="O82" s="13"/>
      <c r="P82" s="1">
        <f>SUM(OSRRefP22_13x_0)</f>
        <v>1123.25</v>
      </c>
      <c r="Q82" s="1"/>
      <c r="R82" s="5">
        <f t="shared" ref="R82:R88" si="56">IF(P$12=0,0,P82/P$12)</f>
        <v>4.5118021594696189E-4</v>
      </c>
      <c r="S82" s="1"/>
      <c r="T82" s="1">
        <f>SUM(OSRRefT22_13x_0)</f>
        <v>1110</v>
      </c>
      <c r="U82" s="1"/>
      <c r="V82" s="5">
        <f t="shared" ref="V82:V88" si="57">IF(T$12=0,0,T82/T$12)</f>
        <v>4.4140980725105081E-4</v>
      </c>
      <c r="W82" s="1"/>
      <c r="X82" s="1">
        <f t="shared" ref="X82:X88" si="58">+P82-T82</f>
        <v>13.25</v>
      </c>
      <c r="Y82" s="1"/>
      <c r="Z82" s="5">
        <f t="shared" ref="Z82:Z88" si="59">IF(T82=0,0,X82/T82)</f>
        <v>1.1936936936936936E-2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189.3</v>
      </c>
      <c r="E83" s="2"/>
      <c r="F83" s="7">
        <f t="shared" si="52"/>
        <v>6.1012028071721143E-4</v>
      </c>
      <c r="G83" s="2"/>
      <c r="H83" s="6">
        <v>185</v>
      </c>
      <c r="I83" s="2"/>
      <c r="J83" s="7">
        <f t="shared" si="53"/>
        <v>5.6923076923076925E-4</v>
      </c>
      <c r="K83" s="2"/>
      <c r="L83" s="6">
        <f t="shared" si="54"/>
        <v>4.3000000000000114</v>
      </c>
      <c r="M83" s="2"/>
      <c r="N83" s="7">
        <f t="shared" si="55"/>
        <v>2.3243243243243304E-2</v>
      </c>
      <c r="O83" s="11"/>
      <c r="P83" s="6">
        <v>1123.25</v>
      </c>
      <c r="Q83" s="2"/>
      <c r="R83" s="7">
        <f t="shared" si="56"/>
        <v>4.5118021594696189E-4</v>
      </c>
      <c r="S83" s="2"/>
      <c r="T83" s="6">
        <v>1110</v>
      </c>
      <c r="U83" s="2"/>
      <c r="V83" s="7">
        <f t="shared" si="57"/>
        <v>4.4140980725105081E-4</v>
      </c>
      <c r="W83" s="2"/>
      <c r="X83" s="6">
        <f t="shared" si="58"/>
        <v>13.25</v>
      </c>
      <c r="Y83" s="2"/>
      <c r="Z83" s="7">
        <f t="shared" si="59"/>
        <v>1.1936936936936936E-2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52"/>
        <v>0</v>
      </c>
      <c r="G84" s="1"/>
      <c r="H84" s="1">
        <f>SUM(OSRRefH22_14x_0)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SUM(OSRRefP22_14x_0)</f>
        <v>617.37</v>
      </c>
      <c r="Q84" s="1"/>
      <c r="R84" s="5">
        <f t="shared" si="56"/>
        <v>2.479814199146903E-4</v>
      </c>
      <c r="S84" s="1"/>
      <c r="T84" s="1">
        <f>SUM(OSRRefT22_14x_0)</f>
        <v>0</v>
      </c>
      <c r="U84" s="1"/>
      <c r="V84" s="5">
        <f t="shared" si="57"/>
        <v>0</v>
      </c>
      <c r="W84" s="1"/>
      <c r="X84" s="1">
        <f t="shared" si="58"/>
        <v>617.37</v>
      </c>
      <c r="Y84" s="1"/>
      <c r="Z84" s="5">
        <f t="shared" si="59"/>
        <v>0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617.37</v>
      </c>
      <c r="Q85" s="2"/>
      <c r="R85" s="7">
        <f t="shared" si="56"/>
        <v>2.479814199146903E-4</v>
      </c>
      <c r="S85" s="2"/>
      <c r="T85" s="6"/>
      <c r="U85" s="2"/>
      <c r="V85" s="7">
        <f t="shared" si="57"/>
        <v>0</v>
      </c>
      <c r="W85" s="2"/>
      <c r="X85" s="6">
        <f t="shared" si="58"/>
        <v>617.37</v>
      </c>
      <c r="Y85" s="2"/>
      <c r="Z85" s="7">
        <f t="shared" si="59"/>
        <v>0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1.8461538461538461E-4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5.7433745254744967E-4</v>
      </c>
      <c r="S86" s="1"/>
      <c r="T86" s="1">
        <f>SUM(OSRRefT22_15x_0)</f>
        <v>360</v>
      </c>
      <c r="U86" s="1"/>
      <c r="V86" s="5">
        <f t="shared" si="57"/>
        <v>1.4315993748682731E-4</v>
      </c>
      <c r="W86" s="1"/>
      <c r="X86" s="1">
        <f t="shared" si="58"/>
        <v>1069.8599999999999</v>
      </c>
      <c r="Y86" s="1"/>
      <c r="Z86" s="5">
        <f t="shared" si="59"/>
        <v>2.9718333333333331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1429.86</v>
      </c>
      <c r="Q87" s="2"/>
      <c r="R87" s="7">
        <f t="shared" si="56"/>
        <v>5.7433745254744967E-4</v>
      </c>
      <c r="S87" s="2"/>
      <c r="T87" s="6"/>
      <c r="U87" s="2"/>
      <c r="V87" s="7">
        <f t="shared" si="57"/>
        <v>0</v>
      </c>
      <c r="W87" s="2"/>
      <c r="X87" s="6">
        <f t="shared" si="58"/>
        <v>1429.86</v>
      </c>
      <c r="Y87" s="2"/>
      <c r="Z87" s="7">
        <f t="shared" si="59"/>
        <v>0</v>
      </c>
    </row>
    <row r="88" spans="1:26" s="24" customFormat="1" hidden="1" outlineLevel="2" x14ac:dyDescent="0.25">
      <c r="A88" s="26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>
        <v>60</v>
      </c>
      <c r="I88" s="2"/>
      <c r="J88" s="7">
        <f t="shared" si="53"/>
        <v>1.8461538461538461E-4</v>
      </c>
      <c r="K88" s="2"/>
      <c r="L88" s="6">
        <f t="shared" si="54"/>
        <v>-60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360</v>
      </c>
      <c r="U88" s="2"/>
      <c r="V88" s="7">
        <f t="shared" si="57"/>
        <v>1.4315993748682731E-4</v>
      </c>
      <c r="W88" s="2"/>
      <c r="X88" s="6">
        <f t="shared" si="58"/>
        <v>-360</v>
      </c>
      <c r="Y88" s="2"/>
      <c r="Z88" s="7">
        <f t="shared" si="59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+D23-D25+D90</f>
        <v>85356.650000000052</v>
      </c>
      <c r="E92" s="14"/>
      <c r="F92" s="20">
        <f>IF(D$12=0,0,D92/D$12)</f>
        <v>0.27510736005853559</v>
      </c>
      <c r="G92" s="14"/>
      <c r="H92" s="22">
        <f>+H23-H25+H90</f>
        <v>68889.538176516624</v>
      </c>
      <c r="I92" s="14"/>
      <c r="J92" s="20">
        <f>IF(H$12=0,0,H92/H$12)</f>
        <v>0.21196780977389731</v>
      </c>
      <c r="K92" s="16"/>
      <c r="L92" s="22">
        <f>+D92-H92</f>
        <v>16467.111823483428</v>
      </c>
      <c r="M92" s="16"/>
      <c r="N92" s="20">
        <f>IF(H92=0,0,L92/H92)</f>
        <v>0.23903646706542753</v>
      </c>
      <c r="O92" s="28"/>
      <c r="P92" s="22">
        <f>+P23-P25+P90</f>
        <v>877719.77999999968</v>
      </c>
      <c r="Q92" s="14"/>
      <c r="R92" s="20">
        <f>IF(P$12=0,0,P92/P$12)</f>
        <v>0.35255713321283749</v>
      </c>
      <c r="S92" s="14"/>
      <c r="T92" s="22">
        <f>+T23-T25+T90</f>
        <v>737443.18311720435</v>
      </c>
      <c r="U92" s="14"/>
      <c r="V92" s="20">
        <f>IF(T$12=0,0,T92/T$12)</f>
        <v>0.29325644443096088</v>
      </c>
      <c r="W92" s="16"/>
      <c r="X92" s="22">
        <f>+P92-T92</f>
        <v>140276.59688279533</v>
      </c>
      <c r="Y92" s="16"/>
      <c r="Z92" s="20">
        <f>IF(T92=0,0,X92/T92)</f>
        <v>0.19022020963003558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38119.279999999999</v>
      </c>
      <c r="E94" s="4"/>
      <c r="F94" s="12">
        <f>IF(D$12=0,0,D94/D$12)</f>
        <v>0.12285972432296872</v>
      </c>
      <c r="G94" s="4"/>
      <c r="H94" s="4">
        <v>46425</v>
      </c>
      <c r="I94" s="4"/>
      <c r="J94" s="12">
        <f>IF(H$12=0,0,H94/H$12)</f>
        <v>0.14284615384615384</v>
      </c>
      <c r="K94" s="4"/>
      <c r="L94" s="4">
        <f>+D94-H94</f>
        <v>-8305.7200000000012</v>
      </c>
      <c r="M94" s="4"/>
      <c r="N94" s="12">
        <f>IF(H94=0,0,L94/H94)</f>
        <v>-0.17890619278406034</v>
      </c>
      <c r="O94" s="10"/>
      <c r="P94" s="4">
        <v>268893.99</v>
      </c>
      <c r="Q94" s="4"/>
      <c r="R94" s="12">
        <f>IF(P$12=0,0,P94/P$12)</f>
        <v>0.10800769951038522</v>
      </c>
      <c r="S94" s="4"/>
      <c r="T94" s="4">
        <v>323926</v>
      </c>
      <c r="U94" s="4"/>
      <c r="V94" s="12">
        <f>IF(T$12=0,0,T94/T$12)</f>
        <v>0.12881451641766117</v>
      </c>
      <c r="W94" s="4"/>
      <c r="X94" s="4">
        <f>+P94-T94</f>
        <v>-55032.010000000009</v>
      </c>
      <c r="Y94" s="4"/>
      <c r="Z94" s="12">
        <f>IF(T94=0,0,X94/T94)</f>
        <v>-0.16989068490951639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47237.370000000054</v>
      </c>
      <c r="E96" s="14"/>
      <c r="F96" s="32">
        <f>IF(D$12=0,0,D96/D$12)</f>
        <v>0.15224763573556688</v>
      </c>
      <c r="G96" s="14"/>
      <c r="H96" s="31">
        <f>+H92-H94</f>
        <v>22464.538176516624</v>
      </c>
      <c r="I96" s="14"/>
      <c r="J96" s="32">
        <f>IF(H$12=0,0,H96/H$12)</f>
        <v>6.9121655927743456E-2</v>
      </c>
      <c r="K96" s="16"/>
      <c r="L96" s="31">
        <f>D96-H96</f>
        <v>24772.83182348343</v>
      </c>
      <c r="M96" s="16"/>
      <c r="N96" s="32">
        <f>IF(H96=0,0,L96/H96)</f>
        <v>1.1027527754556641</v>
      </c>
      <c r="O96" s="28"/>
      <c r="P96" s="31">
        <f>+P92-P94</f>
        <v>608825.78999999969</v>
      </c>
      <c r="Q96" s="14"/>
      <c r="R96" s="32">
        <f>IF(P$12=0,0,P96/P$12)</f>
        <v>0.24454943370245227</v>
      </c>
      <c r="S96" s="14"/>
      <c r="T96" s="31">
        <f>+T92-T94</f>
        <v>413517.18311720435</v>
      </c>
      <c r="U96" s="14"/>
      <c r="V96" s="32">
        <f>IF(T$12=0,0,T96/T$12)</f>
        <v>0.16444192801329968</v>
      </c>
      <c r="W96" s="16"/>
      <c r="X96" s="31">
        <f>P96-T96</f>
        <v>195308.60688279534</v>
      </c>
      <c r="Y96" s="16"/>
      <c r="Z96" s="32">
        <f>IF(T96=0,0,X96/T96)</f>
        <v>0.47231074029501324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5">
        <f>SUM(D96:D98)</f>
        <v>47237.370000000054</v>
      </c>
      <c r="E99" s="14"/>
      <c r="F99" s="34">
        <f>IF(D$12=0,0,D99/D$12)</f>
        <v>0.15224763573556688</v>
      </c>
      <c r="G99" s="14"/>
      <c r="H99" s="35">
        <f>SUM(H96:H98)</f>
        <v>22464.538176516624</v>
      </c>
      <c r="I99" s="14"/>
      <c r="J99" s="34">
        <f>IF(H$12=0,0,H99/H$12)</f>
        <v>6.9121655927743456E-2</v>
      </c>
      <c r="K99" s="16"/>
      <c r="L99" s="35">
        <f>+D99-H99</f>
        <v>24772.83182348343</v>
      </c>
      <c r="M99" s="16"/>
      <c r="N99" s="34">
        <f>IF(H99=0,0,L99/H99)</f>
        <v>1.1027527754556641</v>
      </c>
      <c r="O99" s="28"/>
      <c r="P99" s="35">
        <f>SUM(P96:P98)</f>
        <v>608825.78999999969</v>
      </c>
      <c r="Q99" s="14"/>
      <c r="R99" s="34">
        <f>IF(P$12=0,0,P99/P$12)</f>
        <v>0.24454943370245227</v>
      </c>
      <c r="S99" s="14"/>
      <c r="T99" s="35">
        <f>SUM(T96:T98)</f>
        <v>413517.18311720435</v>
      </c>
      <c r="U99" s="14"/>
      <c r="V99" s="34">
        <f>IF(T$12=0,0,T99/T$12)</f>
        <v>0.16444192801329968</v>
      </c>
      <c r="W99" s="16"/>
      <c r="X99" s="35">
        <f>+P99-T99</f>
        <v>195308.60688279534</v>
      </c>
      <c r="Y99" s="16"/>
      <c r="Z99" s="34">
        <f>IF(T99=0,0,X99/T99)</f>
        <v>0.47231074029501324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3">
        <v>43847.446388854165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6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871.66000000000008</v>
      </c>
      <c r="E12" s="4"/>
      <c r="F12" s="12"/>
      <c r="G12" s="4"/>
      <c r="H12" s="4">
        <f>SUM(OSRRefH13x_0)</f>
        <v>1081</v>
      </c>
      <c r="I12" s="4"/>
      <c r="J12" s="12"/>
      <c r="K12" s="4"/>
      <c r="L12" s="4">
        <f t="shared" ref="L12:L16" si="0">+D12-H12</f>
        <v>-209.33999999999992</v>
      </c>
      <c r="M12" s="4"/>
      <c r="N12" s="12">
        <f t="shared" ref="N12:N16" si="1">IF(H12=0,0,L12/H12)</f>
        <v>-0.19365402405180382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5407</v>
      </c>
      <c r="U12" s="4"/>
      <c r="V12" s="12"/>
      <c r="W12" s="4"/>
      <c r="X12" s="4">
        <f t="shared" ref="X12:X16" si="2">+P12-T12</f>
        <v>-227.97999999999956</v>
      </c>
      <c r="Y12" s="4"/>
      <c r="Z12" s="12">
        <f t="shared" ref="Z12:Z16" si="3">IF(T12=0,0,X12/T12)</f>
        <v>-4.216386166080998E-2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--169.57</f>
        <v>169.57</v>
      </c>
      <c r="E13" s="2"/>
      <c r="F13" s="19"/>
      <c r="G13" s="2"/>
      <c r="H13" s="2"/>
      <c r="I13" s="2"/>
      <c r="J13" s="19"/>
      <c r="K13" s="2"/>
      <c r="L13" s="2">
        <f t="shared" si="0"/>
        <v>169.57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ref="D14:D15" si="4">0</f>
        <v>0</v>
      </c>
      <c r="E14" s="2"/>
      <c r="F14" s="19"/>
      <c r="G14" s="2"/>
      <c r="H14" s="2">
        <v>1081</v>
      </c>
      <c r="I14" s="2"/>
      <c r="J14" s="19"/>
      <c r="K14" s="2"/>
      <c r="L14" s="2">
        <f t="shared" si="0"/>
        <v>-1081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5407</v>
      </c>
      <c r="U14" s="2"/>
      <c r="V14" s="19"/>
      <c r="W14" s="2"/>
      <c r="X14" s="2">
        <f t="shared" si="2"/>
        <v>-5407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--702.09</f>
        <v>702.09</v>
      </c>
      <c r="E16" s="2"/>
      <c r="F16" s="19"/>
      <c r="G16" s="2"/>
      <c r="H16" s="2"/>
      <c r="I16" s="2"/>
      <c r="J16" s="19"/>
      <c r="K16" s="2"/>
      <c r="L16" s="2">
        <f t="shared" si="0"/>
        <v>702.09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383</v>
      </c>
      <c r="E18" s="4"/>
      <c r="F18" s="12">
        <f t="shared" ref="F18:F21" si="5">IF(D$12=0,0,D18/D$12)</f>
        <v>0.43939150586237752</v>
      </c>
      <c r="G18" s="4"/>
      <c r="H18" s="4">
        <f>SUM(OSRRefH16x_0)</f>
        <v>576.28</v>
      </c>
      <c r="I18" s="4"/>
      <c r="J18" s="12">
        <f t="shared" ref="J18:J21" si="6">IF(H$12=0,0,H18/H$12)</f>
        <v>0.5330989824236817</v>
      </c>
      <c r="K18" s="4"/>
      <c r="L18" s="4">
        <f t="shared" ref="L18:L21" si="7">+D18-H18</f>
        <v>-193.27999999999997</v>
      </c>
      <c r="M18" s="4"/>
      <c r="N18" s="12">
        <f t="shared" ref="N18:N21" si="8">IF(H18=0,0,L18/H18)</f>
        <v>-0.33539251752620253</v>
      </c>
      <c r="O18" s="10"/>
      <c r="P18" s="4">
        <f>SUM(OSRRefP16x_0)</f>
        <v>1954.47</v>
      </c>
      <c r="Q18" s="4"/>
      <c r="R18" s="12">
        <f t="shared" ref="R18:R21" si="9">IF(P$12=0,0,P18/P$12)</f>
        <v>0.37738220744465167</v>
      </c>
      <c r="S18" s="4"/>
      <c r="T18" s="4">
        <f>SUM(OSRRefT16x_0)</f>
        <v>2882.49</v>
      </c>
      <c r="U18" s="4"/>
      <c r="V18" s="12">
        <f t="shared" ref="V18:V21" si="10">IF(T$12=0,0,T18/T$12)</f>
        <v>0.53310338450157202</v>
      </c>
      <c r="W18" s="4"/>
      <c r="X18" s="4">
        <f t="shared" ref="X18:X21" si="11">+P18-T18</f>
        <v>-928.01999999999975</v>
      </c>
      <c r="Y18" s="4"/>
      <c r="Z18" s="12">
        <f t="shared" ref="Z18:Z21" si="12">IF(T18=0,0,X18/T18)</f>
        <v>-0.32195081335928305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576.28</v>
      </c>
      <c r="I19" s="2"/>
      <c r="J19" s="19">
        <f t="shared" si="6"/>
        <v>0.5330989824236817</v>
      </c>
      <c r="K19" s="2"/>
      <c r="L19" s="2">
        <f t="shared" si="7"/>
        <v>-576.28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2882.49</v>
      </c>
      <c r="U19" s="2"/>
      <c r="V19" s="19">
        <f t="shared" si="10"/>
        <v>0.53310338450157202</v>
      </c>
      <c r="W19" s="2"/>
      <c r="X19" s="2">
        <f t="shared" si="11"/>
        <v>-2882.49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383</v>
      </c>
      <c r="E21" s="2"/>
      <c r="F21" s="19">
        <f t="shared" si="5"/>
        <v>0.43939150586237752</v>
      </c>
      <c r="G21" s="2"/>
      <c r="H21" s="2"/>
      <c r="I21" s="2"/>
      <c r="J21" s="19">
        <f t="shared" si="6"/>
        <v>0</v>
      </c>
      <c r="K21" s="2"/>
      <c r="L21" s="2">
        <f t="shared" si="7"/>
        <v>383</v>
      </c>
      <c r="M21" s="2"/>
      <c r="N21" s="19">
        <f t="shared" si="8"/>
        <v>0</v>
      </c>
      <c r="O21" s="11"/>
      <c r="P21" s="2">
        <v>-1994.01</v>
      </c>
      <c r="Q21" s="2"/>
      <c r="R21" s="19">
        <f t="shared" si="9"/>
        <v>-0.38501685647091533</v>
      </c>
      <c r="S21" s="2"/>
      <c r="T21" s="2"/>
      <c r="U21" s="2"/>
      <c r="V21" s="19">
        <f t="shared" si="10"/>
        <v>0</v>
      </c>
      <c r="W21" s="2"/>
      <c r="X21" s="2">
        <f t="shared" si="11"/>
        <v>-1994.01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488.66000000000008</v>
      </c>
      <c r="E23" s="14"/>
      <c r="F23" s="20">
        <f>IF(D$12=0,0,D23/D$12)</f>
        <v>0.56060849413762248</v>
      </c>
      <c r="G23" s="14"/>
      <c r="H23" s="22">
        <f>H12-H18</f>
        <v>504.72</v>
      </c>
      <c r="I23" s="14"/>
      <c r="J23" s="20">
        <f>IF(H$12=0,0,H23/H$12)</f>
        <v>0.46690101757631824</v>
      </c>
      <c r="K23" s="16"/>
      <c r="L23" s="22">
        <f>+D23-H23</f>
        <v>-16.059999999999945</v>
      </c>
      <c r="M23" s="16"/>
      <c r="N23" s="20">
        <f>IF(H23=0,0,L23/H23)</f>
        <v>-3.1819622761134779E-2</v>
      </c>
      <c r="O23" s="28"/>
      <c r="P23" s="22">
        <f>P12-P18</f>
        <v>3224.55</v>
      </c>
      <c r="Q23" s="14"/>
      <c r="R23" s="20">
        <f>IF(P$12=0,0,P23/P$12)</f>
        <v>0.62261779255534833</v>
      </c>
      <c r="S23" s="14"/>
      <c r="T23" s="22">
        <f>T12-T18</f>
        <v>2524.5100000000002</v>
      </c>
      <c r="U23" s="14"/>
      <c r="V23" s="20">
        <f>IF(T$12=0,0,T23/T$12)</f>
        <v>0.46689661549842798</v>
      </c>
      <c r="W23" s="16"/>
      <c r="X23" s="22">
        <f>+P23-T23</f>
        <v>700.04</v>
      </c>
      <c r="Y23" s="16"/>
      <c r="Z23" s="20">
        <f>IF(T23=0,0,X23/T23)</f>
        <v>0.27729737652059205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2577.8000000000002</v>
      </c>
      <c r="E25" s="21"/>
      <c r="F25" s="30">
        <f t="shared" ref="F25:F34" si="13">IF(D$12=0,0,D25/D$12)</f>
        <v>2.9573457540784251</v>
      </c>
      <c r="G25" s="21"/>
      <c r="H25" s="21">
        <f>SUM(OSRRefH22x_0)</f>
        <v>2071.1400000000003</v>
      </c>
      <c r="I25" s="21"/>
      <c r="J25" s="30">
        <f t="shared" ref="J25:J34" si="14">IF(H$12=0,0,H25/H$12)</f>
        <v>1.9159481961147089</v>
      </c>
      <c r="K25" s="4"/>
      <c r="L25" s="21">
        <f t="shared" ref="L25:L34" si="15">+D25-H25</f>
        <v>506.65999999999985</v>
      </c>
      <c r="M25" s="4"/>
      <c r="N25" s="30">
        <f t="shared" ref="N25:N34" si="16">IF(H25=0,0,L25/H25)</f>
        <v>0.24462856204795416</v>
      </c>
      <c r="O25" s="10"/>
      <c r="P25" s="21">
        <f>SUM(OSRRefP22x_0)</f>
        <v>15395.689999999999</v>
      </c>
      <c r="Q25" s="21"/>
      <c r="R25" s="30">
        <f t="shared" ref="R25:R34" si="17">IF(P$12=0,0,P25/P$12)</f>
        <v>2.9727033299736236</v>
      </c>
      <c r="S25" s="21"/>
      <c r="T25" s="21">
        <f>SUM(OSRRefT22x_0)</f>
        <v>11851.8884</v>
      </c>
      <c r="U25" s="21"/>
      <c r="V25" s="30">
        <f t="shared" ref="V25:V34" si="18">IF(T$12=0,0,T25/T$12)</f>
        <v>2.1919527279452562</v>
      </c>
      <c r="W25" s="4"/>
      <c r="X25" s="21">
        <f t="shared" ref="X25:X34" si="19">+P25-T25</f>
        <v>3543.8015999999989</v>
      </c>
      <c r="Y25" s="4"/>
      <c r="Z25" s="30">
        <f t="shared" ref="Z25:Z34" si="20">IF(T25=0,0,X25/T25)</f>
        <v>0.29900733793612155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189.89000000000001</v>
      </c>
      <c r="E26" s="1"/>
      <c r="F26" s="5">
        <f t="shared" si="13"/>
        <v>0.21784870247573596</v>
      </c>
      <c r="G26" s="1"/>
      <c r="H26" s="1">
        <f>SUM(OSRRefH22_0x_0)</f>
        <v>85.14</v>
      </c>
      <c r="I26" s="1"/>
      <c r="J26" s="5">
        <f t="shared" si="14"/>
        <v>7.8760407030527294E-2</v>
      </c>
      <c r="K26" s="1"/>
      <c r="L26" s="1">
        <f t="shared" si="15"/>
        <v>104.75000000000001</v>
      </c>
      <c r="M26" s="1"/>
      <c r="N26" s="5">
        <f t="shared" si="16"/>
        <v>1.2303265210241956</v>
      </c>
      <c r="O26" s="13"/>
      <c r="P26" s="1">
        <f>SUM(OSRRefP22_0x_0)</f>
        <v>853.08</v>
      </c>
      <c r="Q26" s="1"/>
      <c r="R26" s="5">
        <f t="shared" si="17"/>
        <v>0.16471842163189174</v>
      </c>
      <c r="S26" s="1"/>
      <c r="T26" s="1">
        <f>SUM(OSRRefT22_0x_0)</f>
        <v>497.88840000000005</v>
      </c>
      <c r="U26" s="1"/>
      <c r="V26" s="5">
        <f t="shared" si="18"/>
        <v>9.2082189754022575E-2</v>
      </c>
      <c r="W26" s="1"/>
      <c r="X26" s="1">
        <f t="shared" si="19"/>
        <v>355.19159999999999</v>
      </c>
      <c r="Y26" s="1"/>
      <c r="Z26" s="5">
        <f t="shared" si="20"/>
        <v>0.7133960140465212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123.51</v>
      </c>
      <c r="E27" s="2"/>
      <c r="F27" s="7">
        <f t="shared" si="13"/>
        <v>0.14169515636830873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123.51</v>
      </c>
      <c r="M27" s="2"/>
      <c r="N27" s="7">
        <f t="shared" si="16"/>
        <v>0</v>
      </c>
      <c r="O27" s="11"/>
      <c r="P27" s="6">
        <v>602.38</v>
      </c>
      <c r="Q27" s="2"/>
      <c r="R27" s="7">
        <f t="shared" si="17"/>
        <v>0.11631158018312343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602.38</v>
      </c>
      <c r="Y27" s="2"/>
      <c r="Z27" s="7">
        <f t="shared" si="20"/>
        <v>0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58.39</v>
      </c>
      <c r="E28" s="2"/>
      <c r="F28" s="7">
        <f t="shared" si="13"/>
        <v>6.6987128008627217E-2</v>
      </c>
      <c r="G28" s="2"/>
      <c r="H28" s="6">
        <v>31.35</v>
      </c>
      <c r="I28" s="2"/>
      <c r="J28" s="7">
        <f t="shared" si="14"/>
        <v>2.9000925069380203E-2</v>
      </c>
      <c r="K28" s="2"/>
      <c r="L28" s="6">
        <f t="shared" si="15"/>
        <v>27.04</v>
      </c>
      <c r="M28" s="2"/>
      <c r="N28" s="7">
        <f t="shared" si="16"/>
        <v>0.86251993620414669</v>
      </c>
      <c r="O28" s="11"/>
      <c r="P28" s="6">
        <v>216.46</v>
      </c>
      <c r="Q28" s="2"/>
      <c r="R28" s="7">
        <f t="shared" si="17"/>
        <v>4.1795552054249646E-2</v>
      </c>
      <c r="S28" s="2"/>
      <c r="T28" s="6">
        <v>183.33099999999999</v>
      </c>
      <c r="U28" s="2"/>
      <c r="V28" s="7">
        <f t="shared" si="18"/>
        <v>3.3906232661364895E-2</v>
      </c>
      <c r="W28" s="2"/>
      <c r="X28" s="6">
        <f t="shared" si="19"/>
        <v>33.129000000000019</v>
      </c>
      <c r="Y28" s="2"/>
      <c r="Z28" s="7">
        <f t="shared" si="20"/>
        <v>0.18070593625737066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7.99</v>
      </c>
      <c r="E30" s="2"/>
      <c r="F30" s="7">
        <f t="shared" si="13"/>
        <v>9.1664180987999899E-3</v>
      </c>
      <c r="G30" s="2"/>
      <c r="H30" s="6">
        <v>4.29</v>
      </c>
      <c r="I30" s="2"/>
      <c r="J30" s="7">
        <f t="shared" si="14"/>
        <v>3.9685476410730803E-3</v>
      </c>
      <c r="K30" s="2"/>
      <c r="L30" s="6">
        <f t="shared" si="15"/>
        <v>3.7</v>
      </c>
      <c r="M30" s="2"/>
      <c r="N30" s="7">
        <f t="shared" si="16"/>
        <v>0.86247086247086246</v>
      </c>
      <c r="O30" s="11"/>
      <c r="P30" s="6">
        <v>34.24</v>
      </c>
      <c r="Q30" s="2"/>
      <c r="R30" s="7">
        <f t="shared" si="17"/>
        <v>6.6112893945186541E-3</v>
      </c>
      <c r="S30" s="2"/>
      <c r="T30" s="6">
        <v>25.087399999999999</v>
      </c>
      <c r="U30" s="2"/>
      <c r="V30" s="7">
        <f t="shared" si="18"/>
        <v>4.6398002589236173E-3</v>
      </c>
      <c r="W30" s="2"/>
      <c r="X30" s="6">
        <f t="shared" si="19"/>
        <v>9.1526000000000032</v>
      </c>
      <c r="Y30" s="2"/>
      <c r="Z30" s="7">
        <f t="shared" si="20"/>
        <v>0.36482855935648983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49.5</v>
      </c>
      <c r="I34" s="2"/>
      <c r="J34" s="7">
        <f t="shared" si="14"/>
        <v>4.5790934320074007E-2</v>
      </c>
      <c r="K34" s="2"/>
      <c r="L34" s="6">
        <f t="shared" si="15"/>
        <v>-49.5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289.47000000000003</v>
      </c>
      <c r="U34" s="2"/>
      <c r="V34" s="7">
        <f t="shared" si="18"/>
        <v>5.3536156833734055E-2</v>
      </c>
      <c r="W34" s="2"/>
      <c r="X34" s="6">
        <f t="shared" si="19"/>
        <v>-289.47000000000003</v>
      </c>
      <c r="Y34" s="2"/>
      <c r="Z34" s="7">
        <f t="shared" si="20"/>
        <v>-1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2202.8599999999997</v>
      </c>
      <c r="E35" s="1"/>
      <c r="F35" s="5">
        <f t="shared" ref="F35:F45" si="21">IF(D$12=0,0,D35/D$12)</f>
        <v>2.5272009728563885</v>
      </c>
      <c r="G35" s="1"/>
      <c r="H35" s="1">
        <f>SUM(OSRRefH22_1x_0)</f>
        <v>1650</v>
      </c>
      <c r="I35" s="1"/>
      <c r="J35" s="5">
        <f t="shared" ref="J35:J45" si="22">IF(H$12=0,0,H35/H$12)</f>
        <v>1.5263644773358003</v>
      </c>
      <c r="K35" s="1"/>
      <c r="L35" s="1">
        <f t="shared" ref="L35:L45" si="23">+D35-H35</f>
        <v>552.85999999999967</v>
      </c>
      <c r="M35" s="1"/>
      <c r="N35" s="5">
        <f t="shared" ref="N35:N45" si="24">IF(H35=0,0,L35/H35)</f>
        <v>0.33506666666666646</v>
      </c>
      <c r="O35" s="13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9649</v>
      </c>
      <c r="U35" s="1"/>
      <c r="V35" s="5">
        <f t="shared" ref="V35:V45" si="26">IF(T$12=0,0,T35/T$12)</f>
        <v>1.7845385611244682</v>
      </c>
      <c r="W35" s="1"/>
      <c r="X35" s="1">
        <f t="shared" ref="X35:X45" si="27">+P35-T35</f>
        <v>1265.9799999999996</v>
      </c>
      <c r="Y35" s="1"/>
      <c r="Z35" s="5">
        <f t="shared" ref="Z35:Z45" si="28">IF(T35=0,0,X35/T35)</f>
        <v>0.13120323349569898</v>
      </c>
    </row>
    <row r="36" spans="1:26" s="24" customFormat="1" hidden="1" outlineLevel="2" x14ac:dyDescent="0.25">
      <c r="A36" s="26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6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1601.55</v>
      </c>
      <c r="E40" s="2"/>
      <c r="F40" s="7">
        <f t="shared" si="21"/>
        <v>1.837356308652456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1601.55</v>
      </c>
      <c r="M40" s="2"/>
      <c r="N40" s="7">
        <f t="shared" si="24"/>
        <v>0</v>
      </c>
      <c r="O40" s="11"/>
      <c r="P40" s="6">
        <v>7765.17</v>
      </c>
      <c r="Q40" s="2"/>
      <c r="R40" s="7">
        <f t="shared" si="25"/>
        <v>1.4993512286108182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7765.17</v>
      </c>
      <c r="Y40" s="2"/>
      <c r="Z40" s="7">
        <f t="shared" si="28"/>
        <v>0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>
        <v>73.31</v>
      </c>
      <c r="E41" s="2"/>
      <c r="F41" s="7">
        <f t="shared" si="21"/>
        <v>8.4103893720028453E-2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73.31</v>
      </c>
      <c r="M41" s="2"/>
      <c r="N41" s="7">
        <f t="shared" si="24"/>
        <v>0</v>
      </c>
      <c r="O41" s="11"/>
      <c r="P41" s="6">
        <v>73.31</v>
      </c>
      <c r="Q41" s="2"/>
      <c r="R41" s="7">
        <f t="shared" si="25"/>
        <v>1.4155187660986054E-2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73.31</v>
      </c>
      <c r="Y41" s="2"/>
      <c r="Z41" s="7">
        <f t="shared" si="28"/>
        <v>0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528</v>
      </c>
      <c r="E42" s="2"/>
      <c r="F42" s="7">
        <f t="shared" si="21"/>
        <v>0.60574077048390418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528</v>
      </c>
      <c r="M42" s="2"/>
      <c r="N42" s="7">
        <f t="shared" si="24"/>
        <v>0</v>
      </c>
      <c r="O42" s="11"/>
      <c r="P42" s="6">
        <v>3076.5</v>
      </c>
      <c r="Q42" s="2"/>
      <c r="R42" s="7">
        <f t="shared" si="25"/>
        <v>0.59403130321952802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3076.5</v>
      </c>
      <c r="Y42" s="2"/>
      <c r="Z42" s="7">
        <f t="shared" si="28"/>
        <v>0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1650</v>
      </c>
      <c r="I43" s="2"/>
      <c r="J43" s="7">
        <f t="shared" si="22"/>
        <v>1.5263644773358003</v>
      </c>
      <c r="K43" s="2"/>
      <c r="L43" s="6">
        <f t="shared" si="23"/>
        <v>-1650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9649</v>
      </c>
      <c r="U43" s="2"/>
      <c r="V43" s="7">
        <f t="shared" si="26"/>
        <v>1.7845385611244682</v>
      </c>
      <c r="W43" s="2"/>
      <c r="X43" s="6">
        <f t="shared" si="27"/>
        <v>-9649</v>
      </c>
      <c r="Y43" s="2"/>
      <c r="Z43" s="7">
        <f t="shared" si="28"/>
        <v>-1</v>
      </c>
    </row>
    <row r="44" spans="1:26" s="24" customFormat="1" hidden="1" outlineLevel="2" x14ac:dyDescent="0.25">
      <c r="A44" s="26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6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-0.45</v>
      </c>
      <c r="E46" s="1"/>
      <c r="F46" s="5">
        <f t="shared" ref="F46:F57" si="29">IF(D$12=0,0,D46/D$12)</f>
        <v>-5.162563384806002E-4</v>
      </c>
      <c r="G46" s="1"/>
      <c r="H46" s="1">
        <f>SUM(OSRRefH22_2x_0)</f>
        <v>25</v>
      </c>
      <c r="I46" s="1"/>
      <c r="J46" s="5">
        <f t="shared" ref="J46:J57" si="30">IF(H$12=0,0,H46/H$12)</f>
        <v>2.3126734505087881E-2</v>
      </c>
      <c r="K46" s="1"/>
      <c r="L46" s="1">
        <f t="shared" ref="L46:L57" si="31">+D46-H46</f>
        <v>-25.45</v>
      </c>
      <c r="M46" s="1"/>
      <c r="N46" s="5">
        <f t="shared" ref="N46:N57" si="32">IF(H46=0,0,L46/H46)</f>
        <v>-1.018</v>
      </c>
      <c r="O46" s="13"/>
      <c r="P46" s="1">
        <f>SUM(OSRRefP22_2x_0)</f>
        <v>-1.41</v>
      </c>
      <c r="Q46" s="1"/>
      <c r="R46" s="5">
        <f t="shared" ref="R46:R57" si="33">IF(P$12=0,0,P46/P$12)</f>
        <v>-2.7225227938876463E-4</v>
      </c>
      <c r="S46" s="1"/>
      <c r="T46" s="1">
        <f>SUM(OSRRefT22_2x_0)</f>
        <v>150</v>
      </c>
      <c r="U46" s="1"/>
      <c r="V46" s="5">
        <f t="shared" ref="V46:V57" si="34">IF(T$12=0,0,T46/T$12)</f>
        <v>2.7741816164231551E-2</v>
      </c>
      <c r="W46" s="1"/>
      <c r="X46" s="1">
        <f t="shared" ref="X46:X57" si="35">+P46-T46</f>
        <v>-151.41</v>
      </c>
      <c r="Y46" s="1"/>
      <c r="Z46" s="5">
        <f t="shared" ref="Z46:Z57" si="36">IF(T46=0,0,X46/T46)</f>
        <v>-1.0094000000000001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6">
        <v>-0.45</v>
      </c>
      <c r="E47" s="2"/>
      <c r="F47" s="7">
        <f t="shared" si="29"/>
        <v>-5.162563384806002E-4</v>
      </c>
      <c r="G47" s="2"/>
      <c r="H47" s="6">
        <v>25</v>
      </c>
      <c r="I47" s="2"/>
      <c r="J47" s="7">
        <f t="shared" si="30"/>
        <v>2.3126734505087881E-2</v>
      </c>
      <c r="K47" s="2"/>
      <c r="L47" s="6">
        <f t="shared" si="31"/>
        <v>-25.45</v>
      </c>
      <c r="M47" s="2"/>
      <c r="N47" s="7">
        <f t="shared" si="32"/>
        <v>-1.018</v>
      </c>
      <c r="O47" s="11"/>
      <c r="P47" s="6">
        <v>-1.41</v>
      </c>
      <c r="Q47" s="2"/>
      <c r="R47" s="7">
        <f t="shared" si="33"/>
        <v>-2.7225227938876463E-4</v>
      </c>
      <c r="S47" s="2"/>
      <c r="T47" s="6">
        <v>150</v>
      </c>
      <c r="U47" s="2"/>
      <c r="V47" s="7">
        <f t="shared" si="34"/>
        <v>2.7741816164231551E-2</v>
      </c>
      <c r="W47" s="2"/>
      <c r="X47" s="6">
        <f t="shared" si="35"/>
        <v>-151.41</v>
      </c>
      <c r="Y47" s="2"/>
      <c r="Z47" s="7">
        <f t="shared" si="36"/>
        <v>-1.0094000000000001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18.309999999999999</v>
      </c>
      <c r="E48" s="1"/>
      <c r="F48" s="5">
        <f t="shared" si="29"/>
        <v>2.1005896794621753E-2</v>
      </c>
      <c r="G48" s="1"/>
      <c r="H48" s="1">
        <f>SUM(OSRRefH22_3x_0)</f>
        <v>23</v>
      </c>
      <c r="I48" s="1"/>
      <c r="J48" s="5">
        <f t="shared" si="30"/>
        <v>2.1276595744680851E-2</v>
      </c>
      <c r="K48" s="1"/>
      <c r="L48" s="1">
        <f t="shared" si="31"/>
        <v>-4.6900000000000013</v>
      </c>
      <c r="M48" s="1"/>
      <c r="N48" s="5">
        <f t="shared" si="32"/>
        <v>-0.20391304347826092</v>
      </c>
      <c r="O48" s="13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115</v>
      </c>
      <c r="U48" s="1"/>
      <c r="V48" s="5">
        <f t="shared" si="34"/>
        <v>2.1268725725910858E-2</v>
      </c>
      <c r="W48" s="1"/>
      <c r="X48" s="1">
        <f t="shared" si="35"/>
        <v>10.260000000000005</v>
      </c>
      <c r="Y48" s="1"/>
      <c r="Z48" s="5">
        <f t="shared" si="36"/>
        <v>8.9217391304347873E-2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6">
        <v>18.309999999999999</v>
      </c>
      <c r="E49" s="2"/>
      <c r="F49" s="7">
        <f t="shared" si="29"/>
        <v>2.1005896794621753E-2</v>
      </c>
      <c r="G49" s="2"/>
      <c r="H49" s="6">
        <v>23</v>
      </c>
      <c r="I49" s="2"/>
      <c r="J49" s="7">
        <f t="shared" si="30"/>
        <v>2.1276595744680851E-2</v>
      </c>
      <c r="K49" s="2"/>
      <c r="L49" s="6">
        <f t="shared" si="31"/>
        <v>-4.6900000000000013</v>
      </c>
      <c r="M49" s="2"/>
      <c r="N49" s="7">
        <f t="shared" si="32"/>
        <v>-0.20391304347826092</v>
      </c>
      <c r="O49" s="11"/>
      <c r="P49" s="6">
        <v>125.26</v>
      </c>
      <c r="Q49" s="2"/>
      <c r="R49" s="7">
        <f t="shared" si="33"/>
        <v>2.418604291931678E-2</v>
      </c>
      <c r="S49" s="2"/>
      <c r="T49" s="6">
        <v>115</v>
      </c>
      <c r="U49" s="2"/>
      <c r="V49" s="7">
        <f t="shared" si="34"/>
        <v>2.1268725725910858E-2</v>
      </c>
      <c r="W49" s="2"/>
      <c r="X49" s="6">
        <f t="shared" si="35"/>
        <v>10.260000000000005</v>
      </c>
      <c r="Y49" s="2"/>
      <c r="Z49" s="7">
        <f t="shared" si="36"/>
        <v>8.9217391304347873E-2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198</v>
      </c>
      <c r="I50" s="1"/>
      <c r="J50" s="5">
        <f t="shared" si="30"/>
        <v>0.18316373728029603</v>
      </c>
      <c r="K50" s="1"/>
      <c r="L50" s="1">
        <f t="shared" si="31"/>
        <v>-198</v>
      </c>
      <c r="M50" s="1"/>
      <c r="N50" s="5">
        <f t="shared" si="32"/>
        <v>-1</v>
      </c>
      <c r="O50" s="13"/>
      <c r="P50" s="1">
        <f>SUM(OSRRefP22_4x_0)</f>
        <v>1154.05</v>
      </c>
      <c r="Q50" s="1"/>
      <c r="R50" s="5">
        <f t="shared" si="33"/>
        <v>0.22283173264439987</v>
      </c>
      <c r="S50" s="1"/>
      <c r="T50" s="1">
        <f>SUM(OSRRefT22_4x_0)</f>
        <v>990</v>
      </c>
      <c r="U50" s="1"/>
      <c r="V50" s="5">
        <f t="shared" si="34"/>
        <v>0.18309598668392824</v>
      </c>
      <c r="W50" s="1"/>
      <c r="X50" s="1">
        <f t="shared" si="35"/>
        <v>164.04999999999995</v>
      </c>
      <c r="Y50" s="1"/>
      <c r="Z50" s="5">
        <f t="shared" si="36"/>
        <v>0.16570707070707066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9"/>
        <v>0</v>
      </c>
      <c r="G51" s="2"/>
      <c r="H51" s="6">
        <v>198</v>
      </c>
      <c r="I51" s="2"/>
      <c r="J51" s="7">
        <f t="shared" si="30"/>
        <v>0.18316373728029603</v>
      </c>
      <c r="K51" s="2"/>
      <c r="L51" s="6">
        <f t="shared" si="31"/>
        <v>-198</v>
      </c>
      <c r="M51" s="2"/>
      <c r="N51" s="7">
        <f t="shared" si="32"/>
        <v>-1</v>
      </c>
      <c r="O51" s="11"/>
      <c r="P51" s="6">
        <v>1154.05</v>
      </c>
      <c r="Q51" s="2"/>
      <c r="R51" s="7">
        <f t="shared" si="33"/>
        <v>0.22283173264439987</v>
      </c>
      <c r="S51" s="2"/>
      <c r="T51" s="6">
        <v>990</v>
      </c>
      <c r="U51" s="2"/>
      <c r="V51" s="7">
        <f t="shared" si="34"/>
        <v>0.18309598668392824</v>
      </c>
      <c r="W51" s="2"/>
      <c r="X51" s="6">
        <f t="shared" si="35"/>
        <v>164.04999999999995</v>
      </c>
      <c r="Y51" s="2"/>
      <c r="Z51" s="7">
        <f t="shared" si="36"/>
        <v>0.16570707070707066</v>
      </c>
    </row>
    <row r="52" spans="1:26" s="25" customFormat="1" outlineLevel="1" collapsed="1" x14ac:dyDescent="0.25">
      <c r="A52" s="27"/>
      <c r="B52" s="13" t="str">
        <f>CONCATENATE("     ","R/H Commissions                                   ")</f>
        <v xml:space="preserve">     R/H Commissions                                   </v>
      </c>
      <c r="C52" s="13"/>
      <c r="D52" s="1">
        <f>SUM(OSRRefD22_5x_0)</f>
        <v>83.32</v>
      </c>
      <c r="E52" s="1"/>
      <c r="F52" s="5">
        <f t="shared" si="29"/>
        <v>9.5587729160452453E-2</v>
      </c>
      <c r="G52" s="1"/>
      <c r="H52" s="1">
        <f>SUM(OSRRefH22_5x_0)</f>
        <v>68</v>
      </c>
      <c r="I52" s="1"/>
      <c r="J52" s="5">
        <f t="shared" si="30"/>
        <v>6.290471785383904E-2</v>
      </c>
      <c r="K52" s="1"/>
      <c r="L52" s="1">
        <f t="shared" si="31"/>
        <v>15.319999999999993</v>
      </c>
      <c r="M52" s="1"/>
      <c r="N52" s="5">
        <f t="shared" si="32"/>
        <v>0.22529411764705873</v>
      </c>
      <c r="O52" s="13"/>
      <c r="P52" s="1">
        <f>SUM(OSRRefP22_5x_0)</f>
        <v>344.59</v>
      </c>
      <c r="Q52" s="1"/>
      <c r="R52" s="5">
        <f t="shared" si="33"/>
        <v>6.6535753868492489E-2</v>
      </c>
      <c r="S52" s="1"/>
      <c r="T52" s="1">
        <f>SUM(OSRRefT22_5x_0)</f>
        <v>341</v>
      </c>
      <c r="U52" s="1"/>
      <c r="V52" s="5">
        <f t="shared" si="34"/>
        <v>6.3066395413353057E-2</v>
      </c>
      <c r="W52" s="1"/>
      <c r="X52" s="1">
        <f t="shared" si="35"/>
        <v>3.589999999999975</v>
      </c>
      <c r="Y52" s="1"/>
      <c r="Z52" s="5">
        <f t="shared" si="36"/>
        <v>1.0527859237536583E-2</v>
      </c>
    </row>
    <row r="53" spans="1:26" s="24" customFormat="1" hidden="1" outlineLevel="2" x14ac:dyDescent="0.25">
      <c r="A53" s="26"/>
      <c r="B53" s="11" t="str">
        <f>CONCATENATE("          ", "6387", " - ", "COMMISSION DUE HOUSING")</f>
        <v xml:space="preserve">          6387 - COMMISSION DUE HOUSING</v>
      </c>
      <c r="C53" s="11"/>
      <c r="D53" s="6">
        <v>83.32</v>
      </c>
      <c r="E53" s="2"/>
      <c r="F53" s="7">
        <f t="shared" si="29"/>
        <v>9.5587729160452453E-2</v>
      </c>
      <c r="G53" s="2"/>
      <c r="H53" s="6">
        <v>68</v>
      </c>
      <c r="I53" s="2"/>
      <c r="J53" s="7">
        <f t="shared" si="30"/>
        <v>6.290471785383904E-2</v>
      </c>
      <c r="K53" s="2"/>
      <c r="L53" s="6">
        <f t="shared" si="31"/>
        <v>15.319999999999993</v>
      </c>
      <c r="M53" s="2"/>
      <c r="N53" s="7">
        <f t="shared" si="32"/>
        <v>0.22529411764705873</v>
      </c>
      <c r="O53" s="11"/>
      <c r="P53" s="6">
        <v>344.59</v>
      </c>
      <c r="Q53" s="2"/>
      <c r="R53" s="7">
        <f t="shared" si="33"/>
        <v>6.6535753868492489E-2</v>
      </c>
      <c r="S53" s="2"/>
      <c r="T53" s="6">
        <v>341</v>
      </c>
      <c r="U53" s="2"/>
      <c r="V53" s="7">
        <f t="shared" si="34"/>
        <v>6.3066395413353057E-2</v>
      </c>
      <c r="W53" s="2"/>
      <c r="X53" s="6">
        <f t="shared" si="35"/>
        <v>3.589999999999975</v>
      </c>
      <c r="Y53" s="2"/>
      <c r="Z53" s="7">
        <f t="shared" si="36"/>
        <v>1.0527859237536583E-2</v>
      </c>
    </row>
    <row r="54" spans="1:26" s="25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SUM(OSRRefD22_6x_0)</f>
        <v>8.3699999999999992</v>
      </c>
      <c r="E54" s="1"/>
      <c r="F54" s="5">
        <f t="shared" si="29"/>
        <v>9.6023678957391622E-3</v>
      </c>
      <c r="G54" s="1"/>
      <c r="H54" s="1">
        <f>SUM(OSRRefH22_6x_0)</f>
        <v>22</v>
      </c>
      <c r="I54" s="1"/>
      <c r="J54" s="5">
        <f t="shared" si="30"/>
        <v>2.0351526364477335E-2</v>
      </c>
      <c r="K54" s="1"/>
      <c r="L54" s="1">
        <f t="shared" si="31"/>
        <v>-13.63</v>
      </c>
      <c r="M54" s="1"/>
      <c r="N54" s="5">
        <f t="shared" si="32"/>
        <v>-0.61954545454545462</v>
      </c>
      <c r="O54" s="13"/>
      <c r="P54" s="1">
        <f>SUM(OSRRefP22_6x_0)</f>
        <v>1592.1399999999999</v>
      </c>
      <c r="Q54" s="1"/>
      <c r="R54" s="5">
        <f t="shared" si="33"/>
        <v>0.30742109511065796</v>
      </c>
      <c r="S54" s="1"/>
      <c r="T54" s="1">
        <f>SUM(OSRRefT22_6x_0)</f>
        <v>109</v>
      </c>
      <c r="U54" s="1"/>
      <c r="V54" s="5">
        <f t="shared" si="34"/>
        <v>2.0159053079341595E-2</v>
      </c>
      <c r="W54" s="1"/>
      <c r="X54" s="1">
        <f t="shared" si="35"/>
        <v>1483.1399999999999</v>
      </c>
      <c r="Y54" s="1"/>
      <c r="Z54" s="5">
        <f t="shared" si="36"/>
        <v>13.606788990825686</v>
      </c>
    </row>
    <row r="55" spans="1:26" s="24" customFormat="1" hidden="1" outlineLevel="2" x14ac:dyDescent="0.25">
      <c r="A55" s="26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47.13</v>
      </c>
      <c r="Q55" s="2"/>
      <c r="R55" s="7">
        <f t="shared" si="33"/>
        <v>9.1001772536116864E-3</v>
      </c>
      <c r="S55" s="2"/>
      <c r="T55" s="6"/>
      <c r="U55" s="2"/>
      <c r="V55" s="7">
        <f t="shared" si="34"/>
        <v>0</v>
      </c>
      <c r="W55" s="2"/>
      <c r="X55" s="6">
        <f t="shared" si="35"/>
        <v>47.13</v>
      </c>
      <c r="Y55" s="2"/>
      <c r="Z55" s="7">
        <f t="shared" si="36"/>
        <v>0</v>
      </c>
    </row>
    <row r="56" spans="1:26" s="24" customFormat="1" hidden="1" outlineLevel="2" x14ac:dyDescent="0.25">
      <c r="A56" s="26"/>
      <c r="B56" s="11" t="str">
        <f>CONCATENATE("          ", "6247", " - ", "STORE SUPPLIES")</f>
        <v xml:space="preserve">          6247 - STORE SUPPLIES</v>
      </c>
      <c r="C56" s="11"/>
      <c r="D56" s="6">
        <v>8.3699999999999992</v>
      </c>
      <c r="E56" s="2"/>
      <c r="F56" s="7">
        <f t="shared" si="29"/>
        <v>9.6023678957391622E-3</v>
      </c>
      <c r="G56" s="2"/>
      <c r="H56" s="6">
        <v>22</v>
      </c>
      <c r="I56" s="2"/>
      <c r="J56" s="7">
        <f t="shared" si="30"/>
        <v>2.0351526364477335E-2</v>
      </c>
      <c r="K56" s="2"/>
      <c r="L56" s="6">
        <f t="shared" si="31"/>
        <v>-13.63</v>
      </c>
      <c r="M56" s="2"/>
      <c r="N56" s="7">
        <f t="shared" si="32"/>
        <v>-0.61954545454545462</v>
      </c>
      <c r="O56" s="11"/>
      <c r="P56" s="6">
        <v>431.41</v>
      </c>
      <c r="Q56" s="2"/>
      <c r="R56" s="7">
        <f t="shared" si="33"/>
        <v>8.3299543156813455E-2</v>
      </c>
      <c r="S56" s="2"/>
      <c r="T56" s="6">
        <v>109</v>
      </c>
      <c r="U56" s="2"/>
      <c r="V56" s="7">
        <f t="shared" si="34"/>
        <v>2.0159053079341595E-2</v>
      </c>
      <c r="W56" s="2"/>
      <c r="X56" s="6">
        <f t="shared" si="35"/>
        <v>322.41000000000003</v>
      </c>
      <c r="Y56" s="2"/>
      <c r="Z56" s="7">
        <f t="shared" si="36"/>
        <v>2.957889908256881</v>
      </c>
    </row>
    <row r="57" spans="1:26" s="24" customFormat="1" hidden="1" outlineLevel="2" x14ac:dyDescent="0.25">
      <c r="A57" s="26"/>
      <c r="B57" s="11" t="str">
        <f>CONCATENATE("          ", "6248", " - ", "UNIFORMS")</f>
        <v xml:space="preserve">          6248 - UNIFORMS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1113.5999999999999</v>
      </c>
      <c r="Q57" s="2"/>
      <c r="R57" s="7">
        <f t="shared" si="33"/>
        <v>0.21502137470023283</v>
      </c>
      <c r="S57" s="2"/>
      <c r="T57" s="6"/>
      <c r="U57" s="2"/>
      <c r="V57" s="7">
        <f t="shared" si="34"/>
        <v>0</v>
      </c>
      <c r="W57" s="2"/>
      <c r="X57" s="6">
        <f t="shared" si="35"/>
        <v>1113.5999999999999</v>
      </c>
      <c r="Y57" s="2"/>
      <c r="Z57" s="7">
        <f t="shared" si="36"/>
        <v>0</v>
      </c>
    </row>
    <row r="58" spans="1:26" s="25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SUM(OSRRefD22_7x_0)</f>
        <v>75.5</v>
      </c>
      <c r="E58" s="1"/>
      <c r="F58" s="5">
        <f t="shared" ref="F58:F59" si="37">IF(D$12=0,0,D58/D$12)</f>
        <v>8.6616341233967359E-2</v>
      </c>
      <c r="G58" s="1"/>
      <c r="H58" s="1">
        <f>SUM(OSRRefH22_7x_0)</f>
        <v>0</v>
      </c>
      <c r="I58" s="1"/>
      <c r="J58" s="5">
        <f t="shared" ref="J58:J59" si="38">IF(H$12=0,0,H58/H$12)</f>
        <v>0</v>
      </c>
      <c r="K58" s="1"/>
      <c r="L58" s="1">
        <f t="shared" ref="L58:L59" si="39">+D58-H58</f>
        <v>75.5</v>
      </c>
      <c r="M58" s="1"/>
      <c r="N58" s="5">
        <f t="shared" ref="N58:N59" si="40">IF(H58=0,0,L58/H58)</f>
        <v>0</v>
      </c>
      <c r="O58" s="13"/>
      <c r="P58" s="1">
        <f>SUM(OSRRefP22_7x_0)</f>
        <v>413</v>
      </c>
      <c r="Q58" s="1"/>
      <c r="R58" s="5">
        <f t="shared" ref="R58:R59" si="41">IF(P$12=0,0,P58/P$12)</f>
        <v>7.9744816586921841E-2</v>
      </c>
      <c r="S58" s="1"/>
      <c r="T58" s="1">
        <f>SUM(OSRRefT22_7x_0)</f>
        <v>0</v>
      </c>
      <c r="U58" s="1"/>
      <c r="V58" s="5">
        <f t="shared" ref="V58:V59" si="42">IF(T$12=0,0,T58/T$12)</f>
        <v>0</v>
      </c>
      <c r="W58" s="1"/>
      <c r="X58" s="1">
        <f t="shared" ref="X58:X59" si="43">+P58-T58</f>
        <v>413</v>
      </c>
      <c r="Y58" s="1"/>
      <c r="Z58" s="5">
        <f t="shared" ref="Z58:Z59" si="44">IF(T58=0,0,X58/T58)</f>
        <v>0</v>
      </c>
    </row>
    <row r="59" spans="1:26" s="24" customFormat="1" hidden="1" outlineLevel="2" x14ac:dyDescent="0.25">
      <c r="A59" s="26"/>
      <c r="B59" s="11" t="str">
        <f>CONCATENATE("          ", "6309", " - ", "TELEPHONE")</f>
        <v xml:space="preserve">          6309 - TELEPHONE</v>
      </c>
      <c r="C59" s="11"/>
      <c r="D59" s="6">
        <v>75.5</v>
      </c>
      <c r="E59" s="2"/>
      <c r="F59" s="7">
        <f t="shared" si="37"/>
        <v>8.6616341233967359E-2</v>
      </c>
      <c r="G59" s="2"/>
      <c r="H59" s="6"/>
      <c r="I59" s="2"/>
      <c r="J59" s="7">
        <f t="shared" si="38"/>
        <v>0</v>
      </c>
      <c r="K59" s="2"/>
      <c r="L59" s="6">
        <f t="shared" si="39"/>
        <v>75.5</v>
      </c>
      <c r="M59" s="2"/>
      <c r="N59" s="7">
        <f t="shared" si="40"/>
        <v>0</v>
      </c>
      <c r="O59" s="11"/>
      <c r="P59" s="6">
        <v>413</v>
      </c>
      <c r="Q59" s="2"/>
      <c r="R59" s="7">
        <f t="shared" si="41"/>
        <v>7.9744816586921841E-2</v>
      </c>
      <c r="S59" s="2"/>
      <c r="T59" s="6"/>
      <c r="U59" s="2"/>
      <c r="V59" s="7">
        <f t="shared" si="42"/>
        <v>0</v>
      </c>
      <c r="W59" s="2"/>
      <c r="X59" s="6">
        <f t="shared" si="43"/>
        <v>413</v>
      </c>
      <c r="Y59" s="2"/>
      <c r="Z59" s="7">
        <f t="shared" si="44"/>
        <v>0</v>
      </c>
    </row>
    <row r="60" spans="1:26" s="5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+D23-D25+D61</f>
        <v>-2089.1400000000003</v>
      </c>
      <c r="E63" s="14"/>
      <c r="F63" s="20">
        <f>IF(D$12=0,0,D63/D$12)</f>
        <v>-2.3967372599408026</v>
      </c>
      <c r="G63" s="14"/>
      <c r="H63" s="22">
        <f>+H23-H25+H61</f>
        <v>-1566.4200000000003</v>
      </c>
      <c r="I63" s="14"/>
      <c r="J63" s="20">
        <f>IF(H$12=0,0,H63/H$12)</f>
        <v>-1.4490471785383907</v>
      </c>
      <c r="K63" s="16"/>
      <c r="L63" s="22">
        <f>+D63-H63</f>
        <v>-522.72</v>
      </c>
      <c r="M63" s="16"/>
      <c r="N63" s="20">
        <f>IF(H63=0,0,L63/H63)</f>
        <v>0.33370360439728802</v>
      </c>
      <c r="O63" s="28"/>
      <c r="P63" s="22">
        <f>+P23-P25+P61</f>
        <v>-12171.14</v>
      </c>
      <c r="Q63" s="14"/>
      <c r="R63" s="20">
        <f>IF(P$12=0,0,P63/P$12)</f>
        <v>-2.3500855374182756</v>
      </c>
      <c r="S63" s="14"/>
      <c r="T63" s="22">
        <f>+T23-T25+T61</f>
        <v>-9327.3783999999996</v>
      </c>
      <c r="U63" s="14"/>
      <c r="V63" s="20">
        <f>IF(T$12=0,0,T63/T$12)</f>
        <v>-1.7250561124468282</v>
      </c>
      <c r="W63" s="16"/>
      <c r="X63" s="22">
        <f>+P63-T63</f>
        <v>-2843.7615999999998</v>
      </c>
      <c r="Y63" s="16"/>
      <c r="Z63" s="20">
        <f>IF(T63=0,0,X63/T63)</f>
        <v>0.30488326709249836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>
        <v>103.25</v>
      </c>
      <c r="E65" s="4"/>
      <c r="F65" s="12">
        <f>IF(D$12=0,0,D65/D$12)</f>
        <v>0.11845214877360438</v>
      </c>
      <c r="G65" s="4"/>
      <c r="H65" s="4">
        <v>148</v>
      </c>
      <c r="I65" s="4"/>
      <c r="J65" s="12">
        <f>IF(H$12=0,0,H65/H$12)</f>
        <v>0.13691026827012026</v>
      </c>
      <c r="K65" s="4"/>
      <c r="L65" s="4">
        <f>+D65-H65</f>
        <v>-44.75</v>
      </c>
      <c r="M65" s="4"/>
      <c r="N65" s="12">
        <f>IF(H65=0,0,L65/H65)</f>
        <v>-0.30236486486486486</v>
      </c>
      <c r="O65" s="10"/>
      <c r="P65" s="4">
        <v>559.37</v>
      </c>
      <c r="Q65" s="4"/>
      <c r="R65" s="12">
        <f>IF(P$12=0,0,P65/P$12)</f>
        <v>0.10800692022815127</v>
      </c>
      <c r="S65" s="4"/>
      <c r="T65" s="4">
        <v>696</v>
      </c>
      <c r="U65" s="4"/>
      <c r="V65" s="12">
        <f>IF(T$12=0,0,T65/T$12)</f>
        <v>0.12872202700203439</v>
      </c>
      <c r="W65" s="4"/>
      <c r="X65" s="4">
        <f>+P65-T65</f>
        <v>-136.63</v>
      </c>
      <c r="Y65" s="4"/>
      <c r="Z65" s="12">
        <f>IF(T65=0,0,X65/T65)</f>
        <v>-0.19630747126436782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1">
        <f>+D63-D65</f>
        <v>-2192.3900000000003</v>
      </c>
      <c r="E67" s="14"/>
      <c r="F67" s="32">
        <f>IF(D$12=0,0,D67/D$12)</f>
        <v>-2.5151894087144071</v>
      </c>
      <c r="G67" s="14"/>
      <c r="H67" s="31">
        <f>+H63-H65</f>
        <v>-1714.4200000000003</v>
      </c>
      <c r="I67" s="14"/>
      <c r="J67" s="32">
        <f>IF(H$12=0,0,H67/H$12)</f>
        <v>-1.5859574468085109</v>
      </c>
      <c r="K67" s="16"/>
      <c r="L67" s="31">
        <f>D67-H67</f>
        <v>-477.97</v>
      </c>
      <c r="M67" s="16"/>
      <c r="N67" s="32">
        <f>IF(H67=0,0,L67/H67)</f>
        <v>0.27879399447043313</v>
      </c>
      <c r="O67" s="28"/>
      <c r="P67" s="31">
        <f>+P63-P65</f>
        <v>-12730.51</v>
      </c>
      <c r="Q67" s="14"/>
      <c r="R67" s="32">
        <f>IF(P$12=0,0,P67/P$12)</f>
        <v>-2.4580924576464271</v>
      </c>
      <c r="S67" s="14"/>
      <c r="T67" s="31">
        <f>+T63-T65</f>
        <v>-10023.3784</v>
      </c>
      <c r="U67" s="14"/>
      <c r="V67" s="32">
        <f>IF(T$12=0,0,T67/T$12)</f>
        <v>-1.8537781394488626</v>
      </c>
      <c r="W67" s="16"/>
      <c r="X67" s="31">
        <f>P67-T67</f>
        <v>-2707.1316000000006</v>
      </c>
      <c r="Y67" s="16"/>
      <c r="Z67" s="32">
        <f>IF(T67=0,0,X67/T67)</f>
        <v>0.27008175207672502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5">
        <f>SUM(D67:D69)</f>
        <v>-2192.3900000000003</v>
      </c>
      <c r="E70" s="14"/>
      <c r="F70" s="34">
        <f>IF(D$12=0,0,D70/D$12)</f>
        <v>-2.5151894087144071</v>
      </c>
      <c r="G70" s="14"/>
      <c r="H70" s="35">
        <f>SUM(H67:H69)</f>
        <v>-1714.4200000000003</v>
      </c>
      <c r="I70" s="14"/>
      <c r="J70" s="34">
        <f>IF(H$12=0,0,H70/H$12)</f>
        <v>-1.5859574468085109</v>
      </c>
      <c r="K70" s="16"/>
      <c r="L70" s="35">
        <f>+D70-H70</f>
        <v>-477.97</v>
      </c>
      <c r="M70" s="16"/>
      <c r="N70" s="34">
        <f>IF(H70=0,0,L70/H70)</f>
        <v>0.27879399447043313</v>
      </c>
      <c r="O70" s="28"/>
      <c r="P70" s="35">
        <f>SUM(P67:P69)</f>
        <v>-12730.51</v>
      </c>
      <c r="Q70" s="14"/>
      <c r="R70" s="34">
        <f>IF(P$12=0,0,P70/P$12)</f>
        <v>-2.4580924576464271</v>
      </c>
      <c r="S70" s="14"/>
      <c r="T70" s="35">
        <f>SUM(T67:T69)</f>
        <v>-10023.3784</v>
      </c>
      <c r="U70" s="14"/>
      <c r="V70" s="34">
        <f>IF(T$12=0,0,T70/T$12)</f>
        <v>-1.8537781394488626</v>
      </c>
      <c r="W70" s="16"/>
      <c r="X70" s="35">
        <f>+P70-T70</f>
        <v>-2707.1316000000006</v>
      </c>
      <c r="Y70" s="16"/>
      <c r="Z70" s="34">
        <f>IF(T70=0,0,X70/T70)</f>
        <v>0.27008175207672502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3">
        <v>43847.446404247683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5" t="s">
        <v>314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6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297574.2</v>
      </c>
      <c r="E12" s="4"/>
      <c r="F12" s="12"/>
      <c r="G12" s="4"/>
      <c r="H12" s="4">
        <f>SUM(OSRRefH13x_0)</f>
        <v>341949</v>
      </c>
      <c r="I12" s="4"/>
      <c r="J12" s="12"/>
      <c r="K12" s="4"/>
      <c r="L12" s="4">
        <f t="shared" ref="L12:L16" si="0">+D12-H12</f>
        <v>-44374.799999999988</v>
      </c>
      <c r="M12" s="4"/>
      <c r="N12" s="12">
        <f t="shared" ref="N12:N16" si="1">IF(H12=0,0,L12/H12)</f>
        <v>-0.12977022889378237</v>
      </c>
      <c r="O12" s="10"/>
      <c r="P12" s="4">
        <f>SUM(OSRRefP13x_0)</f>
        <v>2294675.5299999998</v>
      </c>
      <c r="Q12" s="4"/>
      <c r="R12" s="12"/>
      <c r="S12" s="4"/>
      <c r="T12" s="4">
        <f>SUM(OSRRefT13x_0)</f>
        <v>2283253</v>
      </c>
      <c r="U12" s="4"/>
      <c r="V12" s="12"/>
      <c r="W12" s="4"/>
      <c r="X12" s="4">
        <f t="shared" ref="X12:X16" si="2">+P12-T12</f>
        <v>11422.529999999795</v>
      </c>
      <c r="Y12" s="4"/>
      <c r="Z12" s="12">
        <f t="shared" ref="Z12:Z16" si="3">IF(T12=0,0,X12/T12)</f>
        <v>5.0027438921572843E-3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--241.27</f>
        <v>241.27</v>
      </c>
      <c r="E13" s="2"/>
      <c r="F13" s="19"/>
      <c r="G13" s="2"/>
      <c r="H13" s="2"/>
      <c r="I13" s="2"/>
      <c r="J13" s="19"/>
      <c r="K13" s="2"/>
      <c r="L13" s="2">
        <f t="shared" si="0"/>
        <v>241.27</v>
      </c>
      <c r="M13" s="2"/>
      <c r="N13" s="19">
        <f t="shared" si="1"/>
        <v>0</v>
      </c>
      <c r="O13" s="11"/>
      <c r="P13" s="2">
        <f>--2227.36</f>
        <v>2227.36</v>
      </c>
      <c r="Q13" s="2"/>
      <c r="R13" s="19"/>
      <c r="S13" s="2"/>
      <c r="T13" s="2"/>
      <c r="U13" s="2"/>
      <c r="V13" s="19"/>
      <c r="W13" s="2"/>
      <c r="X13" s="2">
        <f t="shared" si="2"/>
        <v>2227.36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341949</v>
      </c>
      <c r="I14" s="2"/>
      <c r="J14" s="19"/>
      <c r="K14" s="2"/>
      <c r="L14" s="2">
        <f t="shared" si="0"/>
        <v>-341949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2283253</v>
      </c>
      <c r="U14" s="2"/>
      <c r="V14" s="19"/>
      <c r="W14" s="2"/>
      <c r="X14" s="2">
        <f t="shared" si="2"/>
        <v>-2283253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--294714.6</f>
        <v>294714.59999999998</v>
      </c>
      <c r="E15" s="2"/>
      <c r="F15" s="19"/>
      <c r="G15" s="2"/>
      <c r="H15" s="2"/>
      <c r="I15" s="2"/>
      <c r="J15" s="19"/>
      <c r="K15" s="2"/>
      <c r="L15" s="2">
        <f t="shared" si="0"/>
        <v>294714.59999999998</v>
      </c>
      <c r="M15" s="2"/>
      <c r="N15" s="19">
        <f t="shared" si="1"/>
        <v>0</v>
      </c>
      <c r="O15" s="11"/>
      <c r="P15" s="2">
        <f>--2254584.8</f>
        <v>2254584.7999999998</v>
      </c>
      <c r="Q15" s="2"/>
      <c r="R15" s="19"/>
      <c r="S15" s="2"/>
      <c r="T15" s="2"/>
      <c r="U15" s="2"/>
      <c r="V15" s="19"/>
      <c r="W15" s="2"/>
      <c r="X15" s="2">
        <f t="shared" si="2"/>
        <v>2254584.7999999998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--2618.33</f>
        <v>2618.33</v>
      </c>
      <c r="E16" s="2"/>
      <c r="F16" s="19"/>
      <c r="G16" s="2"/>
      <c r="H16" s="2"/>
      <c r="I16" s="2"/>
      <c r="J16" s="19"/>
      <c r="K16" s="2"/>
      <c r="L16" s="2">
        <f t="shared" si="0"/>
        <v>2618.33</v>
      </c>
      <c r="M16" s="2"/>
      <c r="N16" s="19">
        <f t="shared" si="1"/>
        <v>0</v>
      </c>
      <c r="O16" s="11"/>
      <c r="P16" s="2">
        <f>--37863.37</f>
        <v>37863.370000000003</v>
      </c>
      <c r="Q16" s="2"/>
      <c r="R16" s="19"/>
      <c r="S16" s="2"/>
      <c r="T16" s="2"/>
      <c r="U16" s="2"/>
      <c r="V16" s="19"/>
      <c r="W16" s="2"/>
      <c r="X16" s="2">
        <f t="shared" si="2"/>
        <v>37863.370000000003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63760.89</v>
      </c>
      <c r="E18" s="4"/>
      <c r="F18" s="12">
        <f t="shared" ref="F18:F21" si="4">IF(D$12=0,0,D18/D$12)</f>
        <v>0.21426887814871046</v>
      </c>
      <c r="G18" s="4"/>
      <c r="H18" s="4">
        <f>SUM(OSRRefH16x_0)</f>
        <v>88906</v>
      </c>
      <c r="I18" s="4"/>
      <c r="J18" s="12">
        <f t="shared" ref="J18:J21" si="5">IF(H$12=0,0,H18/H$12)</f>
        <v>0.25999783593459841</v>
      </c>
      <c r="K18" s="4"/>
      <c r="L18" s="4">
        <f t="shared" ref="L18:L21" si="6">+D18-H18</f>
        <v>-25145.11</v>
      </c>
      <c r="M18" s="4"/>
      <c r="N18" s="12">
        <f t="shared" ref="N18:N21" si="7">IF(H18=0,0,L18/H18)</f>
        <v>-0.28282804310170295</v>
      </c>
      <c r="O18" s="10"/>
      <c r="P18" s="4">
        <f>SUM(OSRRefP16x_0)</f>
        <v>570350.51</v>
      </c>
      <c r="Q18" s="4"/>
      <c r="R18" s="12">
        <f t="shared" ref="R18:R21" si="8">IF(P$12=0,0,P18/P$12)</f>
        <v>0.24855388160259853</v>
      </c>
      <c r="S18" s="4"/>
      <c r="T18" s="4">
        <f>SUM(OSRRefT16x_0)</f>
        <v>629622</v>
      </c>
      <c r="U18" s="4"/>
      <c r="V18" s="12">
        <f t="shared" ref="V18:V21" si="9">IF(T$12=0,0,T18/T$12)</f>
        <v>0.27575656311411834</v>
      </c>
      <c r="W18" s="4"/>
      <c r="X18" s="4">
        <f t="shared" ref="X18:X21" si="10">+P18-T18</f>
        <v>-59271.489999999991</v>
      </c>
      <c r="Y18" s="4"/>
      <c r="Z18" s="12">
        <f t="shared" ref="Z18:Z21" si="11">IF(T18=0,0,X18/T18)</f>
        <v>-9.4138213086582087E-2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88906</v>
      </c>
      <c r="I19" s="2"/>
      <c r="J19" s="19">
        <f t="shared" si="5"/>
        <v>0.25999783593459841</v>
      </c>
      <c r="K19" s="2"/>
      <c r="L19" s="2">
        <f t="shared" si="6"/>
        <v>-88906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629622</v>
      </c>
      <c r="U19" s="2"/>
      <c r="V19" s="19">
        <f t="shared" si="9"/>
        <v>0.27575656311411834</v>
      </c>
      <c r="W19" s="2"/>
      <c r="X19" s="2">
        <f t="shared" si="10"/>
        <v>-629622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56157.89</v>
      </c>
      <c r="E20" s="2"/>
      <c r="F20" s="19">
        <f t="shared" si="4"/>
        <v>0.18871894808084841</v>
      </c>
      <c r="G20" s="2"/>
      <c r="H20" s="2"/>
      <c r="I20" s="2"/>
      <c r="J20" s="19">
        <f t="shared" si="5"/>
        <v>0</v>
      </c>
      <c r="K20" s="2"/>
      <c r="L20" s="2">
        <f t="shared" si="6"/>
        <v>56157.89</v>
      </c>
      <c r="M20" s="2"/>
      <c r="N20" s="19">
        <f t="shared" si="7"/>
        <v>0</v>
      </c>
      <c r="O20" s="11"/>
      <c r="P20" s="2">
        <v>563400.76</v>
      </c>
      <c r="Q20" s="2"/>
      <c r="R20" s="19">
        <f t="shared" si="8"/>
        <v>0.24552523990178257</v>
      </c>
      <c r="S20" s="2"/>
      <c r="T20" s="2"/>
      <c r="U20" s="2"/>
      <c r="V20" s="19">
        <f t="shared" si="9"/>
        <v>0</v>
      </c>
      <c r="W20" s="2"/>
      <c r="X20" s="2">
        <f t="shared" si="10"/>
        <v>563400.76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7603</v>
      </c>
      <c r="E21" s="2"/>
      <c r="F21" s="19">
        <f t="shared" si="4"/>
        <v>2.5549930067862065E-2</v>
      </c>
      <c r="G21" s="2"/>
      <c r="H21" s="2"/>
      <c r="I21" s="2"/>
      <c r="J21" s="19">
        <f t="shared" si="5"/>
        <v>0</v>
      </c>
      <c r="K21" s="2"/>
      <c r="L21" s="2">
        <f t="shared" si="6"/>
        <v>7603</v>
      </c>
      <c r="M21" s="2"/>
      <c r="N21" s="19">
        <f t="shared" si="7"/>
        <v>0</v>
      </c>
      <c r="O21" s="11"/>
      <c r="P21" s="2">
        <v>6949.75</v>
      </c>
      <c r="Q21" s="2"/>
      <c r="R21" s="19">
        <f t="shared" si="8"/>
        <v>3.0286417008159759E-3</v>
      </c>
      <c r="S21" s="2"/>
      <c r="T21" s="2"/>
      <c r="U21" s="2"/>
      <c r="V21" s="19">
        <f t="shared" si="9"/>
        <v>0</v>
      </c>
      <c r="W21" s="2"/>
      <c r="X21" s="2">
        <f t="shared" si="10"/>
        <v>6949.75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233813.31</v>
      </c>
      <c r="E23" s="14"/>
      <c r="F23" s="20">
        <f>IF(D$12=0,0,D23/D$12)</f>
        <v>0.78573112185128946</v>
      </c>
      <c r="G23" s="14"/>
      <c r="H23" s="22">
        <f>H12-H18</f>
        <v>253043</v>
      </c>
      <c r="I23" s="14"/>
      <c r="J23" s="20">
        <f>IF(H$12=0,0,H23/H$12)</f>
        <v>0.74000216406540154</v>
      </c>
      <c r="K23" s="16"/>
      <c r="L23" s="22">
        <f>+D23-H23</f>
        <v>-19229.690000000002</v>
      </c>
      <c r="M23" s="16"/>
      <c r="N23" s="20">
        <f>IF(H23=0,0,L23/H23)</f>
        <v>-7.599376390573935E-2</v>
      </c>
      <c r="O23" s="28"/>
      <c r="P23" s="22">
        <f>P12-P18</f>
        <v>1724325.0199999998</v>
      </c>
      <c r="Q23" s="14"/>
      <c r="R23" s="20">
        <f>IF(P$12=0,0,P23/P$12)</f>
        <v>0.7514461183974015</v>
      </c>
      <c r="S23" s="14"/>
      <c r="T23" s="22">
        <f>T12-T18</f>
        <v>1653631</v>
      </c>
      <c r="U23" s="14"/>
      <c r="V23" s="20">
        <f>IF(T$12=0,0,T23/T$12)</f>
        <v>0.72424343688588166</v>
      </c>
      <c r="W23" s="16"/>
      <c r="X23" s="22">
        <f>+P23-T23</f>
        <v>70694.019999999786</v>
      </c>
      <c r="Y23" s="16"/>
      <c r="Z23" s="20">
        <f>IF(T23=0,0,X23/T23)</f>
        <v>4.2750782973952343E-2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145697.87000000005</v>
      </c>
      <c r="E25" s="21"/>
      <c r="F25" s="30">
        <f t="shared" ref="F25:F36" si="12">IF(D$12=0,0,D25/D$12)</f>
        <v>0.48961862285104035</v>
      </c>
      <c r="G25" s="21"/>
      <c r="H25" s="21">
        <f>SUM(OSRRefH22x_0)</f>
        <v>157657.30768132463</v>
      </c>
      <c r="I25" s="21"/>
      <c r="J25" s="30">
        <f t="shared" ref="J25:J36" si="13">IF(H$12=0,0,H25/H$12)</f>
        <v>0.46105503359075367</v>
      </c>
      <c r="K25" s="4"/>
      <c r="L25" s="21">
        <f t="shared" ref="L25:L36" si="14">+D25-H25</f>
        <v>-11959.437681324576</v>
      </c>
      <c r="M25" s="4"/>
      <c r="N25" s="30">
        <f t="shared" ref="N25:N36" si="15">IF(H25=0,0,L25/H25)</f>
        <v>-7.5857173113081378E-2</v>
      </c>
      <c r="O25" s="10"/>
      <c r="P25" s="21">
        <f>SUM(OSRRefP22x_0)</f>
        <v>1072301.4400000002</v>
      </c>
      <c r="Q25" s="21"/>
      <c r="R25" s="30">
        <f t="shared" ref="R25:R36" si="16">IF(P$12=0,0,P25/P$12)</f>
        <v>0.46729981035706614</v>
      </c>
      <c r="S25" s="21"/>
      <c r="T25" s="21">
        <f>SUM(OSRRefT22x_0)</f>
        <v>1104649.8393830601</v>
      </c>
      <c r="U25" s="21"/>
      <c r="V25" s="30">
        <f t="shared" ref="V25:V36" si="17">IF(T$12=0,0,T25/T$12)</f>
        <v>0.48380527229486181</v>
      </c>
      <c r="W25" s="4"/>
      <c r="X25" s="21">
        <f t="shared" ref="X25:X36" si="18">+P25-T25</f>
        <v>-32348.399383059936</v>
      </c>
      <c r="Y25" s="4"/>
      <c r="Z25" s="30">
        <f t="shared" ref="Z25:Z36" si="19">IF(T25=0,0,X25/T25)</f>
        <v>-2.9283849261342681E-2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36747.229999999996</v>
      </c>
      <c r="E26" s="1"/>
      <c r="F26" s="5">
        <f t="shared" si="12"/>
        <v>0.12348930115581255</v>
      </c>
      <c r="G26" s="1"/>
      <c r="H26" s="1">
        <f>SUM(OSRRefH22_0x_0)</f>
        <v>29289.994999401526</v>
      </c>
      <c r="I26" s="1"/>
      <c r="J26" s="5">
        <f t="shared" si="13"/>
        <v>8.5656033500321763E-2</v>
      </c>
      <c r="K26" s="1"/>
      <c r="L26" s="1">
        <f t="shared" si="14"/>
        <v>7457.2350005984699</v>
      </c>
      <c r="M26" s="1"/>
      <c r="N26" s="5">
        <f t="shared" si="15"/>
        <v>0.25460007762892556</v>
      </c>
      <c r="O26" s="13"/>
      <c r="P26" s="1">
        <f>SUM(OSRRefP22_0x_0)</f>
        <v>203698.4</v>
      </c>
      <c r="Q26" s="1"/>
      <c r="R26" s="5">
        <f t="shared" si="16"/>
        <v>8.8770023184933697E-2</v>
      </c>
      <c r="S26" s="1"/>
      <c r="T26" s="1">
        <f>SUM(OSRRefT22_0x_0)</f>
        <v>196952.34765305999</v>
      </c>
      <c r="U26" s="1"/>
      <c r="V26" s="5">
        <f t="shared" si="17"/>
        <v>8.6259537446380222E-2</v>
      </c>
      <c r="W26" s="1"/>
      <c r="X26" s="1">
        <f t="shared" si="18"/>
        <v>6746.0523469400068</v>
      </c>
      <c r="Y26" s="1"/>
      <c r="Z26" s="5">
        <f t="shared" si="19"/>
        <v>3.425220581185185E-2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4102.9799999999996</v>
      </c>
      <c r="E27" s="2"/>
      <c r="F27" s="7">
        <f t="shared" si="12"/>
        <v>1.378809049978123E-2</v>
      </c>
      <c r="G27" s="2"/>
      <c r="H27" s="6">
        <v>2868.6248765630799</v>
      </c>
      <c r="I27" s="2"/>
      <c r="J27" s="7">
        <f t="shared" si="13"/>
        <v>8.3890430343796299E-3</v>
      </c>
      <c r="K27" s="2"/>
      <c r="L27" s="6">
        <f t="shared" si="14"/>
        <v>1234.3551234369197</v>
      </c>
      <c r="M27" s="2"/>
      <c r="N27" s="7">
        <f t="shared" si="15"/>
        <v>0.43029506350645941</v>
      </c>
      <c r="O27" s="11"/>
      <c r="P27" s="6">
        <v>29846.28</v>
      </c>
      <c r="Q27" s="2"/>
      <c r="R27" s="7">
        <f t="shared" si="16"/>
        <v>1.3006753943987891E-2</v>
      </c>
      <c r="S27" s="2"/>
      <c r="T27" s="6">
        <v>23882.550417660019</v>
      </c>
      <c r="U27" s="2"/>
      <c r="V27" s="7">
        <f t="shared" si="17"/>
        <v>1.0459879136328747E-2</v>
      </c>
      <c r="W27" s="2"/>
      <c r="X27" s="6">
        <f t="shared" si="18"/>
        <v>5963.72958233998</v>
      </c>
      <c r="Y27" s="2"/>
      <c r="Z27" s="7">
        <f t="shared" si="19"/>
        <v>0.24971075023587444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4767.33</v>
      </c>
      <c r="E28" s="2"/>
      <c r="F28" s="7">
        <f t="shared" si="12"/>
        <v>1.6020642918640124E-2</v>
      </c>
      <c r="G28" s="2"/>
      <c r="H28" s="6">
        <v>3230.9994392153799</v>
      </c>
      <c r="I28" s="2"/>
      <c r="J28" s="7">
        <f t="shared" si="13"/>
        <v>9.4487758093030824E-3</v>
      </c>
      <c r="K28" s="2"/>
      <c r="L28" s="6">
        <f t="shared" si="14"/>
        <v>1536.33056078462</v>
      </c>
      <c r="M28" s="2"/>
      <c r="N28" s="7">
        <f t="shared" si="15"/>
        <v>0.47549700632498548</v>
      </c>
      <c r="O28" s="11"/>
      <c r="P28" s="6">
        <v>17290.02</v>
      </c>
      <c r="Q28" s="2"/>
      <c r="R28" s="7">
        <f t="shared" si="16"/>
        <v>7.5348430634112366E-3</v>
      </c>
      <c r="S28" s="2"/>
      <c r="T28" s="6">
        <v>23581.854726799989</v>
      </c>
      <c r="U28" s="2"/>
      <c r="V28" s="7">
        <f t="shared" si="17"/>
        <v>1.0328182959488058E-2</v>
      </c>
      <c r="W28" s="2"/>
      <c r="X28" s="6">
        <f t="shared" si="18"/>
        <v>-6291.8347267999889</v>
      </c>
      <c r="Y28" s="2"/>
      <c r="Z28" s="7">
        <f t="shared" si="19"/>
        <v>-0.26680830662778737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19217.98</v>
      </c>
      <c r="E29" s="2"/>
      <c r="F29" s="7">
        <f t="shared" si="12"/>
        <v>6.4582144554198584E-2</v>
      </c>
      <c r="G29" s="2"/>
      <c r="H29" s="6">
        <v>16958.384615384599</v>
      </c>
      <c r="I29" s="2"/>
      <c r="J29" s="7">
        <f t="shared" si="13"/>
        <v>4.9593315422430242E-2</v>
      </c>
      <c r="K29" s="2"/>
      <c r="L29" s="6">
        <f t="shared" si="14"/>
        <v>2259.5953846154007</v>
      </c>
      <c r="M29" s="2"/>
      <c r="N29" s="7">
        <f t="shared" si="15"/>
        <v>0.13324355095505394</v>
      </c>
      <c r="O29" s="11"/>
      <c r="P29" s="6">
        <v>103280.64</v>
      </c>
      <c r="Q29" s="2"/>
      <c r="R29" s="7">
        <f t="shared" si="16"/>
        <v>4.5008820920315482E-2</v>
      </c>
      <c r="S29" s="2"/>
      <c r="T29" s="6">
        <v>107562</v>
      </c>
      <c r="U29" s="2"/>
      <c r="V29" s="7">
        <f t="shared" si="17"/>
        <v>4.7109102670619504E-2</v>
      </c>
      <c r="W29" s="2"/>
      <c r="X29" s="6">
        <f t="shared" si="18"/>
        <v>-4281.3600000000006</v>
      </c>
      <c r="Y29" s="2"/>
      <c r="Z29" s="7">
        <f t="shared" si="19"/>
        <v>-3.9803648128521232E-2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321.2</v>
      </c>
      <c r="E30" s="2"/>
      <c r="F30" s="7">
        <f t="shared" si="12"/>
        <v>1.0793946518212936E-3</v>
      </c>
      <c r="G30" s="2"/>
      <c r="H30" s="6">
        <v>216.5102717</v>
      </c>
      <c r="I30" s="2"/>
      <c r="J30" s="7">
        <f t="shared" si="13"/>
        <v>6.3316538928319724E-4</v>
      </c>
      <c r="K30" s="2"/>
      <c r="L30" s="6">
        <f t="shared" si="14"/>
        <v>104.68972829999998</v>
      </c>
      <c r="M30" s="2"/>
      <c r="N30" s="7">
        <f t="shared" si="15"/>
        <v>0.48353238614498484</v>
      </c>
      <c r="O30" s="11"/>
      <c r="P30" s="6">
        <v>1536.9</v>
      </c>
      <c r="Q30" s="2"/>
      <c r="R30" s="7">
        <f t="shared" si="16"/>
        <v>6.697678952457388E-4</v>
      </c>
      <c r="S30" s="2"/>
      <c r="T30" s="6">
        <v>1580.2273785999998</v>
      </c>
      <c r="U30" s="2"/>
      <c r="V30" s="7">
        <f t="shared" si="17"/>
        <v>6.9209473439868464E-4</v>
      </c>
      <c r="W30" s="2"/>
      <c r="X30" s="6">
        <f t="shared" si="18"/>
        <v>-43.327378599999747</v>
      </c>
      <c r="Y30" s="2"/>
      <c r="Z30" s="7">
        <f t="shared" si="19"/>
        <v>-2.7418445716581353E-2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1247.53</v>
      </c>
      <c r="E31" s="2"/>
      <c r="F31" s="7">
        <f t="shared" si="12"/>
        <v>4.1923325342049138E-3</v>
      </c>
      <c r="G31" s="2"/>
      <c r="H31" s="6">
        <v>1267.60705538462</v>
      </c>
      <c r="I31" s="2"/>
      <c r="J31" s="7">
        <f t="shared" si="13"/>
        <v>3.7070061774844201E-3</v>
      </c>
      <c r="K31" s="2"/>
      <c r="L31" s="6">
        <f t="shared" si="14"/>
        <v>-20.077055384620053</v>
      </c>
      <c r="M31" s="2"/>
      <c r="N31" s="7">
        <f t="shared" si="15"/>
        <v>-1.5838548152075589E-2</v>
      </c>
      <c r="O31" s="11"/>
      <c r="P31" s="6">
        <v>7891.74</v>
      </c>
      <c r="Q31" s="2"/>
      <c r="R31" s="7">
        <f t="shared" si="16"/>
        <v>3.43915289844922E-3</v>
      </c>
      <c r="S31" s="2"/>
      <c r="T31" s="6">
        <v>8239.4458600000198</v>
      </c>
      <c r="U31" s="2"/>
      <c r="V31" s="7">
        <f t="shared" si="17"/>
        <v>3.6086433960669361E-3</v>
      </c>
      <c r="W31" s="2"/>
      <c r="X31" s="6">
        <f t="shared" si="18"/>
        <v>-347.70586000002004</v>
      </c>
      <c r="Y31" s="2"/>
      <c r="Z31" s="7">
        <f t="shared" si="19"/>
        <v>-4.2200151066957702E-2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936.51</v>
      </c>
      <c r="E33" s="2"/>
      <c r="F33" s="7">
        <f t="shared" si="12"/>
        <v>3.1471478374133239E-3</v>
      </c>
      <c r="G33" s="2"/>
      <c r="H33" s="6"/>
      <c r="I33" s="2"/>
      <c r="J33" s="7">
        <f t="shared" si="13"/>
        <v>0</v>
      </c>
      <c r="K33" s="2"/>
      <c r="L33" s="6">
        <f t="shared" si="14"/>
        <v>936.51</v>
      </c>
      <c r="M33" s="2"/>
      <c r="N33" s="7">
        <f t="shared" si="15"/>
        <v>0</v>
      </c>
      <c r="O33" s="11"/>
      <c r="P33" s="6">
        <v>4625.47</v>
      </c>
      <c r="Q33" s="2"/>
      <c r="R33" s="7">
        <f t="shared" si="16"/>
        <v>2.015740325604989E-3</v>
      </c>
      <c r="S33" s="2"/>
      <c r="T33" s="6"/>
      <c r="U33" s="2"/>
      <c r="V33" s="7">
        <f t="shared" si="17"/>
        <v>0</v>
      </c>
      <c r="W33" s="2"/>
      <c r="X33" s="6">
        <f t="shared" si="18"/>
        <v>4625.47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2978.4</v>
      </c>
      <c r="E34" s="2"/>
      <c r="F34" s="7">
        <f t="shared" si="12"/>
        <v>1.0008932225979268E-2</v>
      </c>
      <c r="G34" s="2"/>
      <c r="H34" s="6">
        <v>1124.5099476923101</v>
      </c>
      <c r="I34" s="2"/>
      <c r="J34" s="7">
        <f t="shared" si="13"/>
        <v>3.2885311777262403E-3</v>
      </c>
      <c r="K34" s="2"/>
      <c r="L34" s="6">
        <f t="shared" si="14"/>
        <v>1853.89005230769</v>
      </c>
      <c r="M34" s="2"/>
      <c r="N34" s="7">
        <f t="shared" si="15"/>
        <v>1.6486204111508258</v>
      </c>
      <c r="O34" s="11"/>
      <c r="P34" s="6">
        <v>18304.190000000002</v>
      </c>
      <c r="Q34" s="2"/>
      <c r="R34" s="7">
        <f t="shared" si="16"/>
        <v>7.9768096886447398E-3</v>
      </c>
      <c r="S34" s="2"/>
      <c r="T34" s="6">
        <v>7309.31466</v>
      </c>
      <c r="U34" s="2"/>
      <c r="V34" s="7">
        <f t="shared" si="17"/>
        <v>3.2012723338149559E-3</v>
      </c>
      <c r="W34" s="2"/>
      <c r="X34" s="6">
        <f t="shared" si="18"/>
        <v>10994.875340000002</v>
      </c>
      <c r="Y34" s="2"/>
      <c r="Z34" s="7">
        <f t="shared" si="19"/>
        <v>1.5042279408450043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1898.95</v>
      </c>
      <c r="E35" s="2"/>
      <c r="F35" s="7">
        <f t="shared" si="12"/>
        <v>6.3814336054671406E-3</v>
      </c>
      <c r="G35" s="2"/>
      <c r="H35" s="6">
        <v>2123.3587934615402</v>
      </c>
      <c r="I35" s="2"/>
      <c r="J35" s="7">
        <f t="shared" si="13"/>
        <v>6.209577432487126E-3</v>
      </c>
      <c r="K35" s="2"/>
      <c r="L35" s="6">
        <f t="shared" si="14"/>
        <v>-224.4087934615402</v>
      </c>
      <c r="M35" s="2"/>
      <c r="N35" s="7">
        <f t="shared" si="15"/>
        <v>-0.10568576264763276</v>
      </c>
      <c r="O35" s="11"/>
      <c r="P35" s="6">
        <v>12994.92</v>
      </c>
      <c r="Q35" s="2"/>
      <c r="R35" s="7">
        <f t="shared" si="16"/>
        <v>5.6630751625263553E-3</v>
      </c>
      <c r="S35" s="2"/>
      <c r="T35" s="6">
        <v>15796.954610000001</v>
      </c>
      <c r="U35" s="2"/>
      <c r="V35" s="7">
        <f t="shared" si="17"/>
        <v>6.9186176958926588E-3</v>
      </c>
      <c r="W35" s="2"/>
      <c r="X35" s="6">
        <f t="shared" si="18"/>
        <v>-2802.0346100000006</v>
      </c>
      <c r="Y35" s="2"/>
      <c r="Z35" s="7">
        <f t="shared" si="19"/>
        <v>-0.17737815162336537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1276.3499999999999</v>
      </c>
      <c r="E36" s="2"/>
      <c r="F36" s="7">
        <f t="shared" si="12"/>
        <v>4.2891823283066873E-3</v>
      </c>
      <c r="G36" s="2"/>
      <c r="H36" s="6">
        <v>1500</v>
      </c>
      <c r="I36" s="2"/>
      <c r="J36" s="7">
        <f t="shared" si="13"/>
        <v>4.3866190572278323E-3</v>
      </c>
      <c r="K36" s="2"/>
      <c r="L36" s="6">
        <f t="shared" si="14"/>
        <v>-223.65000000000009</v>
      </c>
      <c r="M36" s="2"/>
      <c r="N36" s="7">
        <f t="shared" si="15"/>
        <v>-0.14910000000000007</v>
      </c>
      <c r="O36" s="11"/>
      <c r="P36" s="6">
        <v>7928.24</v>
      </c>
      <c r="Q36" s="2"/>
      <c r="R36" s="7">
        <f t="shared" si="16"/>
        <v>3.4550592867480488E-3</v>
      </c>
      <c r="S36" s="2"/>
      <c r="T36" s="6">
        <v>9000</v>
      </c>
      <c r="U36" s="2"/>
      <c r="V36" s="7">
        <f t="shared" si="17"/>
        <v>3.9417445197706957E-3</v>
      </c>
      <c r="W36" s="2"/>
      <c r="X36" s="6">
        <f t="shared" si="18"/>
        <v>-1071.7600000000002</v>
      </c>
      <c r="Y36" s="2"/>
      <c r="Z36" s="7">
        <f t="shared" si="19"/>
        <v>-0.11908444444444446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72407.960000000006</v>
      </c>
      <c r="E37" s="1"/>
      <c r="F37" s="5">
        <f t="shared" ref="F37:F47" si="20">IF(D$12=0,0,D37/D$12)</f>
        <v>0.24332741212107772</v>
      </c>
      <c r="G37" s="1"/>
      <c r="H37" s="1">
        <f>SUM(OSRRefH22_1x_0)</f>
        <v>80025.312681923097</v>
      </c>
      <c r="I37" s="1"/>
      <c r="J37" s="5">
        <f t="shared" ref="J37:J47" si="21">IF(H$12=0,0,H37/H$12)</f>
        <v>0.23402704111409331</v>
      </c>
      <c r="K37" s="1"/>
      <c r="L37" s="1">
        <f t="shared" ref="L37:L47" si="22">+D37-H37</f>
        <v>-7617.3526819230901</v>
      </c>
      <c r="M37" s="1"/>
      <c r="N37" s="5">
        <f t="shared" ref="N37:N47" si="23">IF(H37=0,0,L37/H37)</f>
        <v>-9.5186790612113062E-2</v>
      </c>
      <c r="O37" s="13"/>
      <c r="P37" s="1">
        <f>SUM(OSRRefP22_1x_0)</f>
        <v>557407.13</v>
      </c>
      <c r="Q37" s="1"/>
      <c r="R37" s="5">
        <f t="shared" ref="R37:R47" si="24">IF(P$12=0,0,P37/P$12)</f>
        <v>0.24291326713193306</v>
      </c>
      <c r="S37" s="1"/>
      <c r="T37" s="1">
        <f>SUM(OSRRefT22_1x_0)</f>
        <v>584673.49173000001</v>
      </c>
      <c r="U37" s="1"/>
      <c r="V37" s="5">
        <f t="shared" ref="V37:V47" si="25">IF(T$12=0,0,T37/T$12)</f>
        <v>0.25607039243132496</v>
      </c>
      <c r="W37" s="1"/>
      <c r="X37" s="1">
        <f t="shared" ref="X37:X47" si="26">+P37-T37</f>
        <v>-27266.361730000004</v>
      </c>
      <c r="Y37" s="1"/>
      <c r="Z37" s="5">
        <f t="shared" ref="Z37:Z47" si="27">IF(T37=0,0,X37/T37)</f>
        <v>-4.6635194028244925E-2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13657.29</v>
      </c>
      <c r="E39" s="2"/>
      <c r="F39" s="7">
        <f t="shared" si="20"/>
        <v>4.5895410287585418E-2</v>
      </c>
      <c r="G39" s="2"/>
      <c r="H39" s="6">
        <v>14002.6360769231</v>
      </c>
      <c r="I39" s="2"/>
      <c r="J39" s="7">
        <f t="shared" si="21"/>
        <v>4.0949486844304557E-2</v>
      </c>
      <c r="K39" s="2"/>
      <c r="L39" s="6">
        <f t="shared" si="22"/>
        <v>-345.34607692309874</v>
      </c>
      <c r="M39" s="2"/>
      <c r="N39" s="7">
        <f t="shared" si="23"/>
        <v>-2.46629331095909E-2</v>
      </c>
      <c r="O39" s="11"/>
      <c r="P39" s="6">
        <v>89878.61</v>
      </c>
      <c r="Q39" s="2"/>
      <c r="R39" s="7">
        <f t="shared" si="24"/>
        <v>3.9168330696410056E-2</v>
      </c>
      <c r="S39" s="2"/>
      <c r="T39" s="6">
        <v>91017.1345</v>
      </c>
      <c r="U39" s="2"/>
      <c r="V39" s="7">
        <f t="shared" si="25"/>
        <v>3.9862921235623038E-2</v>
      </c>
      <c r="W39" s="2"/>
      <c r="X39" s="6">
        <f t="shared" si="26"/>
        <v>-1138.5244999999995</v>
      </c>
      <c r="Y39" s="2"/>
      <c r="Z39" s="7">
        <f t="shared" si="27"/>
        <v>-1.2508902925305779E-2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18286.900000000001</v>
      </c>
      <c r="E41" s="2"/>
      <c r="F41" s="7">
        <f t="shared" si="20"/>
        <v>6.1453244266472029E-2</v>
      </c>
      <c r="G41" s="2"/>
      <c r="H41" s="6">
        <v>21606.845600000001</v>
      </c>
      <c r="I41" s="2"/>
      <c r="J41" s="7">
        <f t="shared" si="21"/>
        <v>6.3187333783692887E-2</v>
      </c>
      <c r="K41" s="2"/>
      <c r="L41" s="6">
        <f t="shared" si="22"/>
        <v>-3319.9455999999991</v>
      </c>
      <c r="M41" s="2"/>
      <c r="N41" s="7">
        <f t="shared" si="23"/>
        <v>-0.15365248872792422</v>
      </c>
      <c r="O41" s="11"/>
      <c r="P41" s="6">
        <v>123664.53</v>
      </c>
      <c r="Q41" s="2"/>
      <c r="R41" s="7">
        <f t="shared" si="24"/>
        <v>5.3891946108825244E-2</v>
      </c>
      <c r="S41" s="2"/>
      <c r="T41" s="6">
        <v>140444.4964</v>
      </c>
      <c r="U41" s="2"/>
      <c r="V41" s="7">
        <f t="shared" si="25"/>
        <v>6.1510702668517242E-2</v>
      </c>
      <c r="W41" s="2"/>
      <c r="X41" s="6">
        <f t="shared" si="26"/>
        <v>-16779.966400000005</v>
      </c>
      <c r="Y41" s="2"/>
      <c r="Z41" s="7">
        <f t="shared" si="27"/>
        <v>-0.11947756466162247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10388.27</v>
      </c>
      <c r="E42" s="2"/>
      <c r="F42" s="7">
        <f t="shared" si="20"/>
        <v>3.4909847695129483E-2</v>
      </c>
      <c r="G42" s="2"/>
      <c r="H42" s="6">
        <v>14652.351004999999</v>
      </c>
      <c r="I42" s="2"/>
      <c r="J42" s="7">
        <f t="shared" si="21"/>
        <v>4.2849521434482916E-2</v>
      </c>
      <c r="K42" s="2"/>
      <c r="L42" s="6">
        <f t="shared" si="22"/>
        <v>-4264.0810049999982</v>
      </c>
      <c r="M42" s="2"/>
      <c r="N42" s="7">
        <f t="shared" si="23"/>
        <v>-0.29101684798193234</v>
      </c>
      <c r="O42" s="11"/>
      <c r="P42" s="6">
        <v>107504.51999999999</v>
      </c>
      <c r="Q42" s="2"/>
      <c r="R42" s="7">
        <f t="shared" si="24"/>
        <v>4.6849551753401927E-2</v>
      </c>
      <c r="S42" s="2"/>
      <c r="T42" s="6">
        <v>117315.62083</v>
      </c>
      <c r="U42" s="2"/>
      <c r="V42" s="7">
        <f t="shared" si="25"/>
        <v>5.1380911721127707E-2</v>
      </c>
      <c r="W42" s="2"/>
      <c r="X42" s="6">
        <f t="shared" si="26"/>
        <v>-9811.1008300000103</v>
      </c>
      <c r="Y42" s="2"/>
      <c r="Z42" s="7">
        <f t="shared" si="27"/>
        <v>-8.3629961300866348E-2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>
        <v>894</v>
      </c>
      <c r="E43" s="2"/>
      <c r="F43" s="7">
        <f t="shared" si="20"/>
        <v>3.0042927108600141E-3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894</v>
      </c>
      <c r="M43" s="2"/>
      <c r="N43" s="7">
        <f t="shared" si="23"/>
        <v>0</v>
      </c>
      <c r="O43" s="11"/>
      <c r="P43" s="6">
        <v>8961</v>
      </c>
      <c r="Q43" s="2"/>
      <c r="R43" s="7">
        <f t="shared" si="24"/>
        <v>3.9051272752274485E-3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8961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22887.5</v>
      </c>
      <c r="E44" s="2"/>
      <c r="F44" s="7">
        <f t="shared" si="20"/>
        <v>7.6913589955043146E-2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22887.5</v>
      </c>
      <c r="M44" s="2"/>
      <c r="N44" s="7">
        <f t="shared" si="23"/>
        <v>0</v>
      </c>
      <c r="O44" s="11"/>
      <c r="P44" s="6">
        <v>170041.47</v>
      </c>
      <c r="Q44" s="2"/>
      <c r="R44" s="7">
        <f t="shared" si="24"/>
        <v>7.4102620512975101E-2</v>
      </c>
      <c r="S44" s="2"/>
      <c r="T44" s="6">
        <v>66371.28</v>
      </c>
      <c r="U44" s="2"/>
      <c r="V44" s="7">
        <f t="shared" si="25"/>
        <v>2.9068736578907375E-2</v>
      </c>
      <c r="W44" s="2"/>
      <c r="X44" s="6">
        <f t="shared" si="26"/>
        <v>103670.19</v>
      </c>
      <c r="Y44" s="2"/>
      <c r="Z44" s="7">
        <f t="shared" si="27"/>
        <v>1.5619736428165918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>
        <v>6294</v>
      </c>
      <c r="E45" s="2"/>
      <c r="F45" s="7">
        <f t="shared" si="20"/>
        <v>2.1151027205987615E-2</v>
      </c>
      <c r="G45" s="2"/>
      <c r="H45" s="6">
        <v>29763.48</v>
      </c>
      <c r="I45" s="2"/>
      <c r="J45" s="7">
        <f t="shared" si="21"/>
        <v>8.7040699051612963E-2</v>
      </c>
      <c r="K45" s="2"/>
      <c r="L45" s="6">
        <f t="shared" si="22"/>
        <v>-23469.48</v>
      </c>
      <c r="M45" s="2"/>
      <c r="N45" s="7">
        <f t="shared" si="23"/>
        <v>-0.78853279253635666</v>
      </c>
      <c r="O45" s="11"/>
      <c r="P45" s="6">
        <v>57357</v>
      </c>
      <c r="Q45" s="2"/>
      <c r="R45" s="7">
        <f t="shared" si="24"/>
        <v>2.4995690785093266E-2</v>
      </c>
      <c r="S45" s="2"/>
      <c r="T45" s="6">
        <v>169524.96</v>
      </c>
      <c r="U45" s="2"/>
      <c r="V45" s="7">
        <f t="shared" si="25"/>
        <v>7.4247120227149591E-2</v>
      </c>
      <c r="W45" s="2"/>
      <c r="X45" s="6">
        <f t="shared" si="26"/>
        <v>-112167.95999999999</v>
      </c>
      <c r="Y45" s="2"/>
      <c r="Z45" s="7">
        <f t="shared" si="27"/>
        <v>-0.66166044221452702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9" si="28">IF(D$12=0,0,D48/D$12)</f>
        <v>0</v>
      </c>
      <c r="G48" s="1"/>
      <c r="H48" s="1">
        <f>SUM(OSRRefH22_2x_0)</f>
        <v>100</v>
      </c>
      <c r="I48" s="1"/>
      <c r="J48" s="5">
        <f t="shared" ref="J48:J69" si="29">IF(H$12=0,0,H48/H$12)</f>
        <v>2.924412704818555E-4</v>
      </c>
      <c r="K48" s="1"/>
      <c r="L48" s="1">
        <f t="shared" ref="L48:L69" si="30">+D48-H48</f>
        <v>-100</v>
      </c>
      <c r="M48" s="1"/>
      <c r="N48" s="5">
        <f t="shared" ref="N48:N69" si="31">IF(H48=0,0,L48/H48)</f>
        <v>-1</v>
      </c>
      <c r="O48" s="13"/>
      <c r="P48" s="1">
        <f>SUM(OSRRefP22_2x_0)</f>
        <v>2435.9499999999998</v>
      </c>
      <c r="Q48" s="1"/>
      <c r="R48" s="5">
        <f t="shared" ref="R48:R69" si="32">IF(P$12=0,0,P48/P$12)</f>
        <v>1.061566207576197E-3</v>
      </c>
      <c r="S48" s="1"/>
      <c r="T48" s="1">
        <f>SUM(OSRRefT22_2x_0)</f>
        <v>3300</v>
      </c>
      <c r="U48" s="1"/>
      <c r="V48" s="5">
        <f t="shared" ref="V48:V69" si="33">IF(T$12=0,0,T48/T$12)</f>
        <v>1.4453063239159218E-3</v>
      </c>
      <c r="W48" s="1"/>
      <c r="X48" s="1">
        <f t="shared" ref="X48:X69" si="34">+P48-T48</f>
        <v>-864.05000000000018</v>
      </c>
      <c r="Y48" s="1"/>
      <c r="Z48" s="5">
        <f t="shared" ref="Z48:Z69" si="35">IF(T48=0,0,X48/T48)</f>
        <v>-0.26183333333333336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100</v>
      </c>
      <c r="I49" s="2"/>
      <c r="J49" s="7">
        <f t="shared" si="29"/>
        <v>2.924412704818555E-4</v>
      </c>
      <c r="K49" s="2"/>
      <c r="L49" s="6">
        <f t="shared" si="30"/>
        <v>-100</v>
      </c>
      <c r="M49" s="2"/>
      <c r="N49" s="7">
        <f t="shared" si="31"/>
        <v>-1</v>
      </c>
      <c r="O49" s="11"/>
      <c r="P49" s="6">
        <v>2435.9499999999998</v>
      </c>
      <c r="Q49" s="2"/>
      <c r="R49" s="7">
        <f t="shared" si="32"/>
        <v>1.061566207576197E-3</v>
      </c>
      <c r="S49" s="2"/>
      <c r="T49" s="6">
        <v>3300</v>
      </c>
      <c r="U49" s="2"/>
      <c r="V49" s="7">
        <f t="shared" si="33"/>
        <v>1.4453063239159218E-3</v>
      </c>
      <c r="W49" s="2"/>
      <c r="X49" s="6">
        <f t="shared" si="34"/>
        <v>-864.05000000000018</v>
      </c>
      <c r="Y49" s="2"/>
      <c r="Z49" s="7">
        <f t="shared" si="35"/>
        <v>-0.26183333333333336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2.3395301638548437E-5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16.239999999999998</v>
      </c>
      <c r="Q50" s="1"/>
      <c r="R50" s="5">
        <f t="shared" si="32"/>
        <v>7.0772533143280608E-6</v>
      </c>
      <c r="S50" s="1"/>
      <c r="T50" s="1">
        <f>SUM(OSRRefT22_3x_0)</f>
        <v>48</v>
      </c>
      <c r="U50" s="1"/>
      <c r="V50" s="5">
        <f t="shared" si="33"/>
        <v>2.1022637438777042E-5</v>
      </c>
      <c r="W50" s="1"/>
      <c r="X50" s="1">
        <f t="shared" si="34"/>
        <v>-31.76</v>
      </c>
      <c r="Y50" s="1"/>
      <c r="Z50" s="5">
        <f t="shared" si="35"/>
        <v>-0.66166666666666674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2.3395301638548437E-5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>
        <v>16.239999999999998</v>
      </c>
      <c r="Q51" s="2"/>
      <c r="R51" s="7">
        <f t="shared" si="32"/>
        <v>7.0772533143280608E-6</v>
      </c>
      <c r="S51" s="2"/>
      <c r="T51" s="6">
        <v>48</v>
      </c>
      <c r="U51" s="2"/>
      <c r="V51" s="7">
        <f t="shared" si="33"/>
        <v>2.1022637438777042E-5</v>
      </c>
      <c r="W51" s="2"/>
      <c r="X51" s="6">
        <f t="shared" si="34"/>
        <v>-31.76</v>
      </c>
      <c r="Y51" s="2"/>
      <c r="Z51" s="7">
        <f t="shared" si="35"/>
        <v>-0.66166666666666674</v>
      </c>
    </row>
    <row r="52" spans="1:26" s="25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77.87</v>
      </c>
      <c r="E52" s="1"/>
      <c r="F52" s="5">
        <f t="shared" si="28"/>
        <v>2.6168263243251598E-4</v>
      </c>
      <c r="G52" s="1"/>
      <c r="H52" s="1">
        <f>SUM(OSRRefH22_4x_0)</f>
        <v>170</v>
      </c>
      <c r="I52" s="1"/>
      <c r="J52" s="5">
        <f t="shared" si="29"/>
        <v>4.9715015981915435E-4</v>
      </c>
      <c r="K52" s="1"/>
      <c r="L52" s="1">
        <f t="shared" si="30"/>
        <v>-92.13</v>
      </c>
      <c r="M52" s="1"/>
      <c r="N52" s="5">
        <f t="shared" si="31"/>
        <v>-0.54194117647058826</v>
      </c>
      <c r="O52" s="13"/>
      <c r="P52" s="1">
        <f>SUM(OSRRefP22_4x_0)</f>
        <v>921.95</v>
      </c>
      <c r="Q52" s="1"/>
      <c r="R52" s="5">
        <f t="shared" si="32"/>
        <v>4.0177793676999732E-4</v>
      </c>
      <c r="S52" s="1"/>
      <c r="T52" s="1">
        <f>SUM(OSRRefT22_4x_0)</f>
        <v>1020</v>
      </c>
      <c r="U52" s="1"/>
      <c r="V52" s="5">
        <f t="shared" si="33"/>
        <v>4.4673104557401219E-4</v>
      </c>
      <c r="W52" s="1"/>
      <c r="X52" s="1">
        <f t="shared" si="34"/>
        <v>-98.049999999999955</v>
      </c>
      <c r="Y52" s="1"/>
      <c r="Z52" s="5">
        <f t="shared" si="35"/>
        <v>-9.6127450980392118E-2</v>
      </c>
    </row>
    <row r="53" spans="1:26" s="24" customFormat="1" hidden="1" outlineLevel="2" x14ac:dyDescent="0.25">
      <c r="A53" s="26"/>
      <c r="B53" s="11" t="str">
        <f>CONCATENATE("          ", "6381", " - ", "BANK/CREDIT CARD FEES")</f>
        <v xml:space="preserve">          6381 - BANK/CREDIT CARD FEES</v>
      </c>
      <c r="C53" s="11"/>
      <c r="D53" s="6">
        <v>77.87</v>
      </c>
      <c r="E53" s="2"/>
      <c r="F53" s="7">
        <f t="shared" si="28"/>
        <v>2.6168263243251598E-4</v>
      </c>
      <c r="G53" s="2"/>
      <c r="H53" s="6">
        <v>170</v>
      </c>
      <c r="I53" s="2"/>
      <c r="J53" s="7">
        <f t="shared" si="29"/>
        <v>4.9715015981915435E-4</v>
      </c>
      <c r="K53" s="2"/>
      <c r="L53" s="6">
        <f t="shared" si="30"/>
        <v>-92.13</v>
      </c>
      <c r="M53" s="2"/>
      <c r="N53" s="7">
        <f t="shared" si="31"/>
        <v>-0.54194117647058826</v>
      </c>
      <c r="O53" s="11"/>
      <c r="P53" s="6">
        <v>921.95</v>
      </c>
      <c r="Q53" s="2"/>
      <c r="R53" s="7">
        <f t="shared" si="32"/>
        <v>4.0177793676999732E-4</v>
      </c>
      <c r="S53" s="2"/>
      <c r="T53" s="6">
        <v>1020</v>
      </c>
      <c r="U53" s="2"/>
      <c r="V53" s="7">
        <f t="shared" si="33"/>
        <v>4.4673104557401219E-4</v>
      </c>
      <c r="W53" s="2"/>
      <c r="X53" s="6">
        <f t="shared" si="34"/>
        <v>-98.049999999999955</v>
      </c>
      <c r="Y53" s="2"/>
      <c r="Z53" s="7">
        <f t="shared" si="35"/>
        <v>-9.6127450980392118E-2</v>
      </c>
    </row>
    <row r="54" spans="1:26" s="25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2506.5</v>
      </c>
      <c r="E54" s="1"/>
      <c r="F54" s="5">
        <f t="shared" si="28"/>
        <v>8.423109261488395E-3</v>
      </c>
      <c r="G54" s="1"/>
      <c r="H54" s="1">
        <f>SUM(OSRRefH22_5x_0)</f>
        <v>3100</v>
      </c>
      <c r="I54" s="1"/>
      <c r="J54" s="5">
        <f t="shared" si="29"/>
        <v>9.0656793849375195E-3</v>
      </c>
      <c r="K54" s="1"/>
      <c r="L54" s="1">
        <f t="shared" si="30"/>
        <v>-593.5</v>
      </c>
      <c r="M54" s="1"/>
      <c r="N54" s="5">
        <f t="shared" si="31"/>
        <v>-0.19145161290322579</v>
      </c>
      <c r="O54" s="13"/>
      <c r="P54" s="1">
        <f>SUM(OSRRefP22_5x_0)</f>
        <v>17391.57</v>
      </c>
      <c r="Q54" s="1"/>
      <c r="R54" s="5">
        <f t="shared" si="32"/>
        <v>7.5790976861987982E-3</v>
      </c>
      <c r="S54" s="1"/>
      <c r="T54" s="1">
        <f>SUM(OSRRefT22_5x_0)</f>
        <v>17500</v>
      </c>
      <c r="U54" s="1"/>
      <c r="V54" s="5">
        <f t="shared" si="33"/>
        <v>7.6645032328874632E-3</v>
      </c>
      <c r="W54" s="1"/>
      <c r="X54" s="1">
        <f t="shared" si="34"/>
        <v>-108.43000000000029</v>
      </c>
      <c r="Y54" s="1"/>
      <c r="Z54" s="5">
        <f t="shared" si="35"/>
        <v>-6.1960000000000166E-3</v>
      </c>
    </row>
    <row r="55" spans="1:26" s="24" customFormat="1" hidden="1" outlineLevel="2" x14ac:dyDescent="0.25">
      <c r="A55" s="26"/>
      <c r="B55" s="11" t="str">
        <f>CONCATENATE("          ", "6399", " - ", "DONATION-ON CAMPUS")</f>
        <v xml:space="preserve">          6399 - DONATION-ON CAMPUS</v>
      </c>
      <c r="C55" s="11"/>
      <c r="D55" s="6">
        <v>2506.5</v>
      </c>
      <c r="E55" s="2"/>
      <c r="F55" s="7">
        <f t="shared" si="28"/>
        <v>8.423109261488395E-3</v>
      </c>
      <c r="G55" s="2"/>
      <c r="H55" s="6">
        <v>3100</v>
      </c>
      <c r="I55" s="2"/>
      <c r="J55" s="7">
        <f t="shared" si="29"/>
        <v>9.0656793849375195E-3</v>
      </c>
      <c r="K55" s="2"/>
      <c r="L55" s="6">
        <f t="shared" si="30"/>
        <v>-593.5</v>
      </c>
      <c r="M55" s="2"/>
      <c r="N55" s="7">
        <f t="shared" si="31"/>
        <v>-0.19145161290322579</v>
      </c>
      <c r="O55" s="11"/>
      <c r="P55" s="6">
        <v>17391.57</v>
      </c>
      <c r="Q55" s="2"/>
      <c r="R55" s="7">
        <f t="shared" si="32"/>
        <v>7.5790976861987982E-3</v>
      </c>
      <c r="S55" s="2"/>
      <c r="T55" s="6">
        <v>17500</v>
      </c>
      <c r="U55" s="2"/>
      <c r="V55" s="7">
        <f t="shared" si="33"/>
        <v>7.6645032328874632E-3</v>
      </c>
      <c r="W55" s="2"/>
      <c r="X55" s="6">
        <f t="shared" si="34"/>
        <v>-108.43000000000029</v>
      </c>
      <c r="Y55" s="2"/>
      <c r="Z55" s="7">
        <f t="shared" si="35"/>
        <v>-6.1960000000000166E-3</v>
      </c>
    </row>
    <row r="56" spans="1:26" s="25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63.8</v>
      </c>
      <c r="E56" s="1"/>
      <c r="F56" s="5">
        <f t="shared" si="28"/>
        <v>2.1440030755354462E-4</v>
      </c>
      <c r="G56" s="1"/>
      <c r="H56" s="1">
        <f>SUM(OSRRefH22_6x_0)</f>
        <v>145</v>
      </c>
      <c r="I56" s="1"/>
      <c r="J56" s="5">
        <f t="shared" si="29"/>
        <v>4.2403984219869042E-4</v>
      </c>
      <c r="K56" s="1"/>
      <c r="L56" s="1">
        <f t="shared" si="30"/>
        <v>-81.2</v>
      </c>
      <c r="M56" s="1"/>
      <c r="N56" s="5">
        <f t="shared" si="31"/>
        <v>-0.56000000000000005</v>
      </c>
      <c r="O56" s="13"/>
      <c r="P56" s="1">
        <f>SUM(OSRRefP22_6x_0)</f>
        <v>1075.98</v>
      </c>
      <c r="Q56" s="1"/>
      <c r="R56" s="5">
        <f t="shared" si="32"/>
        <v>4.6890289539105345E-4</v>
      </c>
      <c r="S56" s="1"/>
      <c r="T56" s="1">
        <f>SUM(OSRRefT22_6x_0)</f>
        <v>870</v>
      </c>
      <c r="U56" s="1"/>
      <c r="V56" s="5">
        <f t="shared" si="33"/>
        <v>3.8103530357783393E-4</v>
      </c>
      <c r="W56" s="1"/>
      <c r="X56" s="1">
        <f t="shared" si="34"/>
        <v>205.98000000000002</v>
      </c>
      <c r="Y56" s="1"/>
      <c r="Z56" s="5">
        <f t="shared" si="35"/>
        <v>0.2367586206896552</v>
      </c>
    </row>
    <row r="57" spans="1:26" s="24" customFormat="1" hidden="1" outlineLevel="2" x14ac:dyDescent="0.25">
      <c r="A57" s="26"/>
      <c r="B57" s="11" t="str">
        <f>CONCATENATE("          ", "6277", " - ", "EMPLOYEE APPRECIATION")</f>
        <v xml:space="preserve">          6277 - EMPLOYEE APPRECIATION</v>
      </c>
      <c r="C57" s="11"/>
      <c r="D57" s="6">
        <v>63.8</v>
      </c>
      <c r="E57" s="2"/>
      <c r="F57" s="7">
        <f t="shared" si="28"/>
        <v>2.1440030755354462E-4</v>
      </c>
      <c r="G57" s="2"/>
      <c r="H57" s="6">
        <v>145</v>
      </c>
      <c r="I57" s="2"/>
      <c r="J57" s="7">
        <f t="shared" si="29"/>
        <v>4.2403984219869042E-4</v>
      </c>
      <c r="K57" s="2"/>
      <c r="L57" s="6">
        <f t="shared" si="30"/>
        <v>-81.2</v>
      </c>
      <c r="M57" s="2"/>
      <c r="N57" s="7">
        <f t="shared" si="31"/>
        <v>-0.56000000000000005</v>
      </c>
      <c r="O57" s="11"/>
      <c r="P57" s="6">
        <v>1075.98</v>
      </c>
      <c r="Q57" s="2"/>
      <c r="R57" s="7">
        <f t="shared" si="32"/>
        <v>4.6890289539105345E-4</v>
      </c>
      <c r="S57" s="2"/>
      <c r="T57" s="6">
        <v>870</v>
      </c>
      <c r="U57" s="2"/>
      <c r="V57" s="7">
        <f t="shared" si="33"/>
        <v>3.8103530357783393E-4</v>
      </c>
      <c r="W57" s="2"/>
      <c r="X57" s="6">
        <f t="shared" si="34"/>
        <v>205.98000000000002</v>
      </c>
      <c r="Y57" s="2"/>
      <c r="Z57" s="7">
        <f t="shared" si="35"/>
        <v>0.2367586206896552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109.66</v>
      </c>
      <c r="E58" s="1"/>
      <c r="F58" s="5">
        <f t="shared" si="28"/>
        <v>3.6851313050660975E-4</v>
      </c>
      <c r="G58" s="1"/>
      <c r="H58" s="1">
        <f>SUM(OSRRefH22_7x_0)</f>
        <v>270</v>
      </c>
      <c r="I58" s="1"/>
      <c r="J58" s="5">
        <f t="shared" si="29"/>
        <v>7.8959143030100985E-4</v>
      </c>
      <c r="K58" s="1"/>
      <c r="L58" s="1">
        <f t="shared" si="30"/>
        <v>-160.34</v>
      </c>
      <c r="M58" s="1"/>
      <c r="N58" s="5">
        <f t="shared" si="31"/>
        <v>-0.59385185185185185</v>
      </c>
      <c r="O58" s="13"/>
      <c r="P58" s="1">
        <f>SUM(OSRRefP22_7x_0)</f>
        <v>1502.55</v>
      </c>
      <c r="Q58" s="1"/>
      <c r="R58" s="5">
        <f t="shared" si="32"/>
        <v>6.5479845858643039E-4</v>
      </c>
      <c r="S58" s="1"/>
      <c r="T58" s="1">
        <f>SUM(OSRRefT22_7x_0)</f>
        <v>1620</v>
      </c>
      <c r="U58" s="1"/>
      <c r="V58" s="5">
        <f t="shared" si="33"/>
        <v>7.0951401355872517E-4</v>
      </c>
      <c r="W58" s="1"/>
      <c r="X58" s="1">
        <f t="shared" si="34"/>
        <v>-117.45000000000005</v>
      </c>
      <c r="Y58" s="1"/>
      <c r="Z58" s="5">
        <f t="shared" si="35"/>
        <v>-7.2500000000000023E-2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109.66</v>
      </c>
      <c r="E59" s="2"/>
      <c r="F59" s="7">
        <f t="shared" si="28"/>
        <v>3.6851313050660975E-4</v>
      </c>
      <c r="G59" s="2"/>
      <c r="H59" s="6">
        <v>270</v>
      </c>
      <c r="I59" s="2"/>
      <c r="J59" s="7">
        <f t="shared" si="29"/>
        <v>7.8959143030100985E-4</v>
      </c>
      <c r="K59" s="2"/>
      <c r="L59" s="6">
        <f t="shared" si="30"/>
        <v>-160.34</v>
      </c>
      <c r="M59" s="2"/>
      <c r="N59" s="7">
        <f t="shared" si="31"/>
        <v>-0.59385185185185185</v>
      </c>
      <c r="O59" s="11"/>
      <c r="P59" s="6">
        <v>1502.55</v>
      </c>
      <c r="Q59" s="2"/>
      <c r="R59" s="7">
        <f t="shared" si="32"/>
        <v>6.5479845858643039E-4</v>
      </c>
      <c r="S59" s="2"/>
      <c r="T59" s="6">
        <v>1620</v>
      </c>
      <c r="U59" s="2"/>
      <c r="V59" s="7">
        <f t="shared" si="33"/>
        <v>7.0951401355872517E-4</v>
      </c>
      <c r="W59" s="2"/>
      <c r="X59" s="6">
        <f t="shared" si="34"/>
        <v>-117.45000000000005</v>
      </c>
      <c r="Y59" s="2"/>
      <c r="Z59" s="7">
        <f t="shared" si="35"/>
        <v>-7.2500000000000023E-2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2.9244127048185547E-6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6</v>
      </c>
      <c r="U60" s="1"/>
      <c r="V60" s="5">
        <f t="shared" si="33"/>
        <v>2.6278296798471302E-6</v>
      </c>
      <c r="W60" s="1"/>
      <c r="X60" s="1">
        <f t="shared" si="34"/>
        <v>-6</v>
      </c>
      <c r="Y60" s="1"/>
      <c r="Z60" s="5">
        <f t="shared" si="35"/>
        <v>-1</v>
      </c>
    </row>
    <row r="61" spans="1:26" s="24" customFormat="1" hidden="1" outlineLevel="2" x14ac:dyDescent="0.25">
      <c r="A61" s="26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2.9244127048185547E-6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6</v>
      </c>
      <c r="U61" s="2"/>
      <c r="V61" s="7">
        <f t="shared" si="33"/>
        <v>2.6278296798471302E-6</v>
      </c>
      <c r="W61" s="2"/>
      <c r="X61" s="6">
        <f t="shared" si="34"/>
        <v>-6</v>
      </c>
      <c r="Y61" s="2"/>
      <c r="Z61" s="7">
        <f t="shared" si="35"/>
        <v>-1</v>
      </c>
    </row>
    <row r="62" spans="1:26" s="25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129.54</v>
      </c>
      <c r="E62" s="1"/>
      <c r="F62" s="5">
        <f t="shared" si="28"/>
        <v>4.3531999749978322E-4</v>
      </c>
      <c r="G62" s="1"/>
      <c r="H62" s="1">
        <f>SUM(OSRRefH22_9x_0)</f>
        <v>100</v>
      </c>
      <c r="I62" s="1"/>
      <c r="J62" s="5">
        <f t="shared" si="29"/>
        <v>2.924412704818555E-4</v>
      </c>
      <c r="K62" s="1"/>
      <c r="L62" s="1">
        <f t="shared" si="30"/>
        <v>29.539999999999992</v>
      </c>
      <c r="M62" s="1"/>
      <c r="N62" s="5">
        <f t="shared" si="31"/>
        <v>0.29539999999999994</v>
      </c>
      <c r="O62" s="13"/>
      <c r="P62" s="1">
        <f>SUM(OSRRefP22_9x_0)</f>
        <v>2669.16</v>
      </c>
      <c r="Q62" s="1"/>
      <c r="R62" s="5">
        <f t="shared" si="32"/>
        <v>1.163197134019205E-3</v>
      </c>
      <c r="S62" s="1"/>
      <c r="T62" s="1">
        <f>SUM(OSRRefT22_9x_0)</f>
        <v>2650</v>
      </c>
      <c r="U62" s="1"/>
      <c r="V62" s="5">
        <f t="shared" si="33"/>
        <v>1.160624775265816E-3</v>
      </c>
      <c r="W62" s="1"/>
      <c r="X62" s="1">
        <f t="shared" si="34"/>
        <v>19.159999999999854</v>
      </c>
      <c r="Y62" s="1"/>
      <c r="Z62" s="5">
        <f t="shared" si="35"/>
        <v>7.230188679245228E-3</v>
      </c>
    </row>
    <row r="63" spans="1:26" s="24" customFormat="1" hidden="1" outlineLevel="2" x14ac:dyDescent="0.25">
      <c r="A63" s="26"/>
      <c r="B63" s="11" t="str">
        <f>CONCATENATE("          ", "6279", " - ", "GENERAL EXPENSE")</f>
        <v xml:space="preserve">          6279 - GENERAL EXPENSE</v>
      </c>
      <c r="C63" s="11"/>
      <c r="D63" s="6">
        <v>129.54</v>
      </c>
      <c r="E63" s="2"/>
      <c r="F63" s="7">
        <f t="shared" si="28"/>
        <v>4.3531999749978322E-4</v>
      </c>
      <c r="G63" s="2"/>
      <c r="H63" s="6">
        <v>100</v>
      </c>
      <c r="I63" s="2"/>
      <c r="J63" s="7">
        <f t="shared" si="29"/>
        <v>2.924412704818555E-4</v>
      </c>
      <c r="K63" s="2"/>
      <c r="L63" s="6">
        <f t="shared" si="30"/>
        <v>29.539999999999992</v>
      </c>
      <c r="M63" s="2"/>
      <c r="N63" s="7">
        <f t="shared" si="31"/>
        <v>0.29539999999999994</v>
      </c>
      <c r="O63" s="11"/>
      <c r="P63" s="6">
        <v>2669.16</v>
      </c>
      <c r="Q63" s="2"/>
      <c r="R63" s="7">
        <f t="shared" si="32"/>
        <v>1.163197134019205E-3</v>
      </c>
      <c r="S63" s="2"/>
      <c r="T63" s="6">
        <v>2650</v>
      </c>
      <c r="U63" s="2"/>
      <c r="V63" s="7">
        <f t="shared" si="33"/>
        <v>1.160624775265816E-3</v>
      </c>
      <c r="W63" s="2"/>
      <c r="X63" s="6">
        <f t="shared" si="34"/>
        <v>19.159999999999854</v>
      </c>
      <c r="Y63" s="2"/>
      <c r="Z63" s="7">
        <f t="shared" si="35"/>
        <v>7.230188679245228E-3</v>
      </c>
    </row>
    <row r="64" spans="1:26" s="25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23829.54</v>
      </c>
      <c r="E64" s="1"/>
      <c r="F64" s="5">
        <f t="shared" si="28"/>
        <v>8.0079321392782038E-2</v>
      </c>
      <c r="G64" s="1"/>
      <c r="H64" s="1">
        <f>SUM(OSRRefH22_10x_0)</f>
        <v>27356</v>
      </c>
      <c r="I64" s="1"/>
      <c r="J64" s="5">
        <f t="shared" si="29"/>
        <v>8.0000233953016392E-2</v>
      </c>
      <c r="K64" s="1"/>
      <c r="L64" s="1">
        <f t="shared" si="30"/>
        <v>-3526.4599999999991</v>
      </c>
      <c r="M64" s="1"/>
      <c r="N64" s="5">
        <f t="shared" si="31"/>
        <v>-0.12890992835209822</v>
      </c>
      <c r="O64" s="13"/>
      <c r="P64" s="1">
        <f>SUM(OSRRefP22_10x_0)</f>
        <v>178648.90000000002</v>
      </c>
      <c r="Q64" s="1"/>
      <c r="R64" s="5">
        <f t="shared" si="32"/>
        <v>7.7853665001604844E-2</v>
      </c>
      <c r="S64" s="1"/>
      <c r="T64" s="1">
        <f>SUM(OSRRefT22_10x_0)</f>
        <v>182658</v>
      </c>
      <c r="U64" s="1"/>
      <c r="V64" s="5">
        <f t="shared" si="33"/>
        <v>7.9999018943586186E-2</v>
      </c>
      <c r="W64" s="1"/>
      <c r="X64" s="1">
        <f t="shared" si="34"/>
        <v>-4009.0999999999767</v>
      </c>
      <c r="Y64" s="1"/>
      <c r="Z64" s="5">
        <f t="shared" si="35"/>
        <v>-2.1948669097438801E-2</v>
      </c>
    </row>
    <row r="65" spans="1:26" s="24" customFormat="1" hidden="1" outlineLevel="2" x14ac:dyDescent="0.25">
      <c r="A65" s="26"/>
      <c r="B65" s="11" t="str">
        <f>CONCATENATE("          ", "6387", " - ", "COMMISSION DUE HOUSING")</f>
        <v xml:space="preserve">          6387 - COMMISSION DUE HOUSING</v>
      </c>
      <c r="C65" s="11"/>
      <c r="D65" s="6">
        <v>23829.54</v>
      </c>
      <c r="E65" s="2"/>
      <c r="F65" s="7">
        <f t="shared" si="28"/>
        <v>8.0079321392782038E-2</v>
      </c>
      <c r="G65" s="2"/>
      <c r="H65" s="6">
        <v>27356</v>
      </c>
      <c r="I65" s="2"/>
      <c r="J65" s="7">
        <f t="shared" si="29"/>
        <v>8.0000233953016392E-2</v>
      </c>
      <c r="K65" s="2"/>
      <c r="L65" s="6">
        <f t="shared" si="30"/>
        <v>-3526.4599999999991</v>
      </c>
      <c r="M65" s="2"/>
      <c r="N65" s="7">
        <f t="shared" si="31"/>
        <v>-0.12890992835209822</v>
      </c>
      <c r="O65" s="11"/>
      <c r="P65" s="6">
        <v>178648.90000000002</v>
      </c>
      <c r="Q65" s="2"/>
      <c r="R65" s="7">
        <f t="shared" si="32"/>
        <v>7.7853665001604844E-2</v>
      </c>
      <c r="S65" s="2"/>
      <c r="T65" s="6">
        <v>182658</v>
      </c>
      <c r="U65" s="2"/>
      <c r="V65" s="7">
        <f t="shared" si="33"/>
        <v>7.9999018943586186E-2</v>
      </c>
      <c r="W65" s="2"/>
      <c r="X65" s="6">
        <f t="shared" si="34"/>
        <v>-4009.0999999999767</v>
      </c>
      <c r="Y65" s="2"/>
      <c r="Z65" s="7">
        <f t="shared" si="35"/>
        <v>-2.1948669097438801E-2</v>
      </c>
    </row>
    <row r="66" spans="1:26" s="25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267.51</v>
      </c>
      <c r="E66" s="1"/>
      <c r="F66" s="5">
        <f t="shared" si="28"/>
        <v>8.9896906385029344E-4</v>
      </c>
      <c r="G66" s="1"/>
      <c r="H66" s="1">
        <f>SUM(OSRRefH22_11x_0)</f>
        <v>1290</v>
      </c>
      <c r="I66" s="1"/>
      <c r="J66" s="5">
        <f t="shared" si="29"/>
        <v>3.7724923892159356E-3</v>
      </c>
      <c r="K66" s="1"/>
      <c r="L66" s="1">
        <f t="shared" si="30"/>
        <v>-1022.49</v>
      </c>
      <c r="M66" s="1"/>
      <c r="N66" s="5">
        <f t="shared" si="31"/>
        <v>-0.79262790697674423</v>
      </c>
      <c r="O66" s="13"/>
      <c r="P66" s="1">
        <f>SUM(OSRRefP22_11x_0)</f>
        <v>8798.31</v>
      </c>
      <c r="Q66" s="1"/>
      <c r="R66" s="5">
        <f t="shared" si="32"/>
        <v>3.8342283625606975E-3</v>
      </c>
      <c r="S66" s="1"/>
      <c r="T66" s="1">
        <f>SUM(OSRRefT22_11x_0)</f>
        <v>7740</v>
      </c>
      <c r="U66" s="1"/>
      <c r="V66" s="5">
        <f t="shared" si="33"/>
        <v>3.3899002870027982E-3</v>
      </c>
      <c r="W66" s="1"/>
      <c r="X66" s="1">
        <f t="shared" si="34"/>
        <v>1058.3099999999995</v>
      </c>
      <c r="Y66" s="1"/>
      <c r="Z66" s="5">
        <f t="shared" si="35"/>
        <v>0.1367325581395348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1000</v>
      </c>
      <c r="I67" s="2"/>
      <c r="J67" s="7">
        <f t="shared" si="29"/>
        <v>2.924412704818555E-3</v>
      </c>
      <c r="K67" s="2"/>
      <c r="L67" s="6">
        <f t="shared" si="30"/>
        <v>-1000</v>
      </c>
      <c r="M67" s="2"/>
      <c r="N67" s="7">
        <f t="shared" si="31"/>
        <v>-1</v>
      </c>
      <c r="O67" s="11"/>
      <c r="P67" s="6">
        <v>8238.75</v>
      </c>
      <c r="Q67" s="2"/>
      <c r="R67" s="7">
        <f t="shared" si="32"/>
        <v>3.5903768930677536E-3</v>
      </c>
      <c r="S67" s="2"/>
      <c r="T67" s="6">
        <v>6000</v>
      </c>
      <c r="U67" s="2"/>
      <c r="V67" s="7">
        <f t="shared" si="33"/>
        <v>2.6278296798471303E-3</v>
      </c>
      <c r="W67" s="2"/>
      <c r="X67" s="6">
        <f t="shared" si="34"/>
        <v>2238.75</v>
      </c>
      <c r="Y67" s="2"/>
      <c r="Z67" s="7">
        <f t="shared" si="35"/>
        <v>0.37312499999999998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78.72</v>
      </c>
      <c r="E68" s="2"/>
      <c r="F68" s="7">
        <f t="shared" si="28"/>
        <v>2.645390628623046E-4</v>
      </c>
      <c r="G68" s="2"/>
      <c r="H68" s="6">
        <v>30</v>
      </c>
      <c r="I68" s="2"/>
      <c r="J68" s="7">
        <f t="shared" si="29"/>
        <v>8.773238114455665E-5</v>
      </c>
      <c r="K68" s="2"/>
      <c r="L68" s="6">
        <f t="shared" si="30"/>
        <v>48.72</v>
      </c>
      <c r="M68" s="2"/>
      <c r="N68" s="7">
        <f t="shared" si="31"/>
        <v>1.6239999999999999</v>
      </c>
      <c r="O68" s="11"/>
      <c r="P68" s="6">
        <v>202.15</v>
      </c>
      <c r="Q68" s="2"/>
      <c r="R68" s="7">
        <f t="shared" si="32"/>
        <v>8.8095243687895183E-5</v>
      </c>
      <c r="S68" s="2"/>
      <c r="T68" s="6">
        <v>180</v>
      </c>
      <c r="U68" s="2"/>
      <c r="V68" s="7">
        <f t="shared" si="33"/>
        <v>7.8834890395413905E-5</v>
      </c>
      <c r="W68" s="2"/>
      <c r="X68" s="6">
        <f t="shared" si="34"/>
        <v>22.150000000000006</v>
      </c>
      <c r="Y68" s="2"/>
      <c r="Z68" s="7">
        <f t="shared" si="35"/>
        <v>0.12305555555555558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188.79</v>
      </c>
      <c r="E69" s="2"/>
      <c r="F69" s="7">
        <f t="shared" si="28"/>
        <v>6.3443000098798883E-4</v>
      </c>
      <c r="G69" s="2"/>
      <c r="H69" s="6">
        <v>260</v>
      </c>
      <c r="I69" s="2"/>
      <c r="J69" s="7">
        <f t="shared" si="29"/>
        <v>7.603473032528243E-4</v>
      </c>
      <c r="K69" s="2"/>
      <c r="L69" s="6">
        <f t="shared" si="30"/>
        <v>-71.210000000000008</v>
      </c>
      <c r="M69" s="2"/>
      <c r="N69" s="7">
        <f t="shared" si="31"/>
        <v>-0.27388461538461539</v>
      </c>
      <c r="O69" s="11"/>
      <c r="P69" s="6">
        <v>357.41</v>
      </c>
      <c r="Q69" s="2"/>
      <c r="R69" s="7">
        <f t="shared" si="32"/>
        <v>1.5575622580504882E-4</v>
      </c>
      <c r="S69" s="2"/>
      <c r="T69" s="6">
        <v>1560</v>
      </c>
      <c r="U69" s="2"/>
      <c r="V69" s="7">
        <f t="shared" si="33"/>
        <v>6.8323571676025393E-4</v>
      </c>
      <c r="W69" s="2"/>
      <c r="X69" s="6">
        <f t="shared" si="34"/>
        <v>-1202.5899999999999</v>
      </c>
      <c r="Y69" s="2"/>
      <c r="Z69" s="7">
        <f t="shared" si="35"/>
        <v>-0.77089102564102563</v>
      </c>
    </row>
    <row r="70" spans="1:26" s="25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5666.4800000000005</v>
      </c>
      <c r="E70" s="1"/>
      <c r="F70" s="5">
        <f t="shared" ref="F70:F74" si="36">IF(D$12=0,0,D70/D$12)</f>
        <v>1.9042242237398269E-2</v>
      </c>
      <c r="G70" s="1"/>
      <c r="H70" s="1">
        <f>SUM(OSRRefH22_12x_0)</f>
        <v>5947</v>
      </c>
      <c r="I70" s="1"/>
      <c r="J70" s="5">
        <f t="shared" ref="J70:J74" si="37">IF(H$12=0,0,H70/H$12)</f>
        <v>1.7391482355555946E-2</v>
      </c>
      <c r="K70" s="1"/>
      <c r="L70" s="1">
        <f t="shared" ref="L70:L74" si="38">+D70-H70</f>
        <v>-280.51999999999953</v>
      </c>
      <c r="M70" s="1"/>
      <c r="N70" s="5">
        <f t="shared" ref="N70:N74" si="39">IF(H70=0,0,L70/H70)</f>
        <v>-4.7170001681520017E-2</v>
      </c>
      <c r="O70" s="13"/>
      <c r="P70" s="1">
        <f>SUM(OSRRefP22_12x_0)</f>
        <v>37177.58</v>
      </c>
      <c r="Q70" s="1"/>
      <c r="R70" s="5">
        <f t="shared" ref="R70:R74" si="40">IF(P$12=0,0,P70/P$12)</f>
        <v>1.6201671876459156E-2</v>
      </c>
      <c r="S70" s="1"/>
      <c r="T70" s="1">
        <f>SUM(OSRRefT22_12x_0)</f>
        <v>40482</v>
      </c>
      <c r="U70" s="1"/>
      <c r="V70" s="5">
        <f t="shared" ref="V70:V74" si="41">IF(T$12=0,0,T70/T$12)</f>
        <v>1.7729966849928589E-2</v>
      </c>
      <c r="W70" s="1"/>
      <c r="X70" s="1">
        <f t="shared" ref="X70:X74" si="42">+P70-T70</f>
        <v>-3304.4199999999983</v>
      </c>
      <c r="Y70" s="1"/>
      <c r="Z70" s="5">
        <f t="shared" ref="Z70:Z74" si="43">IF(T70=0,0,X70/T70)</f>
        <v>-8.1626895904352514E-2</v>
      </c>
    </row>
    <row r="71" spans="1:26" s="24" customFormat="1" hidden="1" outlineLevel="2" x14ac:dyDescent="0.25">
      <c r="A71" s="26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842.68</v>
      </c>
      <c r="E71" s="2"/>
      <c r="F71" s="7">
        <f t="shared" si="36"/>
        <v>2.8318315230285418E-3</v>
      </c>
      <c r="G71" s="2"/>
      <c r="H71" s="6">
        <v>430</v>
      </c>
      <c r="I71" s="2"/>
      <c r="J71" s="7">
        <f t="shared" si="37"/>
        <v>1.2574974630719785E-3</v>
      </c>
      <c r="K71" s="2"/>
      <c r="L71" s="6">
        <f t="shared" si="38"/>
        <v>412.67999999999995</v>
      </c>
      <c r="M71" s="2"/>
      <c r="N71" s="7">
        <f t="shared" si="39"/>
        <v>0.959720930232558</v>
      </c>
      <c r="O71" s="11"/>
      <c r="P71" s="6">
        <v>2949.38</v>
      </c>
      <c r="Q71" s="2"/>
      <c r="R71" s="7">
        <f t="shared" si="40"/>
        <v>1.2853146170081836E-3</v>
      </c>
      <c r="S71" s="2"/>
      <c r="T71" s="6">
        <v>2580</v>
      </c>
      <c r="U71" s="2"/>
      <c r="V71" s="7">
        <f t="shared" si="41"/>
        <v>1.1299667623342661E-3</v>
      </c>
      <c r="W71" s="2"/>
      <c r="X71" s="6">
        <f t="shared" si="42"/>
        <v>369.38000000000011</v>
      </c>
      <c r="Y71" s="2"/>
      <c r="Z71" s="7">
        <f t="shared" si="43"/>
        <v>0.14317054263565895</v>
      </c>
    </row>
    <row r="72" spans="1:26" s="24" customFormat="1" hidden="1" outlineLevel="2" x14ac:dyDescent="0.25">
      <c r="A72" s="26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6">
        <v>3916.67</v>
      </c>
      <c r="E73" s="2"/>
      <c r="F73" s="7">
        <f t="shared" si="36"/>
        <v>1.3161994554635448E-2</v>
      </c>
      <c r="G73" s="2"/>
      <c r="H73" s="6">
        <v>3917</v>
      </c>
      <c r="I73" s="2"/>
      <c r="J73" s="7">
        <f t="shared" si="37"/>
        <v>1.1454924564774279E-2</v>
      </c>
      <c r="K73" s="2"/>
      <c r="L73" s="6">
        <f t="shared" si="38"/>
        <v>-0.32999999999992724</v>
      </c>
      <c r="M73" s="2"/>
      <c r="N73" s="7">
        <f t="shared" si="39"/>
        <v>-8.4248149093675581E-5</v>
      </c>
      <c r="O73" s="11"/>
      <c r="P73" s="6">
        <v>26154.52</v>
      </c>
      <c r="Q73" s="2"/>
      <c r="R73" s="7">
        <f t="shared" si="40"/>
        <v>1.1397916462725343E-2</v>
      </c>
      <c r="S73" s="2"/>
      <c r="T73" s="6">
        <v>28302</v>
      </c>
      <c r="U73" s="2"/>
      <c r="V73" s="7">
        <f t="shared" si="41"/>
        <v>1.2395472599838914E-2</v>
      </c>
      <c r="W73" s="2"/>
      <c r="X73" s="6">
        <f t="shared" si="42"/>
        <v>-2147.4799999999996</v>
      </c>
      <c r="Y73" s="2"/>
      <c r="Z73" s="7">
        <f t="shared" si="43"/>
        <v>-7.5877323157374027E-2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6">
        <v>907.13</v>
      </c>
      <c r="E74" s="2"/>
      <c r="F74" s="7">
        <f t="shared" si="36"/>
        <v>3.0484161597342779E-3</v>
      </c>
      <c r="G74" s="2"/>
      <c r="H74" s="6">
        <v>1600</v>
      </c>
      <c r="I74" s="2"/>
      <c r="J74" s="7">
        <f t="shared" si="37"/>
        <v>4.679060327709688E-3</v>
      </c>
      <c r="K74" s="2"/>
      <c r="L74" s="6">
        <f t="shared" si="38"/>
        <v>-692.87</v>
      </c>
      <c r="M74" s="2"/>
      <c r="N74" s="7">
        <f t="shared" si="39"/>
        <v>-0.43304375000000001</v>
      </c>
      <c r="O74" s="11"/>
      <c r="P74" s="6">
        <v>8073.68</v>
      </c>
      <c r="Q74" s="2"/>
      <c r="R74" s="7">
        <f t="shared" si="40"/>
        <v>3.5184407967256272E-3</v>
      </c>
      <c r="S74" s="2"/>
      <c r="T74" s="6">
        <v>9600</v>
      </c>
      <c r="U74" s="2"/>
      <c r="V74" s="7">
        <f t="shared" si="41"/>
        <v>4.2045274877554085E-3</v>
      </c>
      <c r="W74" s="2"/>
      <c r="X74" s="6">
        <f t="shared" si="42"/>
        <v>-1526.3199999999997</v>
      </c>
      <c r="Y74" s="2"/>
      <c r="Z74" s="7">
        <f t="shared" si="43"/>
        <v>-0.15899166666666664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3971.46</v>
      </c>
      <c r="E75" s="1"/>
      <c r="F75" s="5">
        <f t="shared" ref="F75:F83" si="44">IF(D$12=0,0,D75/D$12)</f>
        <v>1.3346116699633233E-2</v>
      </c>
      <c r="G75" s="1"/>
      <c r="H75" s="1">
        <f>SUM(OSRRefH22_13x_0)</f>
        <v>8880</v>
      </c>
      <c r="I75" s="1"/>
      <c r="J75" s="5">
        <f t="shared" ref="J75:J83" si="45">IF(H$12=0,0,H75/H$12)</f>
        <v>2.5968784818788768E-2</v>
      </c>
      <c r="K75" s="1"/>
      <c r="L75" s="1">
        <f t="shared" ref="L75:L83" si="46">+D75-H75</f>
        <v>-4908.54</v>
      </c>
      <c r="M75" s="1"/>
      <c r="N75" s="5">
        <f t="shared" ref="N75:N83" si="47">IF(H75=0,0,L75/H75)</f>
        <v>-0.55276351351351349</v>
      </c>
      <c r="O75" s="13"/>
      <c r="P75" s="1">
        <f>SUM(OSRRefP22_13x_0)</f>
        <v>57893.53</v>
      </c>
      <c r="Q75" s="1"/>
      <c r="R75" s="5">
        <f t="shared" ref="R75:R83" si="48">IF(P$12=0,0,P75/P$12)</f>
        <v>2.5229505977256837E-2</v>
      </c>
      <c r="S75" s="1"/>
      <c r="T75" s="1">
        <f>SUM(OSRRefT22_13x_0)</f>
        <v>59280</v>
      </c>
      <c r="U75" s="1"/>
      <c r="V75" s="5">
        <f t="shared" ref="V75:V83" si="49">IF(T$12=0,0,T75/T$12)</f>
        <v>2.5962957236889649E-2</v>
      </c>
      <c r="W75" s="1"/>
      <c r="X75" s="1">
        <f t="shared" ref="X75:X83" si="50">+P75-T75</f>
        <v>-1386.4700000000012</v>
      </c>
      <c r="Y75" s="1"/>
      <c r="Z75" s="5">
        <f t="shared" ref="Z75:Z83" si="51">IF(T75=0,0,X75/T75)</f>
        <v>-2.3388495276653192E-2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100</v>
      </c>
      <c r="Q76" s="2"/>
      <c r="R76" s="7">
        <f t="shared" si="48"/>
        <v>4.3579146024187571E-5</v>
      </c>
      <c r="S76" s="2"/>
      <c r="T76" s="6"/>
      <c r="U76" s="2"/>
      <c r="V76" s="7">
        <f t="shared" si="49"/>
        <v>0</v>
      </c>
      <c r="W76" s="2"/>
      <c r="X76" s="6">
        <f t="shared" si="50"/>
        <v>100</v>
      </c>
      <c r="Y76" s="2"/>
      <c r="Z76" s="7">
        <f t="shared" si="51"/>
        <v>0</v>
      </c>
    </row>
    <row r="77" spans="1:26" s="24" customFormat="1" hidden="1" outlineLevel="2" x14ac:dyDescent="0.25">
      <c r="A77" s="26"/>
      <c r="B77" s="11" t="str">
        <f>CONCATENATE("          ", "6237", " - ", "JANITORIAL SUPPLIES")</f>
        <v xml:space="preserve">          6237 - JANITORIAL SUPPLIES</v>
      </c>
      <c r="C77" s="11"/>
      <c r="D77" s="6">
        <v>2095.69</v>
      </c>
      <c r="E77" s="2"/>
      <c r="F77" s="7">
        <f t="shared" si="44"/>
        <v>7.0425796322396228E-3</v>
      </c>
      <c r="G77" s="2"/>
      <c r="H77" s="6">
        <v>4000</v>
      </c>
      <c r="I77" s="2"/>
      <c r="J77" s="7">
        <f t="shared" si="45"/>
        <v>1.169765081927422E-2</v>
      </c>
      <c r="K77" s="2"/>
      <c r="L77" s="6">
        <f t="shared" si="46"/>
        <v>-1904.31</v>
      </c>
      <c r="M77" s="2"/>
      <c r="N77" s="7">
        <f t="shared" si="47"/>
        <v>-0.47607749999999999</v>
      </c>
      <c r="O77" s="11"/>
      <c r="P77" s="6">
        <v>23097.09</v>
      </c>
      <c r="Q77" s="2"/>
      <c r="R77" s="7">
        <f t="shared" si="48"/>
        <v>1.0065514578438026E-2</v>
      </c>
      <c r="S77" s="2"/>
      <c r="T77" s="6">
        <v>24000</v>
      </c>
      <c r="U77" s="2"/>
      <c r="V77" s="7">
        <f t="shared" si="49"/>
        <v>1.0511318719388521E-2</v>
      </c>
      <c r="W77" s="2"/>
      <c r="X77" s="6">
        <f t="shared" si="50"/>
        <v>-902.90999999999985</v>
      </c>
      <c r="Y77" s="2"/>
      <c r="Z77" s="7">
        <f t="shared" si="51"/>
        <v>-3.7621249999999995E-2</v>
      </c>
    </row>
    <row r="78" spans="1:26" s="24" customFormat="1" hidden="1" outlineLevel="2" x14ac:dyDescent="0.25">
      <c r="A78" s="26"/>
      <c r="B78" s="11" t="str">
        <f>CONCATENATE("          ", "6239", " - ", "KITCHEN SUPPLIES")</f>
        <v xml:space="preserve">          6239 - KITCHEN SUPPLIES</v>
      </c>
      <c r="C78" s="11"/>
      <c r="D78" s="6">
        <v>260.75</v>
      </c>
      <c r="E78" s="2"/>
      <c r="F78" s="7">
        <f t="shared" si="44"/>
        <v>8.7625204066750409E-4</v>
      </c>
      <c r="G78" s="2"/>
      <c r="H78" s="6">
        <v>1000</v>
      </c>
      <c r="I78" s="2"/>
      <c r="J78" s="7">
        <f t="shared" si="45"/>
        <v>2.924412704818555E-3</v>
      </c>
      <c r="K78" s="2"/>
      <c r="L78" s="6">
        <f t="shared" si="46"/>
        <v>-739.25</v>
      </c>
      <c r="M78" s="2"/>
      <c r="N78" s="7">
        <f t="shared" si="47"/>
        <v>-0.73924999999999996</v>
      </c>
      <c r="O78" s="11"/>
      <c r="P78" s="6">
        <v>15913.72</v>
      </c>
      <c r="Q78" s="2"/>
      <c r="R78" s="7">
        <f t="shared" si="48"/>
        <v>6.9350632766803418E-3</v>
      </c>
      <c r="S78" s="2"/>
      <c r="T78" s="6">
        <v>12000</v>
      </c>
      <c r="U78" s="2"/>
      <c r="V78" s="7">
        <f t="shared" si="49"/>
        <v>5.2556593596942607E-3</v>
      </c>
      <c r="W78" s="2"/>
      <c r="X78" s="6">
        <f t="shared" si="50"/>
        <v>3913.7199999999993</v>
      </c>
      <c r="Y78" s="2"/>
      <c r="Z78" s="7">
        <f t="shared" si="51"/>
        <v>0.32614333333333329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6">
        <v>316.17</v>
      </c>
      <c r="E79" s="2"/>
      <c r="F79" s="7">
        <f t="shared" si="44"/>
        <v>1.0624913046897212E-3</v>
      </c>
      <c r="G79" s="2"/>
      <c r="H79" s="6">
        <v>305</v>
      </c>
      <c r="I79" s="2"/>
      <c r="J79" s="7">
        <f t="shared" si="45"/>
        <v>8.9194587496965922E-4</v>
      </c>
      <c r="K79" s="2"/>
      <c r="L79" s="6">
        <f t="shared" si="46"/>
        <v>11.170000000000016</v>
      </c>
      <c r="M79" s="2"/>
      <c r="N79" s="7">
        <f t="shared" si="47"/>
        <v>3.6622950819672186E-2</v>
      </c>
      <c r="O79" s="11"/>
      <c r="P79" s="6">
        <v>2756.02</v>
      </c>
      <c r="Q79" s="2"/>
      <c r="R79" s="7">
        <f t="shared" si="48"/>
        <v>1.2010499802558143E-3</v>
      </c>
      <c r="S79" s="2"/>
      <c r="T79" s="6">
        <v>1830</v>
      </c>
      <c r="U79" s="2"/>
      <c r="V79" s="7">
        <f t="shared" si="49"/>
        <v>8.0148805235337472E-4</v>
      </c>
      <c r="W79" s="2"/>
      <c r="X79" s="6">
        <f t="shared" si="50"/>
        <v>926.02</v>
      </c>
      <c r="Y79" s="2"/>
      <c r="Z79" s="7">
        <f t="shared" si="51"/>
        <v>0.5060218579234973</v>
      </c>
    </row>
    <row r="80" spans="1:26" s="24" customFormat="1" hidden="1" outlineLevel="2" x14ac:dyDescent="0.25">
      <c r="A80" s="26"/>
      <c r="B80" s="11" t="str">
        <f>CONCATENATE("          ", "6243", " - ", "PAPER SUPPLIES")</f>
        <v xml:space="preserve">          6243 - PAPER SUPPLIES</v>
      </c>
      <c r="C80" s="11"/>
      <c r="D80" s="6">
        <v>1298.8499999999999</v>
      </c>
      <c r="E80" s="2"/>
      <c r="F80" s="7">
        <f t="shared" si="44"/>
        <v>4.364793722036386E-3</v>
      </c>
      <c r="G80" s="2"/>
      <c r="H80" s="6">
        <v>3200</v>
      </c>
      <c r="I80" s="2"/>
      <c r="J80" s="7">
        <f t="shared" si="45"/>
        <v>9.358120655419376E-3</v>
      </c>
      <c r="K80" s="2"/>
      <c r="L80" s="6">
        <f t="shared" si="46"/>
        <v>-1901.15</v>
      </c>
      <c r="M80" s="2"/>
      <c r="N80" s="7">
        <f t="shared" si="47"/>
        <v>-0.59410937500000005</v>
      </c>
      <c r="O80" s="11"/>
      <c r="P80" s="6">
        <v>13593.58</v>
      </c>
      <c r="Q80" s="2"/>
      <c r="R80" s="7">
        <f t="shared" si="48"/>
        <v>5.923966078114757E-3</v>
      </c>
      <c r="S80" s="2"/>
      <c r="T80" s="6">
        <v>19200</v>
      </c>
      <c r="U80" s="2"/>
      <c r="V80" s="7">
        <f t="shared" si="49"/>
        <v>8.4090549755108171E-3</v>
      </c>
      <c r="W80" s="2"/>
      <c r="X80" s="6">
        <f t="shared" si="50"/>
        <v>-5606.42</v>
      </c>
      <c r="Y80" s="2"/>
      <c r="Z80" s="7">
        <f t="shared" si="51"/>
        <v>-0.29200104166666668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441</v>
      </c>
      <c r="Q81" s="2"/>
      <c r="R81" s="7">
        <f t="shared" si="48"/>
        <v>1.9218403396666718E-4</v>
      </c>
      <c r="S81" s="2"/>
      <c r="T81" s="6"/>
      <c r="U81" s="2"/>
      <c r="V81" s="7">
        <f t="shared" si="49"/>
        <v>0</v>
      </c>
      <c r="W81" s="2"/>
      <c r="X81" s="6">
        <f t="shared" si="50"/>
        <v>441</v>
      </c>
      <c r="Y81" s="2"/>
      <c r="Z81" s="7">
        <f t="shared" si="51"/>
        <v>0</v>
      </c>
    </row>
    <row r="82" spans="1:26" s="24" customFormat="1" hidden="1" outlineLevel="2" x14ac:dyDescent="0.25">
      <c r="A82" s="26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153.87</v>
      </c>
      <c r="Q82" s="2"/>
      <c r="R82" s="7">
        <f t="shared" si="48"/>
        <v>6.7055231987417423E-5</v>
      </c>
      <c r="S82" s="2"/>
      <c r="T82" s="6"/>
      <c r="U82" s="2"/>
      <c r="V82" s="7">
        <f t="shared" si="49"/>
        <v>0</v>
      </c>
      <c r="W82" s="2"/>
      <c r="X82" s="6">
        <f t="shared" si="50"/>
        <v>153.87</v>
      </c>
      <c r="Y82" s="2"/>
      <c r="Z82" s="7">
        <f t="shared" si="51"/>
        <v>0</v>
      </c>
    </row>
    <row r="83" spans="1:26" s="24" customFormat="1" hidden="1" outlineLevel="2" x14ac:dyDescent="0.25">
      <c r="A83" s="26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375</v>
      </c>
      <c r="I83" s="2"/>
      <c r="J83" s="7">
        <f t="shared" si="45"/>
        <v>1.0966547643069581E-3</v>
      </c>
      <c r="K83" s="2"/>
      <c r="L83" s="6">
        <f t="shared" si="46"/>
        <v>-375</v>
      </c>
      <c r="M83" s="2"/>
      <c r="N83" s="7">
        <f t="shared" si="47"/>
        <v>-1</v>
      </c>
      <c r="O83" s="11"/>
      <c r="P83" s="6">
        <v>1838.25</v>
      </c>
      <c r="Q83" s="2"/>
      <c r="R83" s="7">
        <f t="shared" si="48"/>
        <v>8.0109365178962803E-4</v>
      </c>
      <c r="S83" s="2"/>
      <c r="T83" s="6">
        <v>2250</v>
      </c>
      <c r="U83" s="2"/>
      <c r="V83" s="7">
        <f t="shared" si="49"/>
        <v>9.8543612994267393E-4</v>
      </c>
      <c r="W83" s="2"/>
      <c r="X83" s="6">
        <f t="shared" si="50"/>
        <v>-411.75</v>
      </c>
      <c r="Y83" s="2"/>
      <c r="Z83" s="7">
        <f t="shared" si="51"/>
        <v>-0.183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312.60000000000002</v>
      </c>
      <c r="E84" s="1"/>
      <c r="F84" s="5">
        <f t="shared" ref="F84:F89" si="52">IF(D$12=0,0,D84/D$12)</f>
        <v>1.050494296884609E-3</v>
      </c>
      <c r="G84" s="1"/>
      <c r="H84" s="1">
        <f>SUM(OSRRefH22_14x_0)</f>
        <v>275</v>
      </c>
      <c r="I84" s="1"/>
      <c r="J84" s="5">
        <f t="shared" ref="J84:J89" si="53">IF(H$12=0,0,H84/H$12)</f>
        <v>8.0421349382510257E-4</v>
      </c>
      <c r="K84" s="1"/>
      <c r="L84" s="1">
        <f t="shared" ref="L84:L89" si="54">+D84-H84</f>
        <v>37.600000000000023</v>
      </c>
      <c r="M84" s="1"/>
      <c r="N84" s="5">
        <f t="shared" ref="N84:N89" si="55">IF(H84=0,0,L84/H84)</f>
        <v>0.13672727272727281</v>
      </c>
      <c r="O84" s="13"/>
      <c r="P84" s="1">
        <f>SUM(OSRRefP22_14x_0)</f>
        <v>1967.05</v>
      </c>
      <c r="Q84" s="1"/>
      <c r="R84" s="5">
        <f t="shared" ref="R84:R89" si="56">IF(P$12=0,0,P84/P$12)</f>
        <v>8.5722359186878158E-4</v>
      </c>
      <c r="S84" s="1"/>
      <c r="T84" s="1">
        <f>SUM(OSRRefT22_14x_0)</f>
        <v>1650</v>
      </c>
      <c r="U84" s="1"/>
      <c r="V84" s="5">
        <f t="shared" ref="V84:V89" si="57">IF(T$12=0,0,T84/T$12)</f>
        <v>7.226531619579609E-4</v>
      </c>
      <c r="W84" s="1"/>
      <c r="X84" s="1">
        <f t="shared" ref="X84:X89" si="58">+P84-T84</f>
        <v>317.04999999999995</v>
      </c>
      <c r="Y84" s="1"/>
      <c r="Z84" s="5">
        <f t="shared" ref="Z84:Z89" si="59">IF(T84=0,0,X84/T84)</f>
        <v>0.19215151515151513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6">
        <v>312.60000000000002</v>
      </c>
      <c r="E85" s="2"/>
      <c r="F85" s="7">
        <f t="shared" si="52"/>
        <v>1.050494296884609E-3</v>
      </c>
      <c r="G85" s="2"/>
      <c r="H85" s="6">
        <v>275</v>
      </c>
      <c r="I85" s="2"/>
      <c r="J85" s="7">
        <f t="shared" si="53"/>
        <v>8.0421349382510257E-4</v>
      </c>
      <c r="K85" s="2"/>
      <c r="L85" s="6">
        <f t="shared" si="54"/>
        <v>37.600000000000023</v>
      </c>
      <c r="M85" s="2"/>
      <c r="N85" s="7">
        <f t="shared" si="55"/>
        <v>0.13672727272727281</v>
      </c>
      <c r="O85" s="11"/>
      <c r="P85" s="6">
        <v>1967.05</v>
      </c>
      <c r="Q85" s="2"/>
      <c r="R85" s="7">
        <f t="shared" si="56"/>
        <v>8.5722359186878158E-4</v>
      </c>
      <c r="S85" s="2"/>
      <c r="T85" s="6">
        <v>1650</v>
      </c>
      <c r="U85" s="2"/>
      <c r="V85" s="7">
        <f t="shared" si="57"/>
        <v>7.226531619579609E-4</v>
      </c>
      <c r="W85" s="2"/>
      <c r="X85" s="6">
        <f t="shared" si="58"/>
        <v>317.04999999999995</v>
      </c>
      <c r="Y85" s="2"/>
      <c r="Z85" s="7">
        <f t="shared" si="59"/>
        <v>0.19215151515151513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-125</v>
      </c>
      <c r="E86" s="1"/>
      <c r="F86" s="5">
        <f t="shared" si="52"/>
        <v>-4.2006329849832407E-4</v>
      </c>
      <c r="G86" s="1"/>
      <c r="H86" s="1">
        <f>SUM(OSRRefH22_15x_0)</f>
        <v>700</v>
      </c>
      <c r="I86" s="1"/>
      <c r="J86" s="5">
        <f t="shared" si="53"/>
        <v>2.0470888933729883E-3</v>
      </c>
      <c r="K86" s="1"/>
      <c r="L86" s="1">
        <f t="shared" si="54"/>
        <v>-825</v>
      </c>
      <c r="M86" s="1"/>
      <c r="N86" s="5">
        <f t="shared" si="55"/>
        <v>-1.1785714285714286</v>
      </c>
      <c r="O86" s="13"/>
      <c r="P86" s="1">
        <f>SUM(OSRRefP22_15x_0)</f>
        <v>638</v>
      </c>
      <c r="Q86" s="1"/>
      <c r="R86" s="5">
        <f t="shared" si="56"/>
        <v>2.7803495163431673E-4</v>
      </c>
      <c r="S86" s="1"/>
      <c r="T86" s="1">
        <f>SUM(OSRRefT22_15x_0)</f>
        <v>4200</v>
      </c>
      <c r="U86" s="1"/>
      <c r="V86" s="5">
        <f t="shared" si="57"/>
        <v>1.8394807758929912E-3</v>
      </c>
      <c r="W86" s="1"/>
      <c r="X86" s="1">
        <f t="shared" si="58"/>
        <v>-3562</v>
      </c>
      <c r="Y86" s="1"/>
      <c r="Z86" s="5">
        <f t="shared" si="59"/>
        <v>-0.84809523809523812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6">
        <v>-125</v>
      </c>
      <c r="E87" s="2"/>
      <c r="F87" s="7">
        <f t="shared" si="52"/>
        <v>-4.2006329849832407E-4</v>
      </c>
      <c r="G87" s="2"/>
      <c r="H87" s="6">
        <v>700</v>
      </c>
      <c r="I87" s="2"/>
      <c r="J87" s="7">
        <f t="shared" si="53"/>
        <v>2.0470888933729883E-3</v>
      </c>
      <c r="K87" s="2"/>
      <c r="L87" s="6">
        <f t="shared" si="54"/>
        <v>-825</v>
      </c>
      <c r="M87" s="2"/>
      <c r="N87" s="7">
        <f t="shared" si="55"/>
        <v>-1.1785714285714286</v>
      </c>
      <c r="O87" s="11"/>
      <c r="P87" s="6">
        <v>638</v>
      </c>
      <c r="Q87" s="2"/>
      <c r="R87" s="7">
        <f t="shared" si="56"/>
        <v>2.7803495163431673E-4</v>
      </c>
      <c r="S87" s="2"/>
      <c r="T87" s="6">
        <v>4200</v>
      </c>
      <c r="U87" s="2"/>
      <c r="V87" s="7">
        <f t="shared" si="57"/>
        <v>1.8394807758929912E-3</v>
      </c>
      <c r="W87" s="2"/>
      <c r="X87" s="6">
        <f t="shared" si="58"/>
        <v>-3562</v>
      </c>
      <c r="Y87" s="2"/>
      <c r="Z87" s="7">
        <f t="shared" si="59"/>
        <v>-0.84809523809523812</v>
      </c>
    </row>
    <row r="88" spans="1:26" s="25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-267.27999999999997</v>
      </c>
      <c r="E88" s="1"/>
      <c r="F88" s="5">
        <f t="shared" si="52"/>
        <v>-8.9819614738105645E-4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-267.27999999999997</v>
      </c>
      <c r="M88" s="1"/>
      <c r="N88" s="5">
        <f t="shared" si="55"/>
        <v>0</v>
      </c>
      <c r="O88" s="13"/>
      <c r="P88" s="1">
        <f>SUM(OSRRefP22_16x_0)</f>
        <v>59.14</v>
      </c>
      <c r="Q88" s="1"/>
      <c r="R88" s="5">
        <f t="shared" si="56"/>
        <v>2.5772706958704529E-5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59.14</v>
      </c>
      <c r="Y88" s="1"/>
      <c r="Z88" s="5">
        <f t="shared" si="59"/>
        <v>0</v>
      </c>
    </row>
    <row r="89" spans="1:26" s="24" customFormat="1" hidden="1" outlineLevel="2" x14ac:dyDescent="0.25">
      <c r="A89" s="26"/>
      <c r="B89" s="11" t="str">
        <f>CONCATENATE("          ", "6292", " - ", "TRAVEL/CONFERENCE")</f>
        <v xml:space="preserve">          6292 - TRAVEL/CONFERENCE</v>
      </c>
      <c r="C89" s="11"/>
      <c r="D89" s="6">
        <v>-267.27999999999997</v>
      </c>
      <c r="E89" s="2"/>
      <c r="F89" s="7">
        <f t="shared" si="52"/>
        <v>-8.9819614738105645E-4</v>
      </c>
      <c r="G89" s="2"/>
      <c r="H89" s="6"/>
      <c r="I89" s="2"/>
      <c r="J89" s="7">
        <f t="shared" si="53"/>
        <v>0</v>
      </c>
      <c r="K89" s="2"/>
      <c r="L89" s="6">
        <f t="shared" si="54"/>
        <v>-267.27999999999997</v>
      </c>
      <c r="M89" s="2"/>
      <c r="N89" s="7">
        <f t="shared" si="55"/>
        <v>0</v>
      </c>
      <c r="O89" s="11"/>
      <c r="P89" s="6">
        <v>59.14</v>
      </c>
      <c r="Q89" s="2"/>
      <c r="R89" s="7">
        <f t="shared" si="56"/>
        <v>2.5772706958704529E-5</v>
      </c>
      <c r="S89" s="2"/>
      <c r="T89" s="6"/>
      <c r="U89" s="2"/>
      <c r="V89" s="7">
        <f t="shared" si="57"/>
        <v>0</v>
      </c>
      <c r="W89" s="2"/>
      <c r="X89" s="6">
        <f t="shared" si="58"/>
        <v>59.14</v>
      </c>
      <c r="Y89" s="2"/>
      <c r="Z89" s="7">
        <f t="shared" si="59"/>
        <v>0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2">
        <f>+D23-D25+D91</f>
        <v>88115.439999999944</v>
      </c>
      <c r="E93" s="14"/>
      <c r="F93" s="20">
        <f>IF(D$12=0,0,D93/D$12)</f>
        <v>0.29611249900024916</v>
      </c>
      <c r="G93" s="14"/>
      <c r="H93" s="22">
        <f>+H23-H25+H91</f>
        <v>95385.69231867537</v>
      </c>
      <c r="I93" s="14"/>
      <c r="J93" s="20">
        <f>IF(H$12=0,0,H93/H$12)</f>
        <v>0.27894713047464786</v>
      </c>
      <c r="K93" s="16"/>
      <c r="L93" s="22">
        <f>+D93-H93</f>
        <v>-7270.2523186754261</v>
      </c>
      <c r="M93" s="16"/>
      <c r="N93" s="20">
        <f>IF(H93=0,0,L93/H93)</f>
        <v>-7.6219526660100553E-2</v>
      </c>
      <c r="O93" s="28"/>
      <c r="P93" s="22">
        <f>+P23-P25+P91</f>
        <v>652023.57999999961</v>
      </c>
      <c r="Q93" s="14"/>
      <c r="R93" s="20">
        <f>IF(P$12=0,0,P93/P$12)</f>
        <v>0.2841463080403353</v>
      </c>
      <c r="S93" s="14"/>
      <c r="T93" s="22">
        <f>+T23-T25+T91</f>
        <v>548981.16061693989</v>
      </c>
      <c r="U93" s="14"/>
      <c r="V93" s="20">
        <f>IF(T$12=0,0,T93/T$12)</f>
        <v>0.24043816459101988</v>
      </c>
      <c r="W93" s="16"/>
      <c r="X93" s="22">
        <f>+P93-T93</f>
        <v>103042.41938305972</v>
      </c>
      <c r="Y93" s="16"/>
      <c r="Z93" s="20">
        <f>IF(T93=0,0,X93/T93)</f>
        <v>0.18769755098200749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36363.120000000003</v>
      </c>
      <c r="E95" s="4"/>
      <c r="F95" s="12">
        <f>IF(D$12=0,0,D95/D$12)</f>
        <v>0.12219849704712304</v>
      </c>
      <c r="G95" s="4"/>
      <c r="H95" s="4">
        <v>48091</v>
      </c>
      <c r="I95" s="4"/>
      <c r="J95" s="12">
        <f>IF(H$12=0,0,H95/H$12)</f>
        <v>0.14063793138742911</v>
      </c>
      <c r="K95" s="4"/>
      <c r="L95" s="4">
        <f>+D95-H95</f>
        <v>-11727.879999999997</v>
      </c>
      <c r="M95" s="4"/>
      <c r="N95" s="12">
        <f>IF(H95=0,0,L95/H95)</f>
        <v>-0.2438684993034039</v>
      </c>
      <c r="O95" s="10"/>
      <c r="P95" s="4">
        <v>247842.63</v>
      </c>
      <c r="Q95" s="4"/>
      <c r="R95" s="12">
        <f>IF(P$12=0,0,P95/P$12)</f>
        <v>0.10800770163788692</v>
      </c>
      <c r="S95" s="4"/>
      <c r="T95" s="4">
        <v>294117</v>
      </c>
      <c r="U95" s="4"/>
      <c r="V95" s="12">
        <f>IF(T$12=0,0,T95/T$12)</f>
        <v>0.12881489699126641</v>
      </c>
      <c r="W95" s="4"/>
      <c r="X95" s="4">
        <f>+P95-T95</f>
        <v>-46274.369999999995</v>
      </c>
      <c r="Y95" s="4"/>
      <c r="Z95" s="12">
        <f>IF(T95=0,0,X95/T95)</f>
        <v>-0.15733320413304908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1">
        <f>+D93-D95</f>
        <v>51752.319999999942</v>
      </c>
      <c r="E97" s="14"/>
      <c r="F97" s="32">
        <f>IF(D$12=0,0,D97/D$12)</f>
        <v>0.17391400195312612</v>
      </c>
      <c r="G97" s="14"/>
      <c r="H97" s="31">
        <f>+H93-H95</f>
        <v>47294.69231867537</v>
      </c>
      <c r="I97" s="14"/>
      <c r="J97" s="32">
        <f>IF(H$12=0,0,H97/H$12)</f>
        <v>0.13830919908721875</v>
      </c>
      <c r="K97" s="16"/>
      <c r="L97" s="31">
        <f>D97-H97</f>
        <v>4457.6276813245713</v>
      </c>
      <c r="M97" s="16"/>
      <c r="N97" s="32">
        <f>IF(H97=0,0,L97/H97)</f>
        <v>9.4252176360271556E-2</v>
      </c>
      <c r="O97" s="28"/>
      <c r="P97" s="31">
        <f>+P93-P95</f>
        <v>404180.9499999996</v>
      </c>
      <c r="Q97" s="14"/>
      <c r="R97" s="32">
        <f>IF(P$12=0,0,P97/P$12)</f>
        <v>0.17613860640244838</v>
      </c>
      <c r="S97" s="14"/>
      <c r="T97" s="31">
        <f>+T93-T95</f>
        <v>254864.16061693989</v>
      </c>
      <c r="U97" s="14"/>
      <c r="V97" s="32">
        <f>IF(T$12=0,0,T97/T$12)</f>
        <v>0.11162326759975345</v>
      </c>
      <c r="W97" s="16"/>
      <c r="X97" s="31">
        <f>P97-T97</f>
        <v>149316.78938305972</v>
      </c>
      <c r="Y97" s="16"/>
      <c r="Z97" s="32">
        <f>IF(T97=0,0,X97/T97)</f>
        <v>0.58586813077842836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5">
        <f>SUM(D97:D99)</f>
        <v>51752.319999999942</v>
      </c>
      <c r="E100" s="14"/>
      <c r="F100" s="34">
        <f>IF(D$12=0,0,D100/D$12)</f>
        <v>0.17391400195312612</v>
      </c>
      <c r="G100" s="14"/>
      <c r="H100" s="35">
        <f>SUM(H97:H99)</f>
        <v>47294.69231867537</v>
      </c>
      <c r="I100" s="14"/>
      <c r="J100" s="34">
        <f>IF(H$12=0,0,H100/H$12)</f>
        <v>0.13830919908721875</v>
      </c>
      <c r="K100" s="16"/>
      <c r="L100" s="35">
        <f>+D100-H100</f>
        <v>4457.6276813245713</v>
      </c>
      <c r="M100" s="16"/>
      <c r="N100" s="34">
        <f>IF(H100=0,0,L100/H100)</f>
        <v>9.4252176360271556E-2</v>
      </c>
      <c r="O100" s="28"/>
      <c r="P100" s="35">
        <f>SUM(P97:P99)</f>
        <v>404180.9499999996</v>
      </c>
      <c r="Q100" s="14"/>
      <c r="R100" s="34">
        <f>IF(P$12=0,0,P100/P$12)</f>
        <v>0.17613860640244838</v>
      </c>
      <c r="S100" s="14"/>
      <c r="T100" s="35">
        <f>SUM(T97:T99)</f>
        <v>254864.16061693989</v>
      </c>
      <c r="U100" s="14"/>
      <c r="V100" s="34">
        <f>IF(T$12=0,0,T100/T$12)</f>
        <v>0.11162326759975345</v>
      </c>
      <c r="W100" s="16"/>
      <c r="X100" s="35">
        <f>+P100-T100</f>
        <v>149316.78938305972</v>
      </c>
      <c r="Y100" s="16"/>
      <c r="Z100" s="34">
        <f>IF(T100=0,0,X100/T100)</f>
        <v>0.58586813077842836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3">
        <v>43847.446418136577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5" t="s">
        <v>314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6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189901.72</v>
      </c>
      <c r="E12" s="4"/>
      <c r="F12" s="12"/>
      <c r="G12" s="4"/>
      <c r="H12" s="4">
        <f>SUM(OSRRefH13x_0)</f>
        <v>190927</v>
      </c>
      <c r="I12" s="4"/>
      <c r="J12" s="12"/>
      <c r="K12" s="4"/>
      <c r="L12" s="4">
        <f t="shared" ref="L12:L16" si="0">+D12-H12</f>
        <v>-1025.2799999999988</v>
      </c>
      <c r="M12" s="4"/>
      <c r="N12" s="12">
        <f t="shared" ref="N12:N16" si="1">IF(H12=0,0,L12/H12)</f>
        <v>-5.3700105275838348E-3</v>
      </c>
      <c r="O12" s="10"/>
      <c r="P12" s="4">
        <f>SUM(OSRRefP13x_0)</f>
        <v>1298877.9000000001</v>
      </c>
      <c r="Q12" s="4"/>
      <c r="R12" s="12"/>
      <c r="S12" s="4"/>
      <c r="T12" s="4">
        <f>SUM(OSRRefT13x_0)</f>
        <v>1245641</v>
      </c>
      <c r="U12" s="4"/>
      <c r="V12" s="12"/>
      <c r="W12" s="4"/>
      <c r="X12" s="4">
        <f t="shared" ref="X12:X16" si="2">+P12-T12</f>
        <v>53236.90000000014</v>
      </c>
      <c r="Y12" s="4"/>
      <c r="Z12" s="12">
        <f t="shared" ref="Z12:Z16" si="3">IF(T12=0,0,X12/T12)</f>
        <v>4.2738557899105876E-2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-3.42</f>
        <v>-3.42</v>
      </c>
      <c r="E13" s="2"/>
      <c r="F13" s="19"/>
      <c r="G13" s="2"/>
      <c r="H13" s="2"/>
      <c r="I13" s="2"/>
      <c r="J13" s="19"/>
      <c r="K13" s="2"/>
      <c r="L13" s="2">
        <f t="shared" si="0"/>
        <v>-3.42</v>
      </c>
      <c r="M13" s="2"/>
      <c r="N13" s="19">
        <f t="shared" si="1"/>
        <v>0</v>
      </c>
      <c r="O13" s="11"/>
      <c r="P13" s="2">
        <f>--135.72</f>
        <v>135.72</v>
      </c>
      <c r="Q13" s="2"/>
      <c r="R13" s="19"/>
      <c r="S13" s="2"/>
      <c r="T13" s="2"/>
      <c r="U13" s="2"/>
      <c r="V13" s="19"/>
      <c r="W13" s="2"/>
      <c r="X13" s="2">
        <f t="shared" si="2"/>
        <v>135.72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190927</v>
      </c>
      <c r="I14" s="2"/>
      <c r="J14" s="19"/>
      <c r="K14" s="2"/>
      <c r="L14" s="2">
        <f t="shared" si="0"/>
        <v>-190927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1245641</v>
      </c>
      <c r="U14" s="2"/>
      <c r="V14" s="19"/>
      <c r="W14" s="2"/>
      <c r="X14" s="2">
        <f t="shared" si="2"/>
        <v>-1245641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--188547.92</f>
        <v>188547.92</v>
      </c>
      <c r="E15" s="2"/>
      <c r="F15" s="19"/>
      <c r="G15" s="2"/>
      <c r="H15" s="2"/>
      <c r="I15" s="2"/>
      <c r="J15" s="19"/>
      <c r="K15" s="2"/>
      <c r="L15" s="2">
        <f t="shared" si="0"/>
        <v>188547.92</v>
      </c>
      <c r="M15" s="2"/>
      <c r="N15" s="19">
        <f t="shared" si="1"/>
        <v>0</v>
      </c>
      <c r="O15" s="11"/>
      <c r="P15" s="2">
        <f>--1292449.62</f>
        <v>1292449.6200000001</v>
      </c>
      <c r="Q15" s="2"/>
      <c r="R15" s="19"/>
      <c r="S15" s="2"/>
      <c r="T15" s="2"/>
      <c r="U15" s="2"/>
      <c r="V15" s="19"/>
      <c r="W15" s="2"/>
      <c r="X15" s="2">
        <f t="shared" si="2"/>
        <v>1292449.6200000001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--1357.22</f>
        <v>1357.22</v>
      </c>
      <c r="E16" s="2"/>
      <c r="F16" s="19"/>
      <c r="G16" s="2"/>
      <c r="H16" s="2"/>
      <c r="I16" s="2"/>
      <c r="J16" s="19"/>
      <c r="K16" s="2"/>
      <c r="L16" s="2">
        <f t="shared" si="0"/>
        <v>1357.22</v>
      </c>
      <c r="M16" s="2"/>
      <c r="N16" s="19">
        <f t="shared" si="1"/>
        <v>0</v>
      </c>
      <c r="O16" s="11"/>
      <c r="P16" s="2">
        <f>--6292.56</f>
        <v>6292.56</v>
      </c>
      <c r="Q16" s="2"/>
      <c r="R16" s="19"/>
      <c r="S16" s="2"/>
      <c r="T16" s="2"/>
      <c r="U16" s="2"/>
      <c r="V16" s="19"/>
      <c r="W16" s="2"/>
      <c r="X16" s="2">
        <f t="shared" si="2"/>
        <v>6292.56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49979.53</v>
      </c>
      <c r="E18" s="4"/>
      <c r="F18" s="12">
        <f t="shared" ref="F18:F21" si="4">IF(D$12=0,0,D18/D$12)</f>
        <v>0.26318629446852826</v>
      </c>
      <c r="G18" s="4"/>
      <c r="H18" s="4">
        <f>SUM(OSRRefH16x_0)</f>
        <v>47029</v>
      </c>
      <c r="I18" s="4"/>
      <c r="J18" s="12">
        <f t="shared" ref="J18:J21" si="5">IF(H$12=0,0,H18/H$12)</f>
        <v>0.24631927385859517</v>
      </c>
      <c r="K18" s="4"/>
      <c r="L18" s="4">
        <f t="shared" ref="L18:L21" si="6">+D18-H18</f>
        <v>2950.5299999999988</v>
      </c>
      <c r="M18" s="4"/>
      <c r="N18" s="12">
        <f t="shared" ref="N18:N21" si="7">IF(H18=0,0,L18/H18)</f>
        <v>6.2738523038975924E-2</v>
      </c>
      <c r="O18" s="10"/>
      <c r="P18" s="4">
        <f>SUM(OSRRefP16x_0)</f>
        <v>297669.88</v>
      </c>
      <c r="Q18" s="4"/>
      <c r="R18" s="12">
        <f t="shared" ref="R18:R21" si="8">IF(P$12=0,0,P18/P$12)</f>
        <v>0.22917464374441968</v>
      </c>
      <c r="S18" s="4"/>
      <c r="T18" s="4">
        <f>SUM(OSRRefT16x_0)</f>
        <v>306958</v>
      </c>
      <c r="U18" s="4"/>
      <c r="V18" s="12">
        <f t="shared" ref="V18:V21" si="9">IF(T$12=0,0,T18/T$12)</f>
        <v>0.24642573582597233</v>
      </c>
      <c r="W18" s="4"/>
      <c r="X18" s="4">
        <f t="shared" ref="X18:X21" si="10">+P18-T18</f>
        <v>-9288.1199999999953</v>
      </c>
      <c r="Y18" s="4"/>
      <c r="Z18" s="12">
        <f t="shared" ref="Z18:Z21" si="11">IF(T18=0,0,X18/T18)</f>
        <v>-3.0258602154040602E-2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47029</v>
      </c>
      <c r="I19" s="2"/>
      <c r="J19" s="19">
        <f t="shared" si="5"/>
        <v>0.24631927385859517</v>
      </c>
      <c r="K19" s="2"/>
      <c r="L19" s="2">
        <f t="shared" si="6"/>
        <v>-47029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306958</v>
      </c>
      <c r="U19" s="2"/>
      <c r="V19" s="19">
        <f t="shared" si="9"/>
        <v>0.24642573582597233</v>
      </c>
      <c r="W19" s="2"/>
      <c r="X19" s="2">
        <f t="shared" si="10"/>
        <v>-306958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48021.53</v>
      </c>
      <c r="E20" s="2"/>
      <c r="F20" s="19">
        <f t="shared" si="4"/>
        <v>0.25287569801895421</v>
      </c>
      <c r="G20" s="2"/>
      <c r="H20" s="2"/>
      <c r="I20" s="2"/>
      <c r="J20" s="19">
        <f t="shared" si="5"/>
        <v>0</v>
      </c>
      <c r="K20" s="2"/>
      <c r="L20" s="2">
        <f t="shared" si="6"/>
        <v>48021.53</v>
      </c>
      <c r="M20" s="2"/>
      <c r="N20" s="19">
        <f t="shared" si="7"/>
        <v>0</v>
      </c>
      <c r="O20" s="11"/>
      <c r="P20" s="2">
        <v>298551.88</v>
      </c>
      <c r="Q20" s="2"/>
      <c r="R20" s="19">
        <f t="shared" si="8"/>
        <v>0.22985369140548159</v>
      </c>
      <c r="S20" s="2"/>
      <c r="T20" s="2"/>
      <c r="U20" s="2"/>
      <c r="V20" s="19">
        <f t="shared" si="9"/>
        <v>0</v>
      </c>
      <c r="W20" s="2"/>
      <c r="X20" s="2">
        <f t="shared" si="10"/>
        <v>298551.88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1958</v>
      </c>
      <c r="E21" s="2"/>
      <c r="F21" s="19">
        <f t="shared" si="4"/>
        <v>1.0310596449574022E-2</v>
      </c>
      <c r="G21" s="2"/>
      <c r="H21" s="2"/>
      <c r="I21" s="2"/>
      <c r="J21" s="19">
        <f t="shared" si="5"/>
        <v>0</v>
      </c>
      <c r="K21" s="2"/>
      <c r="L21" s="2">
        <f t="shared" si="6"/>
        <v>1958</v>
      </c>
      <c r="M21" s="2"/>
      <c r="N21" s="19">
        <f t="shared" si="7"/>
        <v>0</v>
      </c>
      <c r="O21" s="11"/>
      <c r="P21" s="2">
        <v>-882</v>
      </c>
      <c r="Q21" s="2"/>
      <c r="R21" s="19">
        <f t="shared" si="8"/>
        <v>-6.7904766106190574E-4</v>
      </c>
      <c r="S21" s="2"/>
      <c r="T21" s="2"/>
      <c r="U21" s="2"/>
      <c r="V21" s="19">
        <f t="shared" si="9"/>
        <v>0</v>
      </c>
      <c r="W21" s="2"/>
      <c r="X21" s="2">
        <f t="shared" si="10"/>
        <v>-882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139922.19</v>
      </c>
      <c r="E23" s="14"/>
      <c r="F23" s="20">
        <f>IF(D$12=0,0,D23/D$12)</f>
        <v>0.73681370553147174</v>
      </c>
      <c r="G23" s="14"/>
      <c r="H23" s="22">
        <f>H12-H18</f>
        <v>143898</v>
      </c>
      <c r="I23" s="14"/>
      <c r="J23" s="20">
        <f>IF(H$12=0,0,H23/H$12)</f>
        <v>0.7536807261414048</v>
      </c>
      <c r="K23" s="16"/>
      <c r="L23" s="22">
        <f>+D23-H23</f>
        <v>-3975.8099999999977</v>
      </c>
      <c r="M23" s="16"/>
      <c r="N23" s="20">
        <f>IF(H23=0,0,L23/H23)</f>
        <v>-2.7629362465079414E-2</v>
      </c>
      <c r="O23" s="28"/>
      <c r="P23" s="22">
        <f>P12-P18</f>
        <v>1001208.0200000001</v>
      </c>
      <c r="Q23" s="14"/>
      <c r="R23" s="20">
        <f>IF(P$12=0,0,P23/P$12)</f>
        <v>0.77082535625558035</v>
      </c>
      <c r="S23" s="14"/>
      <c r="T23" s="22">
        <f>T12-T18</f>
        <v>938683</v>
      </c>
      <c r="U23" s="14"/>
      <c r="V23" s="20">
        <f>IF(T$12=0,0,T23/T$12)</f>
        <v>0.75357426417402762</v>
      </c>
      <c r="W23" s="16"/>
      <c r="X23" s="22">
        <f>+P23-T23</f>
        <v>62525.020000000135</v>
      </c>
      <c r="Y23" s="16"/>
      <c r="Z23" s="20">
        <f>IF(T23=0,0,X23/T23)</f>
        <v>6.6609302608015841E-2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110386.48</v>
      </c>
      <c r="E25" s="21"/>
      <c r="F25" s="30">
        <f t="shared" ref="F25:F36" si="12">IF(D$12=0,0,D25/D$12)</f>
        <v>0.58128214952450141</v>
      </c>
      <c r="G25" s="21"/>
      <c r="H25" s="21">
        <f>SUM(OSRRefH22x_0)</f>
        <v>91382.781179472295</v>
      </c>
      <c r="I25" s="21"/>
      <c r="J25" s="30">
        <f t="shared" ref="J25:J36" si="13">IF(H$12=0,0,H25/H$12)</f>
        <v>0.47862681118685307</v>
      </c>
      <c r="K25" s="4"/>
      <c r="L25" s="21">
        <f t="shared" ref="L25:L36" si="14">+D25-H25</f>
        <v>19003.698820527701</v>
      </c>
      <c r="M25" s="4"/>
      <c r="N25" s="30">
        <f t="shared" ref="N25:N36" si="15">IF(H25=0,0,L25/H25)</f>
        <v>0.20795710718417687</v>
      </c>
      <c r="O25" s="10"/>
      <c r="P25" s="21">
        <f>SUM(OSRRefP22x_0)</f>
        <v>746495.72</v>
      </c>
      <c r="Q25" s="21"/>
      <c r="R25" s="30">
        <f t="shared" ref="R25:R36" si="16">IF(P$12=0,0,P25/P$12)</f>
        <v>0.57472355176725998</v>
      </c>
      <c r="S25" s="21"/>
      <c r="T25" s="21">
        <f>SUM(OSRRefT22x_0)</f>
        <v>587854.88353031373</v>
      </c>
      <c r="U25" s="21"/>
      <c r="V25" s="30">
        <f t="shared" ref="V25:V36" si="17">IF(T$12=0,0,T25/T$12)</f>
        <v>0.47192961979439801</v>
      </c>
      <c r="W25" s="4"/>
      <c r="X25" s="21">
        <f t="shared" ref="X25:X36" si="18">+P25-T25</f>
        <v>158640.83646968624</v>
      </c>
      <c r="Y25" s="4"/>
      <c r="Z25" s="30">
        <f t="shared" ref="Z25:Z36" si="19">IF(T25=0,0,X25/T25)</f>
        <v>0.26986394246992024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28392.95</v>
      </c>
      <c r="E26" s="1"/>
      <c r="F26" s="5">
        <f t="shared" si="12"/>
        <v>0.14951391698821895</v>
      </c>
      <c r="G26" s="1"/>
      <c r="H26" s="1">
        <f>SUM(OSRRefH22_0x_0)</f>
        <v>18176.902436395376</v>
      </c>
      <c r="I26" s="1"/>
      <c r="J26" s="5">
        <f t="shared" si="13"/>
        <v>9.5203415108367995E-2</v>
      </c>
      <c r="K26" s="1"/>
      <c r="L26" s="1">
        <f t="shared" si="14"/>
        <v>10216.047563604625</v>
      </c>
      <c r="M26" s="1"/>
      <c r="N26" s="5">
        <f t="shared" si="15"/>
        <v>0.56203457103610599</v>
      </c>
      <c r="O26" s="13"/>
      <c r="P26" s="1">
        <f>SUM(OSRRefP22_0x_0)</f>
        <v>160620.49000000002</v>
      </c>
      <c r="Q26" s="1"/>
      <c r="R26" s="5">
        <f t="shared" si="16"/>
        <v>0.12366096151147078</v>
      </c>
      <c r="S26" s="1"/>
      <c r="T26" s="1">
        <f>SUM(OSRRefT22_0x_0)</f>
        <v>112003.3662063138</v>
      </c>
      <c r="U26" s="1"/>
      <c r="V26" s="5">
        <f t="shared" si="17"/>
        <v>8.9916248908243873E-2</v>
      </c>
      <c r="W26" s="1"/>
      <c r="X26" s="1">
        <f t="shared" si="18"/>
        <v>48617.123793686216</v>
      </c>
      <c r="Y26" s="1"/>
      <c r="Z26" s="5">
        <f t="shared" si="19"/>
        <v>0.43406841633787963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3381.32</v>
      </c>
      <c r="E27" s="2"/>
      <c r="F27" s="7">
        <f t="shared" si="12"/>
        <v>1.7805631249680098E-2</v>
      </c>
      <c r="G27" s="2"/>
      <c r="H27" s="6">
        <v>3332.1888328569203</v>
      </c>
      <c r="I27" s="2"/>
      <c r="J27" s="7">
        <f t="shared" si="13"/>
        <v>1.7452685229731365E-2</v>
      </c>
      <c r="K27" s="2"/>
      <c r="L27" s="6">
        <f t="shared" si="14"/>
        <v>49.131167143079892</v>
      </c>
      <c r="M27" s="2"/>
      <c r="N27" s="7">
        <f t="shared" si="15"/>
        <v>1.4744412639110936E-2</v>
      </c>
      <c r="O27" s="11"/>
      <c r="P27" s="6">
        <v>23019.99</v>
      </c>
      <c r="Q27" s="2"/>
      <c r="R27" s="7">
        <f t="shared" si="16"/>
        <v>1.7722982275701203E-2</v>
      </c>
      <c r="S27" s="2"/>
      <c r="T27" s="6">
        <v>21094.855933679981</v>
      </c>
      <c r="U27" s="2"/>
      <c r="V27" s="7">
        <f t="shared" si="17"/>
        <v>1.6934940270655816E-2</v>
      </c>
      <c r="W27" s="2"/>
      <c r="X27" s="6">
        <f t="shared" si="18"/>
        <v>1925.1340663200208</v>
      </c>
      <c r="Y27" s="2"/>
      <c r="Z27" s="7">
        <f t="shared" si="19"/>
        <v>9.126083024090996E-2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3596.13</v>
      </c>
      <c r="E28" s="2"/>
      <c r="F28" s="7">
        <f t="shared" si="12"/>
        <v>1.8936795306540667E-2</v>
      </c>
      <c r="G28" s="2"/>
      <c r="H28" s="6">
        <v>1827.9360193846201</v>
      </c>
      <c r="I28" s="2"/>
      <c r="J28" s="7">
        <f t="shared" si="13"/>
        <v>9.5740048258476807E-3</v>
      </c>
      <c r="K28" s="2"/>
      <c r="L28" s="6">
        <f t="shared" si="14"/>
        <v>1768.19398061538</v>
      </c>
      <c r="M28" s="2"/>
      <c r="N28" s="7">
        <f t="shared" si="15"/>
        <v>0.96731721562697126</v>
      </c>
      <c r="O28" s="11"/>
      <c r="P28" s="6">
        <v>12791.97</v>
      </c>
      <c r="Q28" s="2"/>
      <c r="R28" s="7">
        <f t="shared" si="16"/>
        <v>9.8484776744603916E-3</v>
      </c>
      <c r="S28" s="2"/>
      <c r="T28" s="6">
        <v>11832.42368016002</v>
      </c>
      <c r="U28" s="2"/>
      <c r="V28" s="7">
        <f t="shared" si="17"/>
        <v>9.4990640803891482E-3</v>
      </c>
      <c r="W28" s="2"/>
      <c r="X28" s="6">
        <f t="shared" si="18"/>
        <v>959.54631983997933</v>
      </c>
      <c r="Y28" s="2"/>
      <c r="Z28" s="7">
        <f t="shared" si="19"/>
        <v>8.1094655311311714E-2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14845.84</v>
      </c>
      <c r="E29" s="2"/>
      <c r="F29" s="7">
        <f t="shared" si="12"/>
        <v>7.8176437791084782E-2</v>
      </c>
      <c r="G29" s="2"/>
      <c r="H29" s="6">
        <v>10500.692307692299</v>
      </c>
      <c r="I29" s="2"/>
      <c r="J29" s="7">
        <f t="shared" si="13"/>
        <v>5.4998466993627405E-2</v>
      </c>
      <c r="K29" s="2"/>
      <c r="L29" s="6">
        <f t="shared" si="14"/>
        <v>4345.1476923077007</v>
      </c>
      <c r="M29" s="2"/>
      <c r="N29" s="7">
        <f t="shared" si="15"/>
        <v>0.41379630647063675</v>
      </c>
      <c r="O29" s="11"/>
      <c r="P29" s="6">
        <v>81979.090000000011</v>
      </c>
      <c r="Q29" s="2"/>
      <c r="R29" s="7">
        <f t="shared" si="16"/>
        <v>6.3115316689890566E-2</v>
      </c>
      <c r="S29" s="2"/>
      <c r="T29" s="6">
        <v>63004.153846153808</v>
      </c>
      <c r="U29" s="2"/>
      <c r="V29" s="7">
        <f t="shared" si="17"/>
        <v>5.057970462288397E-2</v>
      </c>
      <c r="W29" s="2"/>
      <c r="X29" s="6">
        <f t="shared" si="18"/>
        <v>18974.936153846204</v>
      </c>
      <c r="Y29" s="2"/>
      <c r="Z29" s="7">
        <f t="shared" si="19"/>
        <v>0.30116960542284243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240.99</v>
      </c>
      <c r="E30" s="2"/>
      <c r="F30" s="7">
        <f t="shared" si="12"/>
        <v>1.2690248408492562E-3</v>
      </c>
      <c r="G30" s="2"/>
      <c r="H30" s="6">
        <v>122.49055799999999</v>
      </c>
      <c r="I30" s="2"/>
      <c r="J30" s="7">
        <f t="shared" si="13"/>
        <v>6.4155702441247178E-4</v>
      </c>
      <c r="K30" s="2"/>
      <c r="L30" s="6">
        <f t="shared" si="14"/>
        <v>118.49944200000002</v>
      </c>
      <c r="M30" s="2"/>
      <c r="N30" s="7">
        <f t="shared" si="15"/>
        <v>0.96741694980277604</v>
      </c>
      <c r="O30" s="11"/>
      <c r="P30" s="6">
        <v>1100.3800000000001</v>
      </c>
      <c r="Q30" s="2"/>
      <c r="R30" s="7">
        <f t="shared" si="16"/>
        <v>8.471773982758503E-4</v>
      </c>
      <c r="S30" s="2"/>
      <c r="T30" s="6">
        <v>792.89437032000001</v>
      </c>
      <c r="U30" s="2"/>
      <c r="V30" s="7">
        <f t="shared" si="17"/>
        <v>6.3653522188174608E-4</v>
      </c>
      <c r="W30" s="2"/>
      <c r="X30" s="6">
        <f t="shared" si="18"/>
        <v>307.4856296800001</v>
      </c>
      <c r="Y30" s="2"/>
      <c r="Z30" s="7">
        <f t="shared" si="19"/>
        <v>0.38780150444996048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959.64</v>
      </c>
      <c r="E31" s="2"/>
      <c r="F31" s="7">
        <f t="shared" si="12"/>
        <v>5.0533507542743685E-3</v>
      </c>
      <c r="G31" s="2"/>
      <c r="H31" s="6">
        <v>403.720384615385</v>
      </c>
      <c r="I31" s="2"/>
      <c r="J31" s="7">
        <f t="shared" si="13"/>
        <v>2.1145274613615936E-3</v>
      </c>
      <c r="K31" s="2"/>
      <c r="L31" s="6">
        <f t="shared" si="14"/>
        <v>555.91961538461499</v>
      </c>
      <c r="M31" s="2"/>
      <c r="N31" s="7">
        <f t="shared" si="15"/>
        <v>1.3769916916982694</v>
      </c>
      <c r="O31" s="11"/>
      <c r="P31" s="6">
        <v>6883.88</v>
      </c>
      <c r="Q31" s="2"/>
      <c r="R31" s="7">
        <f t="shared" si="16"/>
        <v>5.2998669081982218E-3</v>
      </c>
      <c r="S31" s="2"/>
      <c r="T31" s="6">
        <v>2624.1825000000022</v>
      </c>
      <c r="U31" s="2"/>
      <c r="V31" s="7">
        <f t="shared" si="17"/>
        <v>2.1066924579393278E-3</v>
      </c>
      <c r="W31" s="2"/>
      <c r="X31" s="6">
        <f t="shared" si="18"/>
        <v>4259.6974999999984</v>
      </c>
      <c r="Y31" s="2"/>
      <c r="Z31" s="7">
        <f t="shared" si="19"/>
        <v>1.6232474303902242</v>
      </c>
    </row>
    <row r="32" spans="1:26" s="24" customFormat="1" hidden="1" outlineLevel="2" x14ac:dyDescent="0.25">
      <c r="A32" s="26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535.86</v>
      </c>
      <c r="E33" s="2"/>
      <c r="F33" s="7">
        <f t="shared" si="12"/>
        <v>2.8217753899227455E-3</v>
      </c>
      <c r="G33" s="2"/>
      <c r="H33" s="6"/>
      <c r="I33" s="2"/>
      <c r="J33" s="7">
        <f t="shared" si="13"/>
        <v>0</v>
      </c>
      <c r="K33" s="2"/>
      <c r="L33" s="6">
        <f t="shared" si="14"/>
        <v>535.86</v>
      </c>
      <c r="M33" s="2"/>
      <c r="N33" s="7">
        <f t="shared" si="15"/>
        <v>0</v>
      </c>
      <c r="O33" s="11"/>
      <c r="P33" s="6">
        <v>2907.37</v>
      </c>
      <c r="Q33" s="2"/>
      <c r="R33" s="7">
        <f t="shared" si="16"/>
        <v>2.2383705196616244E-3</v>
      </c>
      <c r="S33" s="2"/>
      <c r="T33" s="6"/>
      <c r="U33" s="2"/>
      <c r="V33" s="7">
        <f t="shared" si="17"/>
        <v>0</v>
      </c>
      <c r="W33" s="2"/>
      <c r="X33" s="6">
        <f t="shared" si="18"/>
        <v>2907.37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2150.6</v>
      </c>
      <c r="E34" s="2"/>
      <c r="F34" s="7">
        <f t="shared" si="12"/>
        <v>1.1324805272959086E-2</v>
      </c>
      <c r="G34" s="2"/>
      <c r="H34" s="6">
        <v>623.46597230769203</v>
      </c>
      <c r="I34" s="2"/>
      <c r="J34" s="7">
        <f t="shared" si="13"/>
        <v>3.2654678086791915E-3</v>
      </c>
      <c r="K34" s="2"/>
      <c r="L34" s="6">
        <f t="shared" si="14"/>
        <v>1527.1340276923079</v>
      </c>
      <c r="M34" s="2"/>
      <c r="N34" s="7">
        <f t="shared" si="15"/>
        <v>2.4494264250537783</v>
      </c>
      <c r="O34" s="11"/>
      <c r="P34" s="6">
        <v>14204.39</v>
      </c>
      <c r="Q34" s="2"/>
      <c r="R34" s="7">
        <f t="shared" si="16"/>
        <v>1.0935893204434379E-2</v>
      </c>
      <c r="S34" s="2"/>
      <c r="T34" s="6">
        <v>3811.2121799999982</v>
      </c>
      <c r="U34" s="2"/>
      <c r="V34" s="7">
        <f t="shared" si="17"/>
        <v>3.0596393182305321E-3</v>
      </c>
      <c r="W34" s="2"/>
      <c r="X34" s="6">
        <f t="shared" si="18"/>
        <v>10393.177820000001</v>
      </c>
      <c r="Y34" s="2"/>
      <c r="Z34" s="7">
        <f t="shared" si="19"/>
        <v>2.7270005785928206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1637.12</v>
      </c>
      <c r="E35" s="2"/>
      <c r="F35" s="7">
        <f t="shared" si="12"/>
        <v>8.6208803164078765E-3</v>
      </c>
      <c r="G35" s="2"/>
      <c r="H35" s="6">
        <v>1366.40836153846</v>
      </c>
      <c r="I35" s="2"/>
      <c r="J35" s="7">
        <f t="shared" si="13"/>
        <v>7.1567057647082917E-3</v>
      </c>
      <c r="K35" s="2"/>
      <c r="L35" s="6">
        <f t="shared" si="14"/>
        <v>270.71163846153991</v>
      </c>
      <c r="M35" s="2"/>
      <c r="N35" s="7">
        <f t="shared" si="15"/>
        <v>0.19811913193852351</v>
      </c>
      <c r="O35" s="11"/>
      <c r="P35" s="6">
        <v>11138.38</v>
      </c>
      <c r="Q35" s="2"/>
      <c r="R35" s="7">
        <f t="shared" si="16"/>
        <v>8.5753864932184912E-3</v>
      </c>
      <c r="S35" s="2"/>
      <c r="T35" s="6">
        <v>8843.6436959999992</v>
      </c>
      <c r="U35" s="2"/>
      <c r="V35" s="7">
        <f t="shared" si="17"/>
        <v>7.0996729362633373E-3</v>
      </c>
      <c r="W35" s="2"/>
      <c r="X35" s="6">
        <f t="shared" si="18"/>
        <v>2294.736304</v>
      </c>
      <c r="Y35" s="2"/>
      <c r="Z35" s="7">
        <f t="shared" si="19"/>
        <v>0.25947860213295509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1045.45</v>
      </c>
      <c r="E36" s="2"/>
      <c r="F36" s="7">
        <f t="shared" si="12"/>
        <v>5.5052160665000826E-3</v>
      </c>
      <c r="G36" s="2"/>
      <c r="H36" s="6"/>
      <c r="I36" s="2"/>
      <c r="J36" s="7">
        <f t="shared" si="13"/>
        <v>0</v>
      </c>
      <c r="K36" s="2"/>
      <c r="L36" s="6">
        <f t="shared" si="14"/>
        <v>1045.45</v>
      </c>
      <c r="M36" s="2"/>
      <c r="N36" s="7">
        <f t="shared" si="15"/>
        <v>0</v>
      </c>
      <c r="O36" s="11"/>
      <c r="P36" s="6">
        <v>6595.04</v>
      </c>
      <c r="Q36" s="2"/>
      <c r="R36" s="7">
        <f t="shared" si="16"/>
        <v>5.077490347630058E-3</v>
      </c>
      <c r="S36" s="2"/>
      <c r="T36" s="6"/>
      <c r="U36" s="2"/>
      <c r="V36" s="7">
        <f t="shared" si="17"/>
        <v>0</v>
      </c>
      <c r="W36" s="2"/>
      <c r="X36" s="6">
        <f t="shared" si="18"/>
        <v>6595.04</v>
      </c>
      <c r="Y36" s="2"/>
      <c r="Z36" s="7">
        <f t="shared" si="19"/>
        <v>0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56581.26</v>
      </c>
      <c r="E37" s="1"/>
      <c r="F37" s="5">
        <f t="shared" ref="F37:F47" si="20">IF(D$12=0,0,D37/D$12)</f>
        <v>0.29795022393688692</v>
      </c>
      <c r="G37" s="1"/>
      <c r="H37" s="1">
        <f>SUM(OSRRefH22_1x_0)</f>
        <v>45121.878743076915</v>
      </c>
      <c r="I37" s="1"/>
      <c r="J37" s="5">
        <f t="shared" ref="J37:J47" si="21">IF(H$12=0,0,H37/H$12)</f>
        <v>0.23633052812371699</v>
      </c>
      <c r="K37" s="1"/>
      <c r="L37" s="1">
        <f t="shared" ref="L37:L47" si="22">+D37-H37</f>
        <v>11459.381256923087</v>
      </c>
      <c r="M37" s="1"/>
      <c r="N37" s="5">
        <f t="shared" ref="N37:N47" si="23">IF(H37=0,0,L37/H37)</f>
        <v>0.25396507362143711</v>
      </c>
      <c r="O37" s="13"/>
      <c r="P37" s="1">
        <f>SUM(OSRRefP22_1x_0)</f>
        <v>393344.73</v>
      </c>
      <c r="Q37" s="1"/>
      <c r="R37" s="5">
        <f t="shared" ref="R37:R47" si="24">IF(P$12=0,0,P37/P$12)</f>
        <v>0.30283426178857914</v>
      </c>
      <c r="S37" s="1"/>
      <c r="T37" s="1">
        <f>SUM(OSRRefT22_1x_0)</f>
        <v>292304.5173239999</v>
      </c>
      <c r="U37" s="1"/>
      <c r="V37" s="5">
        <f t="shared" ref="V37:V47" si="25">IF(T$12=0,0,T37/T$12)</f>
        <v>0.23466192693079299</v>
      </c>
      <c r="W37" s="1"/>
      <c r="X37" s="1">
        <f t="shared" ref="X37:X47" si="26">+P37-T37</f>
        <v>101040.21267600008</v>
      </c>
      <c r="Y37" s="1"/>
      <c r="Z37" s="5">
        <f t="shared" ref="Z37:Z47" si="27">IF(T37=0,0,X37/T37)</f>
        <v>0.34566764003856909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8919.41</v>
      </c>
      <c r="E39" s="2"/>
      <c r="F39" s="7">
        <f t="shared" si="20"/>
        <v>4.6968558262663447E-2</v>
      </c>
      <c r="G39" s="2"/>
      <c r="H39" s="6">
        <v>4459.7019230769201</v>
      </c>
      <c r="I39" s="2"/>
      <c r="J39" s="7">
        <f t="shared" si="21"/>
        <v>2.3358152189459427E-2</v>
      </c>
      <c r="K39" s="2"/>
      <c r="L39" s="6">
        <f t="shared" si="22"/>
        <v>4459.7080769230797</v>
      </c>
      <c r="M39" s="2"/>
      <c r="N39" s="7">
        <f t="shared" si="23"/>
        <v>1.0000013798783565</v>
      </c>
      <c r="O39" s="11"/>
      <c r="P39" s="6">
        <v>58400.780000000006</v>
      </c>
      <c r="Q39" s="2"/>
      <c r="R39" s="7">
        <f t="shared" si="24"/>
        <v>4.4962486466202864E-2</v>
      </c>
      <c r="S39" s="2"/>
      <c r="T39" s="6">
        <v>28988.062499999978</v>
      </c>
      <c r="U39" s="2"/>
      <c r="V39" s="7">
        <f t="shared" si="25"/>
        <v>2.3271602733050678E-2</v>
      </c>
      <c r="W39" s="2"/>
      <c r="X39" s="6">
        <f t="shared" si="26"/>
        <v>29412.717500000028</v>
      </c>
      <c r="Y39" s="2"/>
      <c r="Z39" s="7">
        <f t="shared" si="27"/>
        <v>1.0146493060721133</v>
      </c>
    </row>
    <row r="40" spans="1:26" s="24" customFormat="1" hidden="1" outlineLevel="2" x14ac:dyDescent="0.25">
      <c r="A40" s="26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>
        <v>20428.36</v>
      </c>
      <c r="E41" s="2"/>
      <c r="F41" s="7">
        <f t="shared" si="20"/>
        <v>0.10757332792983655</v>
      </c>
      <c r="G41" s="2"/>
      <c r="H41" s="6">
        <v>15122.50944</v>
      </c>
      <c r="I41" s="2"/>
      <c r="J41" s="7">
        <f t="shared" si="21"/>
        <v>7.9205714435360106E-2</v>
      </c>
      <c r="K41" s="2"/>
      <c r="L41" s="6">
        <f t="shared" si="22"/>
        <v>5305.8505600000008</v>
      </c>
      <c r="M41" s="2"/>
      <c r="N41" s="7">
        <f t="shared" si="23"/>
        <v>0.350857811069748</v>
      </c>
      <c r="O41" s="11"/>
      <c r="P41" s="6">
        <v>128684.32</v>
      </c>
      <c r="Q41" s="2"/>
      <c r="R41" s="7">
        <f t="shared" si="24"/>
        <v>9.9073454094491864E-2</v>
      </c>
      <c r="S41" s="2"/>
      <c r="T41" s="6">
        <v>90735.056639999995</v>
      </c>
      <c r="U41" s="2"/>
      <c r="V41" s="7">
        <f t="shared" si="25"/>
        <v>7.2842060144134621E-2</v>
      </c>
      <c r="W41" s="2"/>
      <c r="X41" s="6">
        <f t="shared" si="26"/>
        <v>37949.263360000012</v>
      </c>
      <c r="Y41" s="2"/>
      <c r="Z41" s="7">
        <f t="shared" si="27"/>
        <v>0.41824257090142503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10609.24</v>
      </c>
      <c r="E42" s="2"/>
      <c r="F42" s="7">
        <f t="shared" si="20"/>
        <v>5.5867003205658169E-2</v>
      </c>
      <c r="G42" s="2"/>
      <c r="H42" s="6">
        <v>3463.6798800000001</v>
      </c>
      <c r="I42" s="2"/>
      <c r="J42" s="7">
        <f t="shared" si="21"/>
        <v>1.8141383251190246E-2</v>
      </c>
      <c r="K42" s="2"/>
      <c r="L42" s="6">
        <f t="shared" si="22"/>
        <v>7145.5601200000001</v>
      </c>
      <c r="M42" s="2"/>
      <c r="N42" s="7">
        <f t="shared" si="23"/>
        <v>2.0629966877885955</v>
      </c>
      <c r="O42" s="11"/>
      <c r="P42" s="6">
        <v>71130.720000000001</v>
      </c>
      <c r="Q42" s="2"/>
      <c r="R42" s="7">
        <f t="shared" si="24"/>
        <v>5.4763207534749794E-2</v>
      </c>
      <c r="S42" s="2"/>
      <c r="T42" s="6">
        <v>23553.023183999998</v>
      </c>
      <c r="U42" s="2"/>
      <c r="V42" s="7">
        <f t="shared" si="25"/>
        <v>1.890835576542519E-2</v>
      </c>
      <c r="W42" s="2"/>
      <c r="X42" s="6">
        <f t="shared" si="26"/>
        <v>47577.696816000003</v>
      </c>
      <c r="Y42" s="2"/>
      <c r="Z42" s="7">
        <f t="shared" si="27"/>
        <v>2.0200250491970988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>
        <v>580</v>
      </c>
      <c r="E43" s="2"/>
      <c r="F43" s="7">
        <f t="shared" si="20"/>
        <v>3.0542114099861759E-3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580</v>
      </c>
      <c r="M43" s="2"/>
      <c r="N43" s="7">
        <f t="shared" si="23"/>
        <v>0</v>
      </c>
      <c r="O43" s="11"/>
      <c r="P43" s="6">
        <v>10378.219999999999</v>
      </c>
      <c r="Q43" s="2"/>
      <c r="R43" s="7">
        <f t="shared" si="24"/>
        <v>7.9901428764012367E-3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10378.219999999999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10780.75</v>
      </c>
      <c r="E44" s="2"/>
      <c r="F44" s="7">
        <f t="shared" si="20"/>
        <v>5.6770154583118043E-2</v>
      </c>
      <c r="G44" s="2"/>
      <c r="H44" s="6">
        <v>22075.987499999999</v>
      </c>
      <c r="I44" s="2"/>
      <c r="J44" s="7">
        <f t="shared" si="21"/>
        <v>0.11562527824770724</v>
      </c>
      <c r="K44" s="2"/>
      <c r="L44" s="6">
        <f t="shared" si="22"/>
        <v>-11295.237499999999</v>
      </c>
      <c r="M44" s="2"/>
      <c r="N44" s="7">
        <f t="shared" si="23"/>
        <v>-0.51165264973990399</v>
      </c>
      <c r="O44" s="11"/>
      <c r="P44" s="6">
        <v>85063.69</v>
      </c>
      <c r="Q44" s="2"/>
      <c r="R44" s="7">
        <f t="shared" si="24"/>
        <v>6.5490135754869644E-2</v>
      </c>
      <c r="S44" s="2"/>
      <c r="T44" s="6">
        <v>144143.21249999999</v>
      </c>
      <c r="U44" s="2"/>
      <c r="V44" s="7">
        <f t="shared" si="25"/>
        <v>0.11571810216587283</v>
      </c>
      <c r="W44" s="2"/>
      <c r="X44" s="6">
        <f t="shared" si="26"/>
        <v>-59079.522499999992</v>
      </c>
      <c r="Y44" s="2"/>
      <c r="Z44" s="7">
        <f t="shared" si="27"/>
        <v>-0.40986683642838884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>
        <v>5263.5</v>
      </c>
      <c r="E45" s="2"/>
      <c r="F45" s="7">
        <f t="shared" si="20"/>
        <v>2.7716968545624547E-2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5263.5</v>
      </c>
      <c r="M45" s="2"/>
      <c r="N45" s="7">
        <f t="shared" si="23"/>
        <v>0</v>
      </c>
      <c r="O45" s="11"/>
      <c r="P45" s="6">
        <v>39687</v>
      </c>
      <c r="Q45" s="2"/>
      <c r="R45" s="7">
        <f t="shared" si="24"/>
        <v>3.055483506186378E-2</v>
      </c>
      <c r="S45" s="2"/>
      <c r="T45" s="6">
        <v>4885.1624999999995</v>
      </c>
      <c r="U45" s="2"/>
      <c r="V45" s="7">
        <f t="shared" si="25"/>
        <v>3.9218061223097178E-3</v>
      </c>
      <c r="W45" s="2"/>
      <c r="X45" s="6">
        <f t="shared" si="26"/>
        <v>34801.837500000001</v>
      </c>
      <c r="Y45" s="2"/>
      <c r="Z45" s="7">
        <f t="shared" si="27"/>
        <v>7.1239876872059025</v>
      </c>
    </row>
    <row r="46" spans="1:26" s="24" customFormat="1" hidden="1" outlineLevel="2" x14ac:dyDescent="0.25">
      <c r="A46" s="26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6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5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2" si="28">IF(D$12=0,0,D48/D$12)</f>
        <v>0</v>
      </c>
      <c r="G48" s="1"/>
      <c r="H48" s="1">
        <f>SUM(OSRRefH22_2x_0)</f>
        <v>100</v>
      </c>
      <c r="I48" s="1"/>
      <c r="J48" s="5">
        <f t="shared" ref="J48:J52" si="29">IF(H$12=0,0,H48/H$12)</f>
        <v>5.2376039009673851E-4</v>
      </c>
      <c r="K48" s="1"/>
      <c r="L48" s="1">
        <f t="shared" ref="L48:L52" si="30">+D48-H48</f>
        <v>-100</v>
      </c>
      <c r="M48" s="1"/>
      <c r="N48" s="5">
        <f t="shared" ref="N48:N52" si="31">IF(H48=0,0,L48/H48)</f>
        <v>-1</v>
      </c>
      <c r="O48" s="13"/>
      <c r="P48" s="1">
        <f>SUM(OSRRefP22_2x_0)</f>
        <v>2809.67</v>
      </c>
      <c r="Q48" s="1"/>
      <c r="R48" s="5">
        <f t="shared" ref="R48:R52" si="32">IF(P$12=0,0,P48/P$12)</f>
        <v>2.1631517481358331E-3</v>
      </c>
      <c r="S48" s="1"/>
      <c r="T48" s="1">
        <f>SUM(OSRRefT22_2x_0)</f>
        <v>3500</v>
      </c>
      <c r="U48" s="1"/>
      <c r="V48" s="5">
        <f t="shared" ref="V48:V52" si="33">IF(T$12=0,0,T48/T$12)</f>
        <v>2.8097983287319541E-3</v>
      </c>
      <c r="W48" s="1"/>
      <c r="X48" s="1">
        <f t="shared" ref="X48:X52" si="34">+P48-T48</f>
        <v>-690.32999999999993</v>
      </c>
      <c r="Y48" s="1"/>
      <c r="Z48" s="5">
        <f t="shared" ref="Z48:Z52" si="35">IF(T48=0,0,X48/T48)</f>
        <v>-0.19723714285714283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100</v>
      </c>
      <c r="I49" s="2"/>
      <c r="J49" s="7">
        <f t="shared" si="29"/>
        <v>5.2376039009673851E-4</v>
      </c>
      <c r="K49" s="2"/>
      <c r="L49" s="6">
        <f t="shared" si="30"/>
        <v>-100</v>
      </c>
      <c r="M49" s="2"/>
      <c r="N49" s="7">
        <f t="shared" si="31"/>
        <v>-1</v>
      </c>
      <c r="O49" s="11"/>
      <c r="P49" s="6">
        <v>2809.67</v>
      </c>
      <c r="Q49" s="2"/>
      <c r="R49" s="7">
        <f t="shared" si="32"/>
        <v>2.1631517481358331E-3</v>
      </c>
      <c r="S49" s="2"/>
      <c r="T49" s="6">
        <v>3500</v>
      </c>
      <c r="U49" s="2"/>
      <c r="V49" s="7">
        <f t="shared" si="33"/>
        <v>2.8097983287319541E-3</v>
      </c>
      <c r="W49" s="2"/>
      <c r="X49" s="6">
        <f t="shared" si="34"/>
        <v>-690.32999999999993</v>
      </c>
      <c r="Y49" s="2"/>
      <c r="Z49" s="7">
        <f t="shared" si="35"/>
        <v>-0.19723714285714283</v>
      </c>
    </row>
    <row r="50" spans="1:26" s="25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70</v>
      </c>
      <c r="I50" s="1"/>
      <c r="J50" s="5">
        <f t="shared" si="29"/>
        <v>3.6663227306771697E-4</v>
      </c>
      <c r="K50" s="1"/>
      <c r="L50" s="1">
        <f t="shared" si="30"/>
        <v>-70</v>
      </c>
      <c r="M50" s="1"/>
      <c r="N50" s="5">
        <f t="shared" si="31"/>
        <v>-1</v>
      </c>
      <c r="O50" s="13"/>
      <c r="P50" s="1">
        <f>SUM(OSRRefP22_3x_0)</f>
        <v>13.18</v>
      </c>
      <c r="Q50" s="1"/>
      <c r="R50" s="5">
        <f t="shared" si="32"/>
        <v>1.0147220150562264E-5</v>
      </c>
      <c r="S50" s="1"/>
      <c r="T50" s="1">
        <f>SUM(OSRRefT22_3x_0)</f>
        <v>350</v>
      </c>
      <c r="U50" s="1"/>
      <c r="V50" s="5">
        <f t="shared" si="33"/>
        <v>2.8097983287319543E-4</v>
      </c>
      <c r="W50" s="1"/>
      <c r="X50" s="1">
        <f t="shared" si="34"/>
        <v>-336.82</v>
      </c>
      <c r="Y50" s="1"/>
      <c r="Z50" s="5">
        <f t="shared" si="35"/>
        <v>-0.96234285714285717</v>
      </c>
    </row>
    <row r="51" spans="1:26" s="24" customFormat="1" hidden="1" outlineLevel="2" x14ac:dyDescent="0.25">
      <c r="A51" s="26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20</v>
      </c>
      <c r="I51" s="2"/>
      <c r="J51" s="7">
        <f t="shared" si="29"/>
        <v>1.0475207801934771E-4</v>
      </c>
      <c r="K51" s="2"/>
      <c r="L51" s="6">
        <f t="shared" si="30"/>
        <v>-20</v>
      </c>
      <c r="M51" s="2"/>
      <c r="N51" s="7">
        <f t="shared" si="31"/>
        <v>-1</v>
      </c>
      <c r="O51" s="11"/>
      <c r="P51" s="6">
        <v>13.18</v>
      </c>
      <c r="Q51" s="2"/>
      <c r="R51" s="7">
        <f t="shared" si="32"/>
        <v>1.0147220150562264E-5</v>
      </c>
      <c r="S51" s="2"/>
      <c r="T51" s="6">
        <v>100</v>
      </c>
      <c r="U51" s="2"/>
      <c r="V51" s="7">
        <f t="shared" si="33"/>
        <v>8.0279952249484406E-5</v>
      </c>
      <c r="W51" s="2"/>
      <c r="X51" s="6">
        <f t="shared" si="34"/>
        <v>-86.82</v>
      </c>
      <c r="Y51" s="2"/>
      <c r="Z51" s="7">
        <f t="shared" si="35"/>
        <v>-0.86819999999999997</v>
      </c>
    </row>
    <row r="52" spans="1:26" s="24" customFormat="1" hidden="1" outlineLevel="2" x14ac:dyDescent="0.25">
      <c r="A52" s="26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2.6188019504836925E-4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250</v>
      </c>
      <c r="U52" s="2"/>
      <c r="V52" s="7">
        <f t="shared" si="33"/>
        <v>2.0069988062371101E-4</v>
      </c>
      <c r="W52" s="2"/>
      <c r="X52" s="6">
        <f t="shared" si="34"/>
        <v>-250</v>
      </c>
      <c r="Y52" s="2"/>
      <c r="Z52" s="7">
        <f t="shared" si="35"/>
        <v>-1</v>
      </c>
    </row>
    <row r="53" spans="1:26" s="25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5.23</v>
      </c>
      <c r="E53" s="1"/>
      <c r="F53" s="5">
        <f t="shared" ref="F53:F70" si="36">IF(D$12=0,0,D53/D$12)</f>
        <v>2.7540561507289142E-5</v>
      </c>
      <c r="G53" s="1"/>
      <c r="H53" s="1">
        <f>SUM(OSRRefH22_4x_0)</f>
        <v>20</v>
      </c>
      <c r="I53" s="1"/>
      <c r="J53" s="5">
        <f t="shared" ref="J53:J70" si="37">IF(H$12=0,0,H53/H$12)</f>
        <v>1.0475207801934771E-4</v>
      </c>
      <c r="K53" s="1"/>
      <c r="L53" s="1">
        <f t="shared" ref="L53:L70" si="38">+D53-H53</f>
        <v>-14.77</v>
      </c>
      <c r="M53" s="1"/>
      <c r="N53" s="5">
        <f t="shared" ref="N53:N70" si="39">IF(H53=0,0,L53/H53)</f>
        <v>-0.73849999999999993</v>
      </c>
      <c r="O53" s="13"/>
      <c r="P53" s="1">
        <f>SUM(OSRRefP22_4x_0)</f>
        <v>50.8</v>
      </c>
      <c r="Q53" s="1"/>
      <c r="R53" s="5">
        <f t="shared" ref="R53:R70" si="40">IF(P$12=0,0,P53/P$12)</f>
        <v>3.9110681612182322E-5</v>
      </c>
      <c r="S53" s="1"/>
      <c r="T53" s="1">
        <f>SUM(OSRRefT22_4x_0)</f>
        <v>120</v>
      </c>
      <c r="U53" s="1"/>
      <c r="V53" s="5">
        <f t="shared" ref="V53:V70" si="41">IF(T$12=0,0,T53/T$12)</f>
        <v>9.6335942699381276E-5</v>
      </c>
      <c r="W53" s="1"/>
      <c r="X53" s="1">
        <f t="shared" ref="X53:X70" si="42">+P53-T53</f>
        <v>-69.2</v>
      </c>
      <c r="Y53" s="1"/>
      <c r="Z53" s="5">
        <f t="shared" ref="Z53:Z70" si="43">IF(T53=0,0,X53/T53)</f>
        <v>-0.57666666666666666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6">
        <v>5.23</v>
      </c>
      <c r="E54" s="2"/>
      <c r="F54" s="7">
        <f t="shared" si="36"/>
        <v>2.7540561507289142E-5</v>
      </c>
      <c r="G54" s="2"/>
      <c r="H54" s="6">
        <v>20</v>
      </c>
      <c r="I54" s="2"/>
      <c r="J54" s="7">
        <f t="shared" si="37"/>
        <v>1.0475207801934771E-4</v>
      </c>
      <c r="K54" s="2"/>
      <c r="L54" s="6">
        <f t="shared" si="38"/>
        <v>-14.77</v>
      </c>
      <c r="M54" s="2"/>
      <c r="N54" s="7">
        <f t="shared" si="39"/>
        <v>-0.73849999999999993</v>
      </c>
      <c r="O54" s="11"/>
      <c r="P54" s="6">
        <v>50.8</v>
      </c>
      <c r="Q54" s="2"/>
      <c r="R54" s="7">
        <f t="shared" si="40"/>
        <v>3.9110681612182322E-5</v>
      </c>
      <c r="S54" s="2"/>
      <c r="T54" s="6">
        <v>120</v>
      </c>
      <c r="U54" s="2"/>
      <c r="V54" s="7">
        <f t="shared" si="41"/>
        <v>9.6335942699381276E-5</v>
      </c>
      <c r="W54" s="2"/>
      <c r="X54" s="6">
        <f t="shared" si="42"/>
        <v>-69.2</v>
      </c>
      <c r="Y54" s="2"/>
      <c r="Z54" s="7">
        <f t="shared" si="43"/>
        <v>-0.57666666666666666</v>
      </c>
    </row>
    <row r="55" spans="1:26" s="25" customFormat="1" outlineLevel="1" collapsed="1" x14ac:dyDescent="0.25">
      <c r="A55" s="27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1946.42</v>
      </c>
      <c r="E55" s="1"/>
      <c r="F55" s="5">
        <f t="shared" si="36"/>
        <v>1.0249617539009126E-2</v>
      </c>
      <c r="G55" s="1"/>
      <c r="H55" s="1">
        <f>SUM(OSRRefH22_5x_0)</f>
        <v>0</v>
      </c>
      <c r="I55" s="1"/>
      <c r="J55" s="5">
        <f t="shared" si="37"/>
        <v>0</v>
      </c>
      <c r="K55" s="1"/>
      <c r="L55" s="1">
        <f t="shared" si="38"/>
        <v>1946.42</v>
      </c>
      <c r="M55" s="1"/>
      <c r="N55" s="5">
        <f t="shared" si="39"/>
        <v>0</v>
      </c>
      <c r="O55" s="13"/>
      <c r="P55" s="1">
        <f>SUM(OSRRefP22_5x_0)</f>
        <v>13734.58</v>
      </c>
      <c r="Q55" s="1"/>
      <c r="R55" s="5">
        <f t="shared" si="40"/>
        <v>1.0574188690099353E-2</v>
      </c>
      <c r="S55" s="1"/>
      <c r="T55" s="1">
        <f>SUM(OSRRefT22_5x_0)</f>
        <v>9490</v>
      </c>
      <c r="U55" s="1"/>
      <c r="V55" s="5">
        <f t="shared" si="41"/>
        <v>7.6185674684760701E-3</v>
      </c>
      <c r="W55" s="1"/>
      <c r="X55" s="1">
        <f t="shared" si="42"/>
        <v>4244.58</v>
      </c>
      <c r="Y55" s="1"/>
      <c r="Z55" s="5">
        <f t="shared" si="43"/>
        <v>0.44726870389884088</v>
      </c>
    </row>
    <row r="56" spans="1:26" s="24" customFormat="1" hidden="1" outlineLevel="2" x14ac:dyDescent="0.25">
      <c r="A56" s="26"/>
      <c r="B56" s="11" t="str">
        <f>CONCATENATE("          ", "6399", " - ", "DONATION-ON CAMPUS")</f>
        <v xml:space="preserve">          6399 - DONATION-ON CAMPUS</v>
      </c>
      <c r="C56" s="11"/>
      <c r="D56" s="6">
        <v>1946.42</v>
      </c>
      <c r="E56" s="2"/>
      <c r="F56" s="7">
        <f t="shared" si="36"/>
        <v>1.0249617539009126E-2</v>
      </c>
      <c r="G56" s="2"/>
      <c r="H56" s="6"/>
      <c r="I56" s="2"/>
      <c r="J56" s="7">
        <f t="shared" si="37"/>
        <v>0</v>
      </c>
      <c r="K56" s="2"/>
      <c r="L56" s="6">
        <f t="shared" si="38"/>
        <v>1946.42</v>
      </c>
      <c r="M56" s="2"/>
      <c r="N56" s="7">
        <f t="shared" si="39"/>
        <v>0</v>
      </c>
      <c r="O56" s="11"/>
      <c r="P56" s="6">
        <v>13734.58</v>
      </c>
      <c r="Q56" s="2"/>
      <c r="R56" s="7">
        <f t="shared" si="40"/>
        <v>1.0574188690099353E-2</v>
      </c>
      <c r="S56" s="2"/>
      <c r="T56" s="6">
        <v>9490</v>
      </c>
      <c r="U56" s="2"/>
      <c r="V56" s="7">
        <f t="shared" si="41"/>
        <v>7.6185674684760701E-3</v>
      </c>
      <c r="W56" s="2"/>
      <c r="X56" s="6">
        <f t="shared" si="42"/>
        <v>4244.58</v>
      </c>
      <c r="Y56" s="2"/>
      <c r="Z56" s="7">
        <f t="shared" si="43"/>
        <v>0.44726870389884088</v>
      </c>
    </row>
    <row r="57" spans="1:26" s="25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36"/>
        <v>0</v>
      </c>
      <c r="G57" s="1"/>
      <c r="H57" s="1">
        <f>SUM(OSRRefH22_6x_0)</f>
        <v>200</v>
      </c>
      <c r="I57" s="1"/>
      <c r="J57" s="5">
        <f t="shared" si="37"/>
        <v>1.047520780193477E-3</v>
      </c>
      <c r="K57" s="1"/>
      <c r="L57" s="1">
        <f t="shared" si="38"/>
        <v>-200</v>
      </c>
      <c r="M57" s="1"/>
      <c r="N57" s="5">
        <f t="shared" si="39"/>
        <v>-1</v>
      </c>
      <c r="O57" s="13"/>
      <c r="P57" s="1">
        <f>SUM(OSRRefP22_6x_0)</f>
        <v>21.34</v>
      </c>
      <c r="Q57" s="1"/>
      <c r="R57" s="5">
        <f t="shared" si="40"/>
        <v>1.6429565858345882E-5</v>
      </c>
      <c r="S57" s="1"/>
      <c r="T57" s="1">
        <f>SUM(OSRRefT22_6x_0)</f>
        <v>400</v>
      </c>
      <c r="U57" s="1"/>
      <c r="V57" s="5">
        <f t="shared" si="41"/>
        <v>3.2111980899793762E-4</v>
      </c>
      <c r="W57" s="1"/>
      <c r="X57" s="1">
        <f t="shared" si="42"/>
        <v>-378.66</v>
      </c>
      <c r="Y57" s="1"/>
      <c r="Z57" s="5">
        <f t="shared" si="43"/>
        <v>-0.9466500000000001</v>
      </c>
    </row>
    <row r="58" spans="1:26" s="24" customFormat="1" hidden="1" outlineLevel="2" x14ac:dyDescent="0.25">
      <c r="A58" s="26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200</v>
      </c>
      <c r="I58" s="2"/>
      <c r="J58" s="7">
        <f t="shared" si="37"/>
        <v>1.047520780193477E-3</v>
      </c>
      <c r="K58" s="2"/>
      <c r="L58" s="6">
        <f t="shared" si="38"/>
        <v>-200</v>
      </c>
      <c r="M58" s="2"/>
      <c r="N58" s="7">
        <f t="shared" si="39"/>
        <v>-1</v>
      </c>
      <c r="O58" s="11"/>
      <c r="P58" s="6">
        <v>21.34</v>
      </c>
      <c r="Q58" s="2"/>
      <c r="R58" s="7">
        <f t="shared" si="40"/>
        <v>1.6429565858345882E-5</v>
      </c>
      <c r="S58" s="2"/>
      <c r="T58" s="6">
        <v>400</v>
      </c>
      <c r="U58" s="2"/>
      <c r="V58" s="7">
        <f t="shared" si="41"/>
        <v>3.2111980899793762E-4</v>
      </c>
      <c r="W58" s="2"/>
      <c r="X58" s="6">
        <f t="shared" si="42"/>
        <v>-378.66</v>
      </c>
      <c r="Y58" s="2"/>
      <c r="Z58" s="7">
        <f t="shared" si="43"/>
        <v>-0.9466500000000001</v>
      </c>
    </row>
    <row r="59" spans="1:26" s="25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0.01</v>
      </c>
      <c r="Q59" s="1"/>
      <c r="R59" s="5">
        <f t="shared" si="40"/>
        <v>7.6989530732642371E-9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0.01</v>
      </c>
      <c r="Y59" s="1"/>
      <c r="Z59" s="5">
        <f t="shared" si="43"/>
        <v>0</v>
      </c>
    </row>
    <row r="60" spans="1:26" s="24" customFormat="1" hidden="1" outlineLevel="2" x14ac:dyDescent="0.25">
      <c r="A60" s="26"/>
      <c r="B60" s="11" t="str">
        <f>CONCATENATE("          ", "6351", " - ", "EQUIPMENT RENTAL")</f>
        <v xml:space="preserve">          6351 - EQUIPMENT RENTAL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0.01</v>
      </c>
      <c r="Q60" s="2"/>
      <c r="R60" s="7">
        <f t="shared" si="40"/>
        <v>7.6989530732642371E-9</v>
      </c>
      <c r="S60" s="2"/>
      <c r="T60" s="6"/>
      <c r="U60" s="2"/>
      <c r="V60" s="7">
        <f t="shared" si="41"/>
        <v>0</v>
      </c>
      <c r="W60" s="2"/>
      <c r="X60" s="6">
        <f t="shared" si="42"/>
        <v>0.01</v>
      </c>
      <c r="Y60" s="2"/>
      <c r="Z60" s="7">
        <f t="shared" si="43"/>
        <v>0</v>
      </c>
    </row>
    <row r="61" spans="1:26" s="25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275</v>
      </c>
      <c r="I61" s="1"/>
      <c r="J61" s="5">
        <f t="shared" si="37"/>
        <v>1.440341072766031E-3</v>
      </c>
      <c r="K61" s="1"/>
      <c r="L61" s="1">
        <f t="shared" si="38"/>
        <v>-275</v>
      </c>
      <c r="M61" s="1"/>
      <c r="N61" s="5">
        <f t="shared" si="39"/>
        <v>-1</v>
      </c>
      <c r="O61" s="13"/>
      <c r="P61" s="1">
        <f>SUM(OSRRefP22_8x_0)</f>
        <v>1517.11</v>
      </c>
      <c r="Q61" s="1"/>
      <c r="R61" s="5">
        <f t="shared" si="40"/>
        <v>1.1680158696979906E-3</v>
      </c>
      <c r="S61" s="1"/>
      <c r="T61" s="1">
        <f>SUM(OSRRefT22_8x_0)</f>
        <v>1650</v>
      </c>
      <c r="U61" s="1"/>
      <c r="V61" s="5">
        <f t="shared" si="41"/>
        <v>1.3246192121164925E-3</v>
      </c>
      <c r="W61" s="1"/>
      <c r="X61" s="1">
        <f t="shared" si="42"/>
        <v>-132.8900000000001</v>
      </c>
      <c r="Y61" s="1"/>
      <c r="Z61" s="5">
        <f t="shared" si="43"/>
        <v>-8.0539393939393994E-2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275</v>
      </c>
      <c r="I62" s="2"/>
      <c r="J62" s="7">
        <f t="shared" si="37"/>
        <v>1.440341072766031E-3</v>
      </c>
      <c r="K62" s="2"/>
      <c r="L62" s="6">
        <f t="shared" si="38"/>
        <v>-275</v>
      </c>
      <c r="M62" s="2"/>
      <c r="N62" s="7">
        <f t="shared" si="39"/>
        <v>-1</v>
      </c>
      <c r="O62" s="11"/>
      <c r="P62" s="6">
        <v>1517.11</v>
      </c>
      <c r="Q62" s="2"/>
      <c r="R62" s="7">
        <f t="shared" si="40"/>
        <v>1.1680158696979906E-3</v>
      </c>
      <c r="S62" s="2"/>
      <c r="T62" s="6">
        <v>1650</v>
      </c>
      <c r="U62" s="2"/>
      <c r="V62" s="7">
        <f t="shared" si="41"/>
        <v>1.3246192121164925E-3</v>
      </c>
      <c r="W62" s="2"/>
      <c r="X62" s="6">
        <f t="shared" si="42"/>
        <v>-132.8900000000001</v>
      </c>
      <c r="Y62" s="2"/>
      <c r="Z62" s="7">
        <f t="shared" si="43"/>
        <v>-8.0539393939393994E-2</v>
      </c>
    </row>
    <row r="63" spans="1:26" s="25" customFormat="1" outlineLevel="1" collapsed="1" x14ac:dyDescent="0.25">
      <c r="A63" s="27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6"/>
        <v>3.1068702273997311E-5</v>
      </c>
      <c r="G63" s="1"/>
      <c r="H63" s="1">
        <f>SUM(OSRRefH22_9x_0)</f>
        <v>5</v>
      </c>
      <c r="I63" s="1"/>
      <c r="J63" s="5">
        <f t="shared" si="37"/>
        <v>2.6188019504836928E-5</v>
      </c>
      <c r="K63" s="1"/>
      <c r="L63" s="1">
        <f t="shared" si="38"/>
        <v>0.90000000000000036</v>
      </c>
      <c r="M63" s="1"/>
      <c r="N63" s="5">
        <f t="shared" si="39"/>
        <v>0.18000000000000008</v>
      </c>
      <c r="O63" s="13"/>
      <c r="P63" s="1">
        <f>SUM(OSRRefP22_9x_0)</f>
        <v>35.4</v>
      </c>
      <c r="Q63" s="1"/>
      <c r="R63" s="5">
        <f t="shared" si="40"/>
        <v>2.7254293879355401E-5</v>
      </c>
      <c r="S63" s="1"/>
      <c r="T63" s="1">
        <f>SUM(OSRRefT22_9x_0)</f>
        <v>30</v>
      </c>
      <c r="U63" s="1"/>
      <c r="V63" s="5">
        <f t="shared" si="41"/>
        <v>2.4083985674845319E-5</v>
      </c>
      <c r="W63" s="1"/>
      <c r="X63" s="1">
        <f t="shared" si="42"/>
        <v>5.3999999999999986</v>
      </c>
      <c r="Y63" s="1"/>
      <c r="Z63" s="5">
        <f t="shared" si="43"/>
        <v>0.17999999999999997</v>
      </c>
    </row>
    <row r="64" spans="1:26" s="24" customFormat="1" hidden="1" outlineLevel="2" x14ac:dyDescent="0.25">
      <c r="A64" s="26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36"/>
        <v>3.1068702273997311E-5</v>
      </c>
      <c r="G64" s="2"/>
      <c r="H64" s="6">
        <v>5</v>
      </c>
      <c r="I64" s="2"/>
      <c r="J64" s="7">
        <f t="shared" si="37"/>
        <v>2.6188019504836928E-5</v>
      </c>
      <c r="K64" s="2"/>
      <c r="L64" s="6">
        <f t="shared" si="38"/>
        <v>0.90000000000000036</v>
      </c>
      <c r="M64" s="2"/>
      <c r="N64" s="7">
        <f t="shared" si="39"/>
        <v>0.18000000000000008</v>
      </c>
      <c r="O64" s="11"/>
      <c r="P64" s="6">
        <v>35.4</v>
      </c>
      <c r="Q64" s="2"/>
      <c r="R64" s="7">
        <f t="shared" si="40"/>
        <v>2.7254293879355401E-5</v>
      </c>
      <c r="S64" s="2"/>
      <c r="T64" s="6">
        <v>30</v>
      </c>
      <c r="U64" s="2"/>
      <c r="V64" s="7">
        <f t="shared" si="41"/>
        <v>2.4083985674845319E-5</v>
      </c>
      <c r="W64" s="2"/>
      <c r="X64" s="6">
        <f t="shared" si="42"/>
        <v>5.3999999999999986</v>
      </c>
      <c r="Y64" s="2"/>
      <c r="Z64" s="7">
        <f t="shared" si="43"/>
        <v>0.17999999999999997</v>
      </c>
    </row>
    <row r="65" spans="1:26" s="25" customFormat="1" outlineLevel="1" collapsed="1" x14ac:dyDescent="0.25">
      <c r="A65" s="27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15031.169999999998</v>
      </c>
      <c r="E65" s="1"/>
      <c r="F65" s="5">
        <f t="shared" si="36"/>
        <v>7.9152363654210176E-2</v>
      </c>
      <c r="G65" s="1"/>
      <c r="H65" s="1">
        <f>SUM(OSRRefH22_10x_0)</f>
        <v>15274</v>
      </c>
      <c r="I65" s="1"/>
      <c r="J65" s="5">
        <f t="shared" si="37"/>
        <v>7.9999161983375838E-2</v>
      </c>
      <c r="K65" s="1"/>
      <c r="L65" s="1">
        <f t="shared" si="38"/>
        <v>-242.83000000000175</v>
      </c>
      <c r="M65" s="1"/>
      <c r="N65" s="5">
        <f t="shared" si="39"/>
        <v>-1.5898258478460242E-2</v>
      </c>
      <c r="O65" s="13"/>
      <c r="P65" s="1">
        <f>SUM(OSRRefP22_10x_0)</f>
        <v>101091.66</v>
      </c>
      <c r="Q65" s="1"/>
      <c r="R65" s="5">
        <f t="shared" si="40"/>
        <v>7.7829994643838343E-2</v>
      </c>
      <c r="S65" s="1"/>
      <c r="T65" s="1">
        <f>SUM(OSRRefT22_10x_0)</f>
        <v>99729</v>
      </c>
      <c r="U65" s="1"/>
      <c r="V65" s="5">
        <f t="shared" si="41"/>
        <v>8.0062393578888294E-2</v>
      </c>
      <c r="W65" s="1"/>
      <c r="X65" s="1">
        <f t="shared" si="42"/>
        <v>1362.6600000000035</v>
      </c>
      <c r="Y65" s="1"/>
      <c r="Z65" s="5">
        <f t="shared" si="43"/>
        <v>1.3663628433053611E-2</v>
      </c>
    </row>
    <row r="66" spans="1:26" s="24" customFormat="1" hidden="1" outlineLevel="2" x14ac:dyDescent="0.25">
      <c r="A66" s="26"/>
      <c r="B66" s="11" t="str">
        <f>CONCATENATE("          ", "6387", " - ", "COMMISSION DUE HOUSING")</f>
        <v xml:space="preserve">          6387 - COMMISSION DUE HOUSING</v>
      </c>
      <c r="C66" s="11"/>
      <c r="D66" s="6">
        <v>15031.169999999998</v>
      </c>
      <c r="E66" s="2"/>
      <c r="F66" s="7">
        <f t="shared" si="36"/>
        <v>7.9152363654210176E-2</v>
      </c>
      <c r="G66" s="2"/>
      <c r="H66" s="6">
        <v>15274</v>
      </c>
      <c r="I66" s="2"/>
      <c r="J66" s="7">
        <f t="shared" si="37"/>
        <v>7.9999161983375838E-2</v>
      </c>
      <c r="K66" s="2"/>
      <c r="L66" s="6">
        <f t="shared" si="38"/>
        <v>-242.83000000000175</v>
      </c>
      <c r="M66" s="2"/>
      <c r="N66" s="7">
        <f t="shared" si="39"/>
        <v>-1.5898258478460242E-2</v>
      </c>
      <c r="O66" s="11"/>
      <c r="P66" s="6">
        <v>101091.66</v>
      </c>
      <c r="Q66" s="2"/>
      <c r="R66" s="7">
        <f t="shared" si="40"/>
        <v>7.7829994643838343E-2</v>
      </c>
      <c r="S66" s="2"/>
      <c r="T66" s="6">
        <v>99729</v>
      </c>
      <c r="U66" s="2"/>
      <c r="V66" s="7">
        <f t="shared" si="41"/>
        <v>8.0062393578888294E-2</v>
      </c>
      <c r="W66" s="2"/>
      <c r="X66" s="6">
        <f t="shared" si="42"/>
        <v>1362.6600000000035</v>
      </c>
      <c r="Y66" s="2"/>
      <c r="Z66" s="7">
        <f t="shared" si="43"/>
        <v>1.3663628433053611E-2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71.349999999999994</v>
      </c>
      <c r="E67" s="1"/>
      <c r="F67" s="5">
        <f t="shared" si="36"/>
        <v>3.757206622457132E-4</v>
      </c>
      <c r="G67" s="1"/>
      <c r="H67" s="1">
        <f>SUM(OSRRefH22_11x_0)</f>
        <v>567</v>
      </c>
      <c r="I67" s="1"/>
      <c r="J67" s="5">
        <f t="shared" si="37"/>
        <v>2.9697214118485074E-3</v>
      </c>
      <c r="K67" s="1"/>
      <c r="L67" s="1">
        <f t="shared" si="38"/>
        <v>-495.65</v>
      </c>
      <c r="M67" s="1"/>
      <c r="N67" s="5">
        <f t="shared" si="39"/>
        <v>-0.87416225749559084</v>
      </c>
      <c r="O67" s="13"/>
      <c r="P67" s="1">
        <f>SUM(OSRRefP22_11x_0)</f>
        <v>139.83000000000001</v>
      </c>
      <c r="Q67" s="1"/>
      <c r="R67" s="5">
        <f t="shared" si="40"/>
        <v>1.0765446082345384E-4</v>
      </c>
      <c r="S67" s="1"/>
      <c r="T67" s="1">
        <f>SUM(OSRRefT22_11x_0)</f>
        <v>3122</v>
      </c>
      <c r="U67" s="1"/>
      <c r="V67" s="5">
        <f t="shared" si="41"/>
        <v>2.506340109228903E-3</v>
      </c>
      <c r="W67" s="1"/>
      <c r="X67" s="1">
        <f t="shared" si="42"/>
        <v>-2982.17</v>
      </c>
      <c r="Y67" s="1"/>
      <c r="Z67" s="5">
        <f t="shared" si="43"/>
        <v>-0.95521140294682894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36"/>
        <v>0</v>
      </c>
      <c r="G68" s="2"/>
      <c r="H68" s="6">
        <v>497</v>
      </c>
      <c r="I68" s="2"/>
      <c r="J68" s="7">
        <f t="shared" si="37"/>
        <v>2.6030891387807905E-3</v>
      </c>
      <c r="K68" s="2"/>
      <c r="L68" s="6">
        <f t="shared" si="38"/>
        <v>-497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2982</v>
      </c>
      <c r="U68" s="2"/>
      <c r="V68" s="7">
        <f t="shared" si="41"/>
        <v>2.3939481760796247E-3</v>
      </c>
      <c r="W68" s="2"/>
      <c r="X68" s="6">
        <f t="shared" si="42"/>
        <v>-2982</v>
      </c>
      <c r="Y68" s="2"/>
      <c r="Z68" s="7">
        <f t="shared" si="43"/>
        <v>-1</v>
      </c>
    </row>
    <row r="69" spans="1:26" s="24" customFormat="1" hidden="1" outlineLevel="2" x14ac:dyDescent="0.25">
      <c r="A69" s="26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36"/>
        <v>0</v>
      </c>
      <c r="G69" s="2"/>
      <c r="H69" s="6">
        <v>70</v>
      </c>
      <c r="I69" s="2"/>
      <c r="J69" s="7">
        <f t="shared" si="37"/>
        <v>3.6663227306771697E-4</v>
      </c>
      <c r="K69" s="2"/>
      <c r="L69" s="6">
        <f t="shared" si="38"/>
        <v>-70</v>
      </c>
      <c r="M69" s="2"/>
      <c r="N69" s="7">
        <f t="shared" si="39"/>
        <v>-1</v>
      </c>
      <c r="O69" s="11"/>
      <c r="P69" s="6"/>
      <c r="Q69" s="2"/>
      <c r="R69" s="7">
        <f t="shared" si="40"/>
        <v>0</v>
      </c>
      <c r="S69" s="2"/>
      <c r="T69" s="6">
        <v>140</v>
      </c>
      <c r="U69" s="2"/>
      <c r="V69" s="7">
        <f t="shared" si="41"/>
        <v>1.1239193314927816E-4</v>
      </c>
      <c r="W69" s="2"/>
      <c r="X69" s="6">
        <f t="shared" si="42"/>
        <v>-140</v>
      </c>
      <c r="Y69" s="2"/>
      <c r="Z69" s="7">
        <f t="shared" si="43"/>
        <v>-1</v>
      </c>
    </row>
    <row r="70" spans="1:26" s="24" customFormat="1" hidden="1" outlineLevel="2" x14ac:dyDescent="0.25">
      <c r="A70" s="26"/>
      <c r="B70" s="11" t="str">
        <f>CONCATENATE("          ", "6373", " - ", "MAINTENANCE CONTRACTS")</f>
        <v xml:space="preserve">          6373 - MAINTENANCE CONTRACTS</v>
      </c>
      <c r="C70" s="11"/>
      <c r="D70" s="6">
        <v>71.349999999999994</v>
      </c>
      <c r="E70" s="2"/>
      <c r="F70" s="7">
        <f t="shared" si="36"/>
        <v>3.757206622457132E-4</v>
      </c>
      <c r="G70" s="2"/>
      <c r="H70" s="6"/>
      <c r="I70" s="2"/>
      <c r="J70" s="7">
        <f t="shared" si="37"/>
        <v>0</v>
      </c>
      <c r="K70" s="2"/>
      <c r="L70" s="6">
        <f t="shared" si="38"/>
        <v>71.349999999999994</v>
      </c>
      <c r="M70" s="2"/>
      <c r="N70" s="7">
        <f t="shared" si="39"/>
        <v>0</v>
      </c>
      <c r="O70" s="11"/>
      <c r="P70" s="6">
        <v>139.83000000000001</v>
      </c>
      <c r="Q70" s="2"/>
      <c r="R70" s="7">
        <f t="shared" si="40"/>
        <v>1.0765446082345384E-4</v>
      </c>
      <c r="S70" s="2"/>
      <c r="T70" s="6"/>
      <c r="U70" s="2"/>
      <c r="V70" s="7">
        <f t="shared" si="41"/>
        <v>0</v>
      </c>
      <c r="W70" s="2"/>
      <c r="X70" s="6">
        <f t="shared" si="42"/>
        <v>139.83000000000001</v>
      </c>
      <c r="Y70" s="2"/>
      <c r="Z70" s="7">
        <f t="shared" si="43"/>
        <v>0</v>
      </c>
    </row>
    <row r="71" spans="1:26" s="25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6285.67</v>
      </c>
      <c r="E71" s="1"/>
      <c r="F71" s="5">
        <f t="shared" ref="F71:F74" si="44">IF(D$12=0,0,D71/D$12)</f>
        <v>3.3099594885185872E-2</v>
      </c>
      <c r="G71" s="1"/>
      <c r="H71" s="1">
        <f>SUM(OSRRefH22_12x_0)</f>
        <v>6202</v>
      </c>
      <c r="I71" s="1"/>
      <c r="J71" s="5">
        <f t="shared" ref="J71:J74" si="45">IF(H$12=0,0,H71/H$12)</f>
        <v>3.2483619393799727E-2</v>
      </c>
      <c r="K71" s="1"/>
      <c r="L71" s="1">
        <f t="shared" ref="L71:L74" si="46">+D71-H71</f>
        <v>83.670000000000073</v>
      </c>
      <c r="M71" s="1"/>
      <c r="N71" s="5">
        <f t="shared" ref="N71:N74" si="47">IF(H71=0,0,L71/H71)</f>
        <v>1.3490809416317329E-2</v>
      </c>
      <c r="O71" s="13"/>
      <c r="P71" s="1">
        <f>SUM(OSRRefP22_12x_0)</f>
        <v>37680.979999999996</v>
      </c>
      <c r="Q71" s="1"/>
      <c r="R71" s="5">
        <f t="shared" ref="R71:R74" si="48">IF(P$12=0,0,P71/P$12)</f>
        <v>2.9010409677460824E-2</v>
      </c>
      <c r="S71" s="1"/>
      <c r="T71" s="1">
        <f>SUM(OSRRefT22_12x_0)</f>
        <v>31760</v>
      </c>
      <c r="U71" s="1"/>
      <c r="V71" s="5">
        <f t="shared" ref="V71:V74" si="49">IF(T$12=0,0,T71/T$12)</f>
        <v>2.5496912834436246E-2</v>
      </c>
      <c r="W71" s="1"/>
      <c r="X71" s="1">
        <f t="shared" ref="X71:X74" si="50">+P71-T71</f>
        <v>5920.9799999999959</v>
      </c>
      <c r="Y71" s="1"/>
      <c r="Z71" s="5">
        <f t="shared" ref="Z71:Z74" si="51">IF(T71=0,0,X71/T71)</f>
        <v>0.18642884130982354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1339.28</v>
      </c>
      <c r="E72" s="2"/>
      <c r="F72" s="7">
        <f t="shared" si="44"/>
        <v>7.0524900985625616E-3</v>
      </c>
      <c r="G72" s="2"/>
      <c r="H72" s="6">
        <v>750</v>
      </c>
      <c r="I72" s="2"/>
      <c r="J72" s="7">
        <f t="shared" si="45"/>
        <v>3.9282029257255392E-3</v>
      </c>
      <c r="K72" s="2"/>
      <c r="L72" s="6">
        <f t="shared" si="46"/>
        <v>589.28</v>
      </c>
      <c r="M72" s="2"/>
      <c r="N72" s="7">
        <f t="shared" si="47"/>
        <v>0.78570666666666666</v>
      </c>
      <c r="O72" s="11"/>
      <c r="P72" s="6">
        <v>4837.4799999999996</v>
      </c>
      <c r="Q72" s="2"/>
      <c r="R72" s="7">
        <f t="shared" si="48"/>
        <v>3.7243531512854279E-3</v>
      </c>
      <c r="S72" s="2"/>
      <c r="T72" s="6">
        <v>4500</v>
      </c>
      <c r="U72" s="2"/>
      <c r="V72" s="7">
        <f t="shared" si="49"/>
        <v>3.6125978512267982E-3</v>
      </c>
      <c r="W72" s="2"/>
      <c r="X72" s="6">
        <f t="shared" si="50"/>
        <v>337.47999999999956</v>
      </c>
      <c r="Y72" s="2"/>
      <c r="Z72" s="7">
        <f t="shared" si="51"/>
        <v>7.4995555555555454E-2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6">
        <v>3639.27</v>
      </c>
      <c r="E73" s="2"/>
      <c r="F73" s="7">
        <f t="shared" si="44"/>
        <v>1.9163965444862742E-2</v>
      </c>
      <c r="G73" s="2"/>
      <c r="H73" s="6">
        <v>3852</v>
      </c>
      <c r="I73" s="2"/>
      <c r="J73" s="7">
        <f t="shared" si="45"/>
        <v>2.0175250226526369E-2</v>
      </c>
      <c r="K73" s="2"/>
      <c r="L73" s="6">
        <f t="shared" si="46"/>
        <v>-212.73000000000002</v>
      </c>
      <c r="M73" s="2"/>
      <c r="N73" s="7">
        <f t="shared" si="47"/>
        <v>-5.522585669781932E-2</v>
      </c>
      <c r="O73" s="11"/>
      <c r="P73" s="6">
        <v>23381.119999999999</v>
      </c>
      <c r="Q73" s="2"/>
      <c r="R73" s="7">
        <f t="shared" si="48"/>
        <v>1.8001014568035992E-2</v>
      </c>
      <c r="S73" s="2"/>
      <c r="T73" s="6">
        <v>19260</v>
      </c>
      <c r="U73" s="2"/>
      <c r="V73" s="7">
        <f t="shared" si="49"/>
        <v>1.5461918803250695E-2</v>
      </c>
      <c r="W73" s="2"/>
      <c r="X73" s="6">
        <f t="shared" si="50"/>
        <v>4121.119999999999</v>
      </c>
      <c r="Y73" s="2"/>
      <c r="Z73" s="7">
        <f t="shared" si="51"/>
        <v>0.21397300103842154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6">
        <v>1307.1199999999999</v>
      </c>
      <c r="E74" s="2"/>
      <c r="F74" s="7">
        <f t="shared" si="44"/>
        <v>6.8831393417605694E-3</v>
      </c>
      <c r="G74" s="2"/>
      <c r="H74" s="6">
        <v>1600</v>
      </c>
      <c r="I74" s="2"/>
      <c r="J74" s="7">
        <f t="shared" si="45"/>
        <v>8.3801662415478161E-3</v>
      </c>
      <c r="K74" s="2"/>
      <c r="L74" s="6">
        <f t="shared" si="46"/>
        <v>-292.88000000000011</v>
      </c>
      <c r="M74" s="2"/>
      <c r="N74" s="7">
        <f t="shared" si="47"/>
        <v>-0.18305000000000007</v>
      </c>
      <c r="O74" s="11"/>
      <c r="P74" s="6">
        <v>9462.3799999999992</v>
      </c>
      <c r="Q74" s="2"/>
      <c r="R74" s="7">
        <f t="shared" si="48"/>
        <v>7.2850419581394045E-3</v>
      </c>
      <c r="S74" s="2"/>
      <c r="T74" s="6">
        <v>8000</v>
      </c>
      <c r="U74" s="2"/>
      <c r="V74" s="7">
        <f t="shared" si="49"/>
        <v>6.4223961799587522E-3</v>
      </c>
      <c r="W74" s="2"/>
      <c r="X74" s="6">
        <f t="shared" si="50"/>
        <v>1462.3799999999992</v>
      </c>
      <c r="Y74" s="2"/>
      <c r="Z74" s="7">
        <f t="shared" si="51"/>
        <v>0.18279749999999989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1955.3799999999999</v>
      </c>
      <c r="E75" s="1"/>
      <c r="F75" s="5">
        <f t="shared" ref="F75:F81" si="52">IF(D$12=0,0,D75/D$12)</f>
        <v>1.0296799839411669E-2</v>
      </c>
      <c r="G75" s="1"/>
      <c r="H75" s="1">
        <f>SUM(OSRRefH22_13x_0)</f>
        <v>5088</v>
      </c>
      <c r="I75" s="1"/>
      <c r="J75" s="5">
        <f t="shared" ref="J75:J81" si="53">IF(H$12=0,0,H75/H$12)</f>
        <v>2.6648928648122058E-2</v>
      </c>
      <c r="K75" s="1"/>
      <c r="L75" s="1">
        <f t="shared" ref="L75:L81" si="54">+D75-H75</f>
        <v>-3132.62</v>
      </c>
      <c r="M75" s="1"/>
      <c r="N75" s="5">
        <f t="shared" ref="N75:N81" si="55">IF(H75=0,0,L75/H75)</f>
        <v>-0.61568789308176097</v>
      </c>
      <c r="O75" s="13"/>
      <c r="P75" s="1">
        <f>SUM(OSRRefP22_13x_0)</f>
        <v>33012.9</v>
      </c>
      <c r="Q75" s="1"/>
      <c r="R75" s="5">
        <f t="shared" ref="R75:R81" si="56">IF(P$12=0,0,P75/P$12)</f>
        <v>2.5416476791236497E-2</v>
      </c>
      <c r="S75" s="1"/>
      <c r="T75" s="1">
        <f>SUM(OSRRefT22_13x_0)</f>
        <v>28940</v>
      </c>
      <c r="U75" s="1"/>
      <c r="V75" s="5">
        <f t="shared" ref="V75:V81" si="57">IF(T$12=0,0,T75/T$12)</f>
        <v>2.3233018181000785E-2</v>
      </c>
      <c r="W75" s="1"/>
      <c r="X75" s="1">
        <f t="shared" ref="X75:X81" si="58">+P75-T75</f>
        <v>4072.9000000000015</v>
      </c>
      <c r="Y75" s="1"/>
      <c r="Z75" s="5">
        <f t="shared" ref="Z75:Z81" si="59">IF(T75=0,0,X75/T75)</f>
        <v>0.14073600552868007</v>
      </c>
    </row>
    <row r="76" spans="1:26" s="24" customFormat="1" hidden="1" outlineLevel="2" x14ac:dyDescent="0.25">
      <c r="A76" s="26"/>
      <c r="B76" s="11" t="str">
        <f>CONCATENATE("          ", "6237", " - ", "JANITORIAL SUPPLIES")</f>
        <v xml:space="preserve">          6237 - JANITORIAL SUPPLIES</v>
      </c>
      <c r="C76" s="11"/>
      <c r="D76" s="6">
        <v>467.88</v>
      </c>
      <c r="E76" s="2"/>
      <c r="F76" s="7">
        <f t="shared" si="52"/>
        <v>2.4638007491454002E-3</v>
      </c>
      <c r="G76" s="2"/>
      <c r="H76" s="6">
        <v>2005</v>
      </c>
      <c r="I76" s="2"/>
      <c r="J76" s="7">
        <f t="shared" si="53"/>
        <v>1.0501395821439607E-2</v>
      </c>
      <c r="K76" s="2"/>
      <c r="L76" s="6">
        <f t="shared" si="54"/>
        <v>-1537.12</v>
      </c>
      <c r="M76" s="2"/>
      <c r="N76" s="7">
        <f t="shared" si="55"/>
        <v>-0.76664339152119698</v>
      </c>
      <c r="O76" s="11"/>
      <c r="P76" s="6">
        <v>8761.5</v>
      </c>
      <c r="Q76" s="2"/>
      <c r="R76" s="7">
        <f t="shared" si="56"/>
        <v>6.7454377351404615E-3</v>
      </c>
      <c r="S76" s="2"/>
      <c r="T76" s="6">
        <v>10025</v>
      </c>
      <c r="U76" s="2"/>
      <c r="V76" s="7">
        <f t="shared" si="57"/>
        <v>8.0480652130108105E-3</v>
      </c>
      <c r="W76" s="2"/>
      <c r="X76" s="6">
        <f t="shared" si="58"/>
        <v>-1263.5</v>
      </c>
      <c r="Y76" s="2"/>
      <c r="Z76" s="7">
        <f t="shared" si="59"/>
        <v>-0.12603491271820449</v>
      </c>
    </row>
    <row r="77" spans="1:26" s="24" customFormat="1" hidden="1" outlineLevel="2" x14ac:dyDescent="0.25">
      <c r="A77" s="26"/>
      <c r="B77" s="11" t="str">
        <f>CONCATENATE("          ", "6239", " - ", "KITCHEN SUPPLIES")</f>
        <v xml:space="preserve">          6239 - KITCHEN SUPPLIES</v>
      </c>
      <c r="C77" s="11"/>
      <c r="D77" s="6">
        <v>20</v>
      </c>
      <c r="E77" s="2"/>
      <c r="F77" s="7">
        <f t="shared" si="52"/>
        <v>1.0531763482710952E-4</v>
      </c>
      <c r="G77" s="2"/>
      <c r="H77" s="6">
        <v>750</v>
      </c>
      <c r="I77" s="2"/>
      <c r="J77" s="7">
        <f t="shared" si="53"/>
        <v>3.9282029257255392E-3</v>
      </c>
      <c r="K77" s="2"/>
      <c r="L77" s="6">
        <f t="shared" si="54"/>
        <v>-730</v>
      </c>
      <c r="M77" s="2"/>
      <c r="N77" s="7">
        <f t="shared" si="55"/>
        <v>-0.97333333333333338</v>
      </c>
      <c r="O77" s="11"/>
      <c r="P77" s="6">
        <v>2518.77</v>
      </c>
      <c r="Q77" s="2"/>
      <c r="R77" s="7">
        <f t="shared" si="56"/>
        <v>1.9391892032345763E-3</v>
      </c>
      <c r="S77" s="2"/>
      <c r="T77" s="6">
        <v>3750</v>
      </c>
      <c r="U77" s="2"/>
      <c r="V77" s="7">
        <f t="shared" si="57"/>
        <v>3.0104982093556651E-3</v>
      </c>
      <c r="W77" s="2"/>
      <c r="X77" s="6">
        <f t="shared" si="58"/>
        <v>-1231.23</v>
      </c>
      <c r="Y77" s="2"/>
      <c r="Z77" s="7">
        <f t="shared" si="59"/>
        <v>-0.32832800000000001</v>
      </c>
    </row>
    <row r="78" spans="1:26" s="24" customFormat="1" hidden="1" outlineLevel="2" x14ac:dyDescent="0.25">
      <c r="A78" s="26"/>
      <c r="B78" s="11" t="str">
        <f>CONCATENATE("          ", "6241", " - ", "OFFICE EXPENSE")</f>
        <v xml:space="preserve">          6241 - OFFICE EXPENSE</v>
      </c>
      <c r="C78" s="11"/>
      <c r="D78" s="6">
        <v>124.91</v>
      </c>
      <c r="E78" s="2"/>
      <c r="F78" s="7">
        <f t="shared" si="52"/>
        <v>6.5776128831271244E-4</v>
      </c>
      <c r="G78" s="2"/>
      <c r="H78" s="6">
        <v>524</v>
      </c>
      <c r="I78" s="2"/>
      <c r="J78" s="7">
        <f t="shared" si="53"/>
        <v>2.7445044441069101E-3</v>
      </c>
      <c r="K78" s="2"/>
      <c r="L78" s="6">
        <f t="shared" si="54"/>
        <v>-399.09000000000003</v>
      </c>
      <c r="M78" s="2"/>
      <c r="N78" s="7">
        <f t="shared" si="55"/>
        <v>-0.76162213740458018</v>
      </c>
      <c r="O78" s="11"/>
      <c r="P78" s="6">
        <v>20101.84</v>
      </c>
      <c r="Q78" s="2"/>
      <c r="R78" s="7">
        <f t="shared" si="56"/>
        <v>1.5476312284626597E-2</v>
      </c>
      <c r="S78" s="2"/>
      <c r="T78" s="6">
        <v>2620</v>
      </c>
      <c r="U78" s="2"/>
      <c r="V78" s="7">
        <f t="shared" si="57"/>
        <v>2.1033347489364915E-3</v>
      </c>
      <c r="W78" s="2"/>
      <c r="X78" s="6">
        <f t="shared" si="58"/>
        <v>17481.84</v>
      </c>
      <c r="Y78" s="2"/>
      <c r="Z78" s="7">
        <f t="shared" si="59"/>
        <v>6.6724580152671757</v>
      </c>
    </row>
    <row r="79" spans="1:26" s="24" customFormat="1" hidden="1" outlineLevel="2" x14ac:dyDescent="0.25">
      <c r="A79" s="26"/>
      <c r="B79" s="11" t="str">
        <f>CONCATENATE("          ", "6243", " - ", "PAPER SUPPLIES")</f>
        <v xml:space="preserve">          6243 - PAPER SUPPLIES</v>
      </c>
      <c r="C79" s="11"/>
      <c r="D79" s="6">
        <v>1342.59</v>
      </c>
      <c r="E79" s="2"/>
      <c r="F79" s="7">
        <f t="shared" si="52"/>
        <v>7.0699201671264476E-3</v>
      </c>
      <c r="G79" s="2"/>
      <c r="H79" s="6">
        <v>1809</v>
      </c>
      <c r="I79" s="2"/>
      <c r="J79" s="7">
        <f t="shared" si="53"/>
        <v>9.4748254568499998E-3</v>
      </c>
      <c r="K79" s="2"/>
      <c r="L79" s="6">
        <f t="shared" si="54"/>
        <v>-466.41000000000008</v>
      </c>
      <c r="M79" s="2"/>
      <c r="N79" s="7">
        <f t="shared" si="55"/>
        <v>-0.25782752902155892</v>
      </c>
      <c r="O79" s="11"/>
      <c r="P79" s="6">
        <v>9220.9699999999993</v>
      </c>
      <c r="Q79" s="2"/>
      <c r="R79" s="7">
        <f t="shared" si="56"/>
        <v>7.0991815319977327E-3</v>
      </c>
      <c r="S79" s="2"/>
      <c r="T79" s="6">
        <v>9045</v>
      </c>
      <c r="U79" s="2"/>
      <c r="V79" s="7">
        <f t="shared" si="57"/>
        <v>7.2613216809658638E-3</v>
      </c>
      <c r="W79" s="2"/>
      <c r="X79" s="6">
        <f t="shared" si="58"/>
        <v>175.96999999999935</v>
      </c>
      <c r="Y79" s="2"/>
      <c r="Z79" s="7">
        <f t="shared" si="59"/>
        <v>1.945494748479816E-2</v>
      </c>
    </row>
    <row r="80" spans="1:26" s="24" customFormat="1" hidden="1" outlineLevel="2" x14ac:dyDescent="0.25">
      <c r="A80" s="26"/>
      <c r="B80" s="11" t="str">
        <f>CONCATENATE("          ", "6245", " - ", "PRINTING")</f>
        <v xml:space="preserve">          6245 - PRINTING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469.44</v>
      </c>
      <c r="Q80" s="2"/>
      <c r="R80" s="7">
        <f t="shared" si="56"/>
        <v>3.6141965307131635E-4</v>
      </c>
      <c r="S80" s="2"/>
      <c r="T80" s="6"/>
      <c r="U80" s="2"/>
      <c r="V80" s="7">
        <f t="shared" si="57"/>
        <v>0</v>
      </c>
      <c r="W80" s="2"/>
      <c r="X80" s="6">
        <f t="shared" si="58"/>
        <v>469.44</v>
      </c>
      <c r="Y80" s="2"/>
      <c r="Z80" s="7">
        <f t="shared" si="59"/>
        <v>0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-8059.62</v>
      </c>
      <c r="Q81" s="2"/>
      <c r="R81" s="7">
        <f t="shared" si="56"/>
        <v>-6.2050636168341916E-3</v>
      </c>
      <c r="S81" s="2"/>
      <c r="T81" s="6">
        <v>3500</v>
      </c>
      <c r="U81" s="2"/>
      <c r="V81" s="7">
        <f t="shared" si="57"/>
        <v>2.8097983287319541E-3</v>
      </c>
      <c r="W81" s="2"/>
      <c r="X81" s="6">
        <f t="shared" si="58"/>
        <v>-11559.619999999999</v>
      </c>
      <c r="Y81" s="2"/>
      <c r="Z81" s="7">
        <f t="shared" si="59"/>
        <v>-3.3027485714285709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SUM(OSRRefD22_14x_0)</f>
        <v>111.15</v>
      </c>
      <c r="E82" s="1"/>
      <c r="F82" s="5">
        <f t="shared" ref="F82:F88" si="60">IF(D$12=0,0,D82/D$12)</f>
        <v>5.8530275555166117E-4</v>
      </c>
      <c r="G82" s="1"/>
      <c r="H82" s="1">
        <f>SUM(OSRRefH22_14x_0)</f>
        <v>233</v>
      </c>
      <c r="I82" s="1"/>
      <c r="J82" s="5">
        <f t="shared" ref="J82:J88" si="61">IF(H$12=0,0,H82/H$12)</f>
        <v>1.2203617089254009E-3</v>
      </c>
      <c r="K82" s="1"/>
      <c r="L82" s="1">
        <f t="shared" ref="L82:L88" si="62">+D82-H82</f>
        <v>-121.85</v>
      </c>
      <c r="M82" s="1"/>
      <c r="N82" s="5">
        <f t="shared" ref="N82:N88" si="63">IF(H82=0,0,L82/H82)</f>
        <v>-0.52296137339055793</v>
      </c>
      <c r="O82" s="13"/>
      <c r="P82" s="1">
        <f>SUM(OSRRefP22_14x_0)</f>
        <v>787.75</v>
      </c>
      <c r="Q82" s="1"/>
      <c r="R82" s="5">
        <f t="shared" ref="R82:R88" si="64">IF(P$12=0,0,P82/P$12)</f>
        <v>6.0648502834639026E-4</v>
      </c>
      <c r="S82" s="1"/>
      <c r="T82" s="1">
        <f>SUM(OSRRefT22_14x_0)</f>
        <v>1398</v>
      </c>
      <c r="U82" s="1"/>
      <c r="V82" s="5">
        <f t="shared" ref="V82:V88" si="65">IF(T$12=0,0,T82/T$12)</f>
        <v>1.1223137324477919E-3</v>
      </c>
      <c r="W82" s="1"/>
      <c r="X82" s="1">
        <f t="shared" ref="X82:X88" si="66">+P82-T82</f>
        <v>-610.25</v>
      </c>
      <c r="Y82" s="1"/>
      <c r="Z82" s="5">
        <f t="shared" ref="Z82:Z88" si="67">IF(T82=0,0,X82/T82)</f>
        <v>-0.43651645207439199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111.15</v>
      </c>
      <c r="E83" s="2"/>
      <c r="F83" s="7">
        <f t="shared" si="60"/>
        <v>5.8530275555166117E-4</v>
      </c>
      <c r="G83" s="2"/>
      <c r="H83" s="6">
        <v>233</v>
      </c>
      <c r="I83" s="2"/>
      <c r="J83" s="7">
        <f t="shared" si="61"/>
        <v>1.2203617089254009E-3</v>
      </c>
      <c r="K83" s="2"/>
      <c r="L83" s="6">
        <f t="shared" si="62"/>
        <v>-121.85</v>
      </c>
      <c r="M83" s="2"/>
      <c r="N83" s="7">
        <f t="shared" si="63"/>
        <v>-0.52296137339055793</v>
      </c>
      <c r="O83" s="11"/>
      <c r="P83" s="6">
        <v>787.75</v>
      </c>
      <c r="Q83" s="2"/>
      <c r="R83" s="7">
        <f t="shared" si="64"/>
        <v>6.0648502834639026E-4</v>
      </c>
      <c r="S83" s="2"/>
      <c r="T83" s="6">
        <v>1398</v>
      </c>
      <c r="U83" s="2"/>
      <c r="V83" s="7">
        <f t="shared" si="65"/>
        <v>1.1223137324477919E-3</v>
      </c>
      <c r="W83" s="2"/>
      <c r="X83" s="6">
        <f t="shared" si="66"/>
        <v>-610.25</v>
      </c>
      <c r="Y83" s="2"/>
      <c r="Z83" s="7">
        <f t="shared" si="67"/>
        <v>-0.43651645207439199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SUM(OSRRefD22_15x_0)</f>
        <v>0</v>
      </c>
      <c r="E84" s="1"/>
      <c r="F84" s="5">
        <f t="shared" si="60"/>
        <v>0</v>
      </c>
      <c r="G84" s="1"/>
      <c r="H84" s="1">
        <f>SUM(OSRRefH22_15x_0)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SUM(OSRRefP22_15x_0)</f>
        <v>1555.78</v>
      </c>
      <c r="Q84" s="1"/>
      <c r="R84" s="5">
        <f t="shared" si="64"/>
        <v>1.1977877212323036E-3</v>
      </c>
      <c r="S84" s="1"/>
      <c r="T84" s="1">
        <f>SUM(OSRRefT22_15x_0)</f>
        <v>2758</v>
      </c>
      <c r="U84" s="1"/>
      <c r="V84" s="5">
        <f t="shared" si="65"/>
        <v>2.2141210830407799E-3</v>
      </c>
      <c r="W84" s="1"/>
      <c r="X84" s="1">
        <f t="shared" si="66"/>
        <v>-1202.22</v>
      </c>
      <c r="Y84" s="1"/>
      <c r="Z84" s="5">
        <f t="shared" si="67"/>
        <v>-0.43590282813633069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0"/>
        <v>0</v>
      </c>
      <c r="G85" s="2"/>
      <c r="H85" s="6"/>
      <c r="I85" s="2"/>
      <c r="J85" s="7">
        <f t="shared" si="61"/>
        <v>0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1555.78</v>
      </c>
      <c r="Q85" s="2"/>
      <c r="R85" s="7">
        <f t="shared" si="64"/>
        <v>1.1977877212323036E-3</v>
      </c>
      <c r="S85" s="2"/>
      <c r="T85" s="6">
        <v>2758</v>
      </c>
      <c r="U85" s="2"/>
      <c r="V85" s="7">
        <f t="shared" si="65"/>
        <v>2.2141210830407799E-3</v>
      </c>
      <c r="W85" s="2"/>
      <c r="X85" s="6">
        <f t="shared" si="66"/>
        <v>-1202.22</v>
      </c>
      <c r="Y85" s="2"/>
      <c r="Z85" s="7">
        <f t="shared" si="67"/>
        <v>-0.43590282813633069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SUM(OSRRefD22_16x_0)</f>
        <v>0</v>
      </c>
      <c r="E86" s="1"/>
      <c r="F86" s="5">
        <f t="shared" si="60"/>
        <v>0</v>
      </c>
      <c r="G86" s="1"/>
      <c r="H86" s="1">
        <f>SUM(OSRRefH22_16x_0)</f>
        <v>50</v>
      </c>
      <c r="I86" s="1"/>
      <c r="J86" s="5">
        <f t="shared" si="61"/>
        <v>2.6188019504836925E-4</v>
      </c>
      <c r="K86" s="1"/>
      <c r="L86" s="1">
        <f t="shared" si="62"/>
        <v>-50</v>
      </c>
      <c r="M86" s="1"/>
      <c r="N86" s="5">
        <f t="shared" si="63"/>
        <v>-1</v>
      </c>
      <c r="O86" s="13"/>
      <c r="P86" s="1">
        <f>SUM(OSRRefP22_16x_0)</f>
        <v>79.510000000000005</v>
      </c>
      <c r="Q86" s="1"/>
      <c r="R86" s="5">
        <f t="shared" si="64"/>
        <v>6.121437588552396E-5</v>
      </c>
      <c r="S86" s="1"/>
      <c r="T86" s="1">
        <f>SUM(OSRRefT22_16x_0)</f>
        <v>300</v>
      </c>
      <c r="U86" s="1"/>
      <c r="V86" s="5">
        <f t="shared" si="65"/>
        <v>2.408398567484532E-4</v>
      </c>
      <c r="W86" s="1"/>
      <c r="X86" s="1">
        <f t="shared" si="66"/>
        <v>-220.49</v>
      </c>
      <c r="Y86" s="1"/>
      <c r="Z86" s="5">
        <f t="shared" si="67"/>
        <v>-0.73496666666666666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79.510000000000005</v>
      </c>
      <c r="Q87" s="2"/>
      <c r="R87" s="7">
        <f t="shared" si="64"/>
        <v>6.121437588552396E-5</v>
      </c>
      <c r="S87" s="2"/>
      <c r="T87" s="6"/>
      <c r="U87" s="2"/>
      <c r="V87" s="7">
        <f t="shared" si="65"/>
        <v>0</v>
      </c>
      <c r="W87" s="2"/>
      <c r="X87" s="6">
        <f t="shared" si="66"/>
        <v>79.510000000000005</v>
      </c>
      <c r="Y87" s="2"/>
      <c r="Z87" s="7">
        <f t="shared" si="67"/>
        <v>0</v>
      </c>
    </row>
    <row r="88" spans="1:26" s="24" customFormat="1" hidden="1" outlineLevel="2" x14ac:dyDescent="0.25">
      <c r="A88" s="26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60"/>
        <v>0</v>
      </c>
      <c r="G88" s="2"/>
      <c r="H88" s="6">
        <v>50</v>
      </c>
      <c r="I88" s="2"/>
      <c r="J88" s="7">
        <f t="shared" si="61"/>
        <v>2.6188019504836925E-4</v>
      </c>
      <c r="K88" s="2"/>
      <c r="L88" s="6">
        <f t="shared" si="62"/>
        <v>-50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300</v>
      </c>
      <c r="U88" s="2"/>
      <c r="V88" s="7">
        <f t="shared" si="65"/>
        <v>2.408398567484532E-4</v>
      </c>
      <c r="W88" s="2"/>
      <c r="X88" s="6">
        <f t="shared" si="66"/>
        <v>-300</v>
      </c>
      <c r="Y88" s="2"/>
      <c r="Z88" s="7">
        <f t="shared" si="67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+D23-D25+D90</f>
        <v>29535.710000000006</v>
      </c>
      <c r="E92" s="14"/>
      <c r="F92" s="20">
        <f>IF(D$12=0,0,D92/D$12)</f>
        <v>0.15553155600697038</v>
      </c>
      <c r="G92" s="14"/>
      <c r="H92" s="22">
        <f>+H23-H25+H90</f>
        <v>52515.218820527705</v>
      </c>
      <c r="I92" s="14"/>
      <c r="J92" s="20">
        <f>IF(H$12=0,0,H92/H$12)</f>
        <v>0.27505391495455178</v>
      </c>
      <c r="K92" s="16"/>
      <c r="L92" s="22">
        <f>+D92-H92</f>
        <v>-22979.508820527699</v>
      </c>
      <c r="M92" s="16"/>
      <c r="N92" s="20">
        <f>IF(H92=0,0,L92/H92)</f>
        <v>-0.43757808377531171</v>
      </c>
      <c r="O92" s="28"/>
      <c r="P92" s="22">
        <f>+P23-P25+P90</f>
        <v>254712.30000000016</v>
      </c>
      <c r="Q92" s="14"/>
      <c r="R92" s="20">
        <f>IF(P$12=0,0,P92/P$12)</f>
        <v>0.19610180448832037</v>
      </c>
      <c r="S92" s="14"/>
      <c r="T92" s="22">
        <f>+T23-T25+T90</f>
        <v>350828.11646968627</v>
      </c>
      <c r="U92" s="14"/>
      <c r="V92" s="20">
        <f>IF(T$12=0,0,T92/T$12)</f>
        <v>0.28164464437962966</v>
      </c>
      <c r="W92" s="16"/>
      <c r="X92" s="22">
        <f>+P92-T92</f>
        <v>-96115.816469686106</v>
      </c>
      <c r="Y92" s="16"/>
      <c r="Z92" s="20">
        <f>IF(T92=0,0,X92/T92)</f>
        <v>-0.27396839636708853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22855.759999999998</v>
      </c>
      <c r="E94" s="4"/>
      <c r="F94" s="12">
        <f>IF(D$12=0,0,D94/D$12)</f>
        <v>0.12035572926880282</v>
      </c>
      <c r="G94" s="4"/>
      <c r="H94" s="4">
        <v>26791</v>
      </c>
      <c r="I94" s="4"/>
      <c r="J94" s="12">
        <f>IF(H$12=0,0,H94/H$12)</f>
        <v>0.14032064611081721</v>
      </c>
      <c r="K94" s="4"/>
      <c r="L94" s="4">
        <f>+D94-H94</f>
        <v>-3935.2400000000016</v>
      </c>
      <c r="M94" s="4"/>
      <c r="N94" s="12">
        <f>IF(H94=0,0,L94/H94)</f>
        <v>-0.14688664103616891</v>
      </c>
      <c r="O94" s="10"/>
      <c r="P94" s="4">
        <v>140288.83000000002</v>
      </c>
      <c r="Q94" s="4"/>
      <c r="R94" s="12">
        <f>IF(P$12=0,0,P94/P$12)</f>
        <v>0.10800771188731442</v>
      </c>
      <c r="S94" s="4"/>
      <c r="T94" s="4">
        <v>160458</v>
      </c>
      <c r="U94" s="4"/>
      <c r="V94" s="12">
        <f>IF(T$12=0,0,T94/T$12)</f>
        <v>0.12881560578047768</v>
      </c>
      <c r="W94" s="4"/>
      <c r="X94" s="4">
        <f>+P94-T94</f>
        <v>-20169.169999999984</v>
      </c>
      <c r="Y94" s="4"/>
      <c r="Z94" s="12">
        <f>IF(T94=0,0,X94/T94)</f>
        <v>-0.12569750339652733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6679.950000000008</v>
      </c>
      <c r="E96" s="14"/>
      <c r="F96" s="32">
        <f>IF(D$12=0,0,D96/D$12)</f>
        <v>3.5175826738167555E-2</v>
      </c>
      <c r="G96" s="14"/>
      <c r="H96" s="31">
        <f>+H92-H94</f>
        <v>25724.218820527705</v>
      </c>
      <c r="I96" s="14"/>
      <c r="J96" s="32">
        <f>IF(H$12=0,0,H96/H$12)</f>
        <v>0.13473326884373454</v>
      </c>
      <c r="K96" s="16"/>
      <c r="L96" s="31">
        <f>D96-H96</f>
        <v>-19044.268820527697</v>
      </c>
      <c r="M96" s="16"/>
      <c r="N96" s="32">
        <f>IF(H96=0,0,L96/H96)</f>
        <v>-0.74032447606652041</v>
      </c>
      <c r="O96" s="28"/>
      <c r="P96" s="31">
        <f>+P92-P94</f>
        <v>114423.47000000015</v>
      </c>
      <c r="Q96" s="14"/>
      <c r="R96" s="32">
        <f>IF(P$12=0,0,P96/P$12)</f>
        <v>8.8094092601005938E-2</v>
      </c>
      <c r="S96" s="14"/>
      <c r="T96" s="31">
        <f>+T92-T94</f>
        <v>190370.11646968627</v>
      </c>
      <c r="U96" s="14"/>
      <c r="V96" s="32">
        <f>IF(T$12=0,0,T96/T$12)</f>
        <v>0.15282903859915198</v>
      </c>
      <c r="W96" s="16"/>
      <c r="X96" s="31">
        <f>P96-T96</f>
        <v>-75946.646469686122</v>
      </c>
      <c r="Y96" s="16"/>
      <c r="Z96" s="32">
        <f>IF(T96=0,0,X96/T96)</f>
        <v>-0.39894206022498047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5">
        <f>SUM(D96:D98)</f>
        <v>6679.950000000008</v>
      </c>
      <c r="E99" s="14"/>
      <c r="F99" s="34">
        <f>IF(D$12=0,0,D99/D$12)</f>
        <v>3.5175826738167555E-2</v>
      </c>
      <c r="G99" s="14"/>
      <c r="H99" s="35">
        <f>SUM(H96:H98)</f>
        <v>25724.218820527705</v>
      </c>
      <c r="I99" s="14"/>
      <c r="J99" s="34">
        <f>IF(H$12=0,0,H99/H$12)</f>
        <v>0.13473326884373454</v>
      </c>
      <c r="K99" s="16"/>
      <c r="L99" s="35">
        <f>+D99-H99</f>
        <v>-19044.268820527697</v>
      </c>
      <c r="M99" s="16"/>
      <c r="N99" s="34">
        <f>IF(H99=0,0,L99/H99)</f>
        <v>-0.74032447606652041</v>
      </c>
      <c r="O99" s="28"/>
      <c r="P99" s="35">
        <f>SUM(P96:P98)</f>
        <v>114423.47000000015</v>
      </c>
      <c r="Q99" s="14"/>
      <c r="R99" s="34">
        <f>IF(P$12=0,0,P99/P$12)</f>
        <v>8.8094092601005938E-2</v>
      </c>
      <c r="S99" s="14"/>
      <c r="T99" s="35">
        <f>SUM(T96:T98)</f>
        <v>190370.11646968627</v>
      </c>
      <c r="U99" s="14"/>
      <c r="V99" s="34">
        <f>IF(T$12=0,0,T99/T$12)</f>
        <v>0.15282903859915198</v>
      </c>
      <c r="W99" s="16"/>
      <c r="X99" s="35">
        <f>+P99-T99</f>
        <v>-75946.646469686122</v>
      </c>
      <c r="Y99" s="16"/>
      <c r="Z99" s="34">
        <f>IF(T99=0,0,X99/T99)</f>
        <v>-0.39894206022498047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3">
        <v>43847.44644861111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6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">
        <v>298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21350</v>
      </c>
      <c r="E12" s="4"/>
      <c r="F12" s="12"/>
      <c r="G12" s="4"/>
      <c r="H12" s="4">
        <f>SUM(OSRRefH13x_0)</f>
        <v>29615</v>
      </c>
      <c r="I12" s="4"/>
      <c r="J12" s="12"/>
      <c r="K12" s="4"/>
      <c r="L12" s="4">
        <f t="shared" ref="L12:L13" si="0">+D12-H12</f>
        <v>-8265</v>
      </c>
      <c r="M12" s="4"/>
      <c r="N12" s="12">
        <f t="shared" ref="N12:N13" si="1">IF(H12=0,0,L12/H12)</f>
        <v>-0.27908154651359107</v>
      </c>
      <c r="O12" s="10"/>
      <c r="P12" s="4">
        <f>SUM(OSRRefP13x_0)</f>
        <v>166801</v>
      </c>
      <c r="Q12" s="4"/>
      <c r="R12" s="12"/>
      <c r="S12" s="4"/>
      <c r="T12" s="4">
        <f>SUM(OSRRefT13x_0)</f>
        <v>307785</v>
      </c>
      <c r="U12" s="4"/>
      <c r="V12" s="12"/>
      <c r="W12" s="4"/>
      <c r="X12" s="4">
        <f t="shared" ref="X12:X13" si="2">+P12-T12</f>
        <v>-140984</v>
      </c>
      <c r="Y12" s="4"/>
      <c r="Z12" s="12">
        <f t="shared" ref="Z12:Z13" si="3">IF(T12=0,0,X12/T12)</f>
        <v>-0.45806000942216157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--21350</f>
        <v>21350</v>
      </c>
      <c r="E13" s="2"/>
      <c r="F13" s="19"/>
      <c r="G13" s="2"/>
      <c r="H13" s="2">
        <v>29615</v>
      </c>
      <c r="I13" s="2"/>
      <c r="J13" s="19"/>
      <c r="K13" s="2"/>
      <c r="L13" s="2">
        <f t="shared" si="0"/>
        <v>-8265</v>
      </c>
      <c r="M13" s="2"/>
      <c r="N13" s="19">
        <f t="shared" si="1"/>
        <v>-0.27908154651359107</v>
      </c>
      <c r="O13" s="11"/>
      <c r="P13" s="2">
        <f>--166801</f>
        <v>166801</v>
      </c>
      <c r="Q13" s="2"/>
      <c r="R13" s="19"/>
      <c r="S13" s="2"/>
      <c r="T13" s="2">
        <v>307785</v>
      </c>
      <c r="U13" s="2"/>
      <c r="V13" s="19"/>
      <c r="W13" s="2"/>
      <c r="X13" s="2">
        <f t="shared" si="2"/>
        <v>-140984</v>
      </c>
      <c r="Y13" s="2"/>
      <c r="Z13" s="19">
        <f t="shared" si="3"/>
        <v>-0.45806000942216157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21350</v>
      </c>
      <c r="E17" s="14"/>
      <c r="F17" s="20">
        <f>IF(D$12=0,0,D17/D$12)</f>
        <v>1</v>
      </c>
      <c r="G17" s="14"/>
      <c r="H17" s="22">
        <f>H12-H15</f>
        <v>29615</v>
      </c>
      <c r="I17" s="14"/>
      <c r="J17" s="20">
        <f>IF(H$12=0,0,H17/H$12)</f>
        <v>1</v>
      </c>
      <c r="K17" s="16"/>
      <c r="L17" s="22">
        <f>+D17-H17</f>
        <v>-8265</v>
      </c>
      <c r="M17" s="16"/>
      <c r="N17" s="20">
        <f>IF(H17=0,0,L17/H17)</f>
        <v>-0.27908154651359107</v>
      </c>
      <c r="O17" s="28"/>
      <c r="P17" s="22">
        <f>P12-P15</f>
        <v>166801</v>
      </c>
      <c r="Q17" s="14"/>
      <c r="R17" s="20">
        <f>IF(P$12=0,0,P17/P$12)</f>
        <v>1</v>
      </c>
      <c r="S17" s="14"/>
      <c r="T17" s="22">
        <f>T12-T15</f>
        <v>307785</v>
      </c>
      <c r="U17" s="14"/>
      <c r="V17" s="20">
        <f>IF(T$12=0,0,T17/T$12)</f>
        <v>1</v>
      </c>
      <c r="W17" s="16"/>
      <c r="X17" s="22">
        <f>+P17-T17</f>
        <v>-140984</v>
      </c>
      <c r="Y17" s="16"/>
      <c r="Z17" s="20">
        <f>IF(T17=0,0,X17/T17)</f>
        <v>-0.45806000942216157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20034.310000000001</v>
      </c>
      <c r="E19" s="21"/>
      <c r="F19" s="30">
        <f t="shared" ref="F19:F29" si="4">IF(D$12=0,0,D19/D$12)</f>
        <v>0.93837517564402817</v>
      </c>
      <c r="G19" s="21"/>
      <c r="H19" s="21">
        <f>SUM(OSRRefH22x_0)</f>
        <v>27530.136620846155</v>
      </c>
      <c r="I19" s="21"/>
      <c r="J19" s="30">
        <f t="shared" ref="J19:J29" si="5">IF(H$12=0,0,H19/H$12)</f>
        <v>0.92960110149742203</v>
      </c>
      <c r="K19" s="4"/>
      <c r="L19" s="21">
        <f t="shared" ref="L19:L29" si="6">+D19-H19</f>
        <v>-7495.8266208461537</v>
      </c>
      <c r="M19" s="4"/>
      <c r="N19" s="30">
        <f t="shared" ref="N19:N29" si="7">IF(H19=0,0,L19/H19)</f>
        <v>-0.27227713120646929</v>
      </c>
      <c r="O19" s="10"/>
      <c r="P19" s="21">
        <f>SUM(OSRRefP22x_0)</f>
        <v>165274.94999999995</v>
      </c>
      <c r="Q19" s="21"/>
      <c r="R19" s="30">
        <f t="shared" ref="R19:R29" si="8">IF(P$12=0,0,P19/P$12)</f>
        <v>0.99085107403432804</v>
      </c>
      <c r="S19" s="21"/>
      <c r="T19" s="21">
        <f>SUM(OSRRefT22x_0)</f>
        <v>282857.05003549997</v>
      </c>
      <c r="U19" s="21"/>
      <c r="V19" s="30">
        <f t="shared" ref="V19:V29" si="9">IF(T$12=0,0,T19/T$12)</f>
        <v>0.91900856128628738</v>
      </c>
      <c r="W19" s="4"/>
      <c r="X19" s="21">
        <f t="shared" ref="X19:X29" si="10">+P19-T19</f>
        <v>-117582.10003550001</v>
      </c>
      <c r="Y19" s="4"/>
      <c r="Z19" s="30">
        <f t="shared" ref="Z19:Z29" si="11">IF(T19=0,0,X19/T19)</f>
        <v>-0.41569442946796936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3916.68</v>
      </c>
      <c r="E20" s="1"/>
      <c r="F20" s="5">
        <f t="shared" si="4"/>
        <v>0.1834510538641686</v>
      </c>
      <c r="G20" s="1"/>
      <c r="H20" s="1">
        <f>SUM(OSRRefH22_0x_0)</f>
        <v>967.4881593076924</v>
      </c>
      <c r="I20" s="1"/>
      <c r="J20" s="5">
        <f t="shared" si="5"/>
        <v>3.2668855624099019E-2</v>
      </c>
      <c r="K20" s="1"/>
      <c r="L20" s="1">
        <f t="shared" si="6"/>
        <v>2949.1918406923073</v>
      </c>
      <c r="M20" s="1"/>
      <c r="N20" s="5">
        <f t="shared" si="7"/>
        <v>3.0482976068695939</v>
      </c>
      <c r="O20" s="13"/>
      <c r="P20" s="1">
        <f>SUM(OSRRefP22_0x_0)</f>
        <v>27100.460000000003</v>
      </c>
      <c r="Q20" s="1"/>
      <c r="R20" s="5">
        <f t="shared" si="8"/>
        <v>0.16247180772297529</v>
      </c>
      <c r="S20" s="1"/>
      <c r="T20" s="1">
        <f>SUM(OSRRefT22_0x_0)</f>
        <v>8113.8350354999975</v>
      </c>
      <c r="U20" s="1"/>
      <c r="V20" s="5">
        <f t="shared" si="9"/>
        <v>2.6362022306155263E-2</v>
      </c>
      <c r="W20" s="1"/>
      <c r="X20" s="1">
        <f t="shared" si="10"/>
        <v>18986.624964500006</v>
      </c>
      <c r="Y20" s="1"/>
      <c r="Z20" s="5">
        <f t="shared" si="11"/>
        <v>2.3400309325280726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907.16</v>
      </c>
      <c r="E21" s="2"/>
      <c r="F21" s="7">
        <f t="shared" si="4"/>
        <v>4.2489929742388757E-2</v>
      </c>
      <c r="G21" s="2"/>
      <c r="H21" s="6">
        <v>261.889780846154</v>
      </c>
      <c r="I21" s="2"/>
      <c r="J21" s="7">
        <f t="shared" si="5"/>
        <v>8.8431464070962019E-3</v>
      </c>
      <c r="K21" s="2"/>
      <c r="L21" s="6">
        <f t="shared" si="6"/>
        <v>645.27021915384603</v>
      </c>
      <c r="M21" s="2"/>
      <c r="N21" s="7">
        <f t="shared" si="7"/>
        <v>2.4638999546641616</v>
      </c>
      <c r="O21" s="11"/>
      <c r="P21" s="6">
        <v>6796.74</v>
      </c>
      <c r="Q21" s="2"/>
      <c r="R21" s="7">
        <f t="shared" si="8"/>
        <v>4.0747597436466207E-2</v>
      </c>
      <c r="S21" s="2"/>
      <c r="T21" s="6">
        <v>3263.4955754999978</v>
      </c>
      <c r="U21" s="2"/>
      <c r="V21" s="7">
        <f t="shared" si="9"/>
        <v>1.0603166416492024E-2</v>
      </c>
      <c r="W21" s="2"/>
      <c r="X21" s="6">
        <f t="shared" si="10"/>
        <v>3533.244424500002</v>
      </c>
      <c r="Y21" s="2"/>
      <c r="Z21" s="7">
        <f t="shared" si="11"/>
        <v>1.0826564163362398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70.650000000000006</v>
      </c>
      <c r="E22" s="2"/>
      <c r="F22" s="7">
        <f t="shared" si="4"/>
        <v>3.3091334894613587E-3</v>
      </c>
      <c r="G22" s="2"/>
      <c r="H22" s="6">
        <v>210.36902307692301</v>
      </c>
      <c r="I22" s="2"/>
      <c r="J22" s="7">
        <f t="shared" si="5"/>
        <v>7.1034618631410779E-3</v>
      </c>
      <c r="K22" s="2"/>
      <c r="L22" s="6">
        <f t="shared" si="6"/>
        <v>-139.71902307692301</v>
      </c>
      <c r="M22" s="2"/>
      <c r="N22" s="7">
        <f t="shared" si="7"/>
        <v>-0.66416158155487415</v>
      </c>
      <c r="O22" s="11"/>
      <c r="P22" s="6">
        <v>287.29000000000002</v>
      </c>
      <c r="Q22" s="2"/>
      <c r="R22" s="7">
        <f t="shared" si="8"/>
        <v>1.7223517844617239E-3</v>
      </c>
      <c r="S22" s="2"/>
      <c r="T22" s="6">
        <v>1367.3986500000001</v>
      </c>
      <c r="U22" s="2"/>
      <c r="V22" s="7">
        <f t="shared" si="9"/>
        <v>4.4427072469418591E-3</v>
      </c>
      <c r="W22" s="2"/>
      <c r="X22" s="6">
        <f t="shared" si="10"/>
        <v>-1080.1086500000001</v>
      </c>
      <c r="Y22" s="2"/>
      <c r="Z22" s="7">
        <f t="shared" si="11"/>
        <v>-0.78990033374685575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5.8234660421545667E-2</v>
      </c>
      <c r="G23" s="2"/>
      <c r="H23" s="6">
        <v>138.1</v>
      </c>
      <c r="I23" s="2"/>
      <c r="J23" s="7">
        <f t="shared" si="5"/>
        <v>4.6631774438629075E-3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7459.86</v>
      </c>
      <c r="Q23" s="2"/>
      <c r="R23" s="7">
        <f t="shared" si="8"/>
        <v>4.4723113170784347E-2</v>
      </c>
      <c r="S23" s="2"/>
      <c r="T23" s="6">
        <v>828.6</v>
      </c>
      <c r="U23" s="2"/>
      <c r="V23" s="7">
        <f t="shared" si="9"/>
        <v>2.6921389931283202E-3</v>
      </c>
      <c r="W23" s="2"/>
      <c r="X23" s="6">
        <f t="shared" si="10"/>
        <v>6631.2599999999993</v>
      </c>
      <c r="Y23" s="2"/>
      <c r="Z23" s="7">
        <f t="shared" si="11"/>
        <v>8.0029688631426499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54.02</v>
      </c>
      <c r="E24" s="2"/>
      <c r="F24" s="7">
        <f t="shared" si="4"/>
        <v>2.5302107728337239E-3</v>
      </c>
      <c r="G24" s="2"/>
      <c r="H24" s="6">
        <v>28.78734</v>
      </c>
      <c r="I24" s="2"/>
      <c r="J24" s="7">
        <f t="shared" si="5"/>
        <v>9.7205267600877939E-4</v>
      </c>
      <c r="K24" s="2"/>
      <c r="L24" s="6">
        <f t="shared" si="6"/>
        <v>25.232660000000003</v>
      </c>
      <c r="M24" s="2"/>
      <c r="N24" s="7">
        <f t="shared" si="7"/>
        <v>0.87651933106705937</v>
      </c>
      <c r="O24" s="11"/>
      <c r="P24" s="6">
        <v>288.94</v>
      </c>
      <c r="Q24" s="2"/>
      <c r="R24" s="7">
        <f t="shared" si="8"/>
        <v>1.7322438114879407E-3</v>
      </c>
      <c r="S24" s="2"/>
      <c r="T24" s="6">
        <v>187.11770999999999</v>
      </c>
      <c r="U24" s="2"/>
      <c r="V24" s="7">
        <f t="shared" si="9"/>
        <v>6.0794941273941219E-4</v>
      </c>
      <c r="W24" s="2"/>
      <c r="X24" s="6">
        <f t="shared" si="10"/>
        <v>101.82229000000001</v>
      </c>
      <c r="Y24" s="2"/>
      <c r="Z24" s="7">
        <f t="shared" si="11"/>
        <v>0.54416169372744039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2.9951756440281033E-2</v>
      </c>
      <c r="G25" s="2"/>
      <c r="H25" s="6">
        <v>56.936630769230796</v>
      </c>
      <c r="I25" s="2"/>
      <c r="J25" s="7">
        <f t="shared" si="5"/>
        <v>1.922560552734452E-3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4607.24</v>
      </c>
      <c r="Q25" s="2"/>
      <c r="R25" s="7">
        <f t="shared" si="8"/>
        <v>2.7621177331071157E-2</v>
      </c>
      <c r="S25" s="2"/>
      <c r="T25" s="6">
        <v>370.08810000000022</v>
      </c>
      <c r="U25" s="2"/>
      <c r="V25" s="7">
        <f t="shared" si="9"/>
        <v>1.2024240947414598E-3</v>
      </c>
      <c r="W25" s="2"/>
      <c r="X25" s="6">
        <f t="shared" si="10"/>
        <v>4237.1518999999998</v>
      </c>
      <c r="Y25" s="2"/>
      <c r="Z25" s="7">
        <f t="shared" si="11"/>
        <v>11.449035783641779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577.94000000000005</v>
      </c>
      <c r="E27" s="2"/>
      <c r="F27" s="7">
        <f t="shared" si="4"/>
        <v>2.7069789227166279E-2</v>
      </c>
      <c r="G27" s="2"/>
      <c r="H27" s="6">
        <v>33.102692307692301</v>
      </c>
      <c r="I27" s="2"/>
      <c r="J27" s="7">
        <f t="shared" si="5"/>
        <v>1.1177677632177039E-3</v>
      </c>
      <c r="K27" s="2"/>
      <c r="L27" s="6">
        <f t="shared" si="6"/>
        <v>544.83730769230772</v>
      </c>
      <c r="M27" s="2"/>
      <c r="N27" s="7">
        <f t="shared" si="7"/>
        <v>16.459002869857208</v>
      </c>
      <c r="O27" s="11"/>
      <c r="P27" s="6">
        <v>4492.88</v>
      </c>
      <c r="Q27" s="2"/>
      <c r="R27" s="7">
        <f t="shared" si="8"/>
        <v>2.6935569930635908E-2</v>
      </c>
      <c r="S27" s="2"/>
      <c r="T27" s="6">
        <v>215.16749999999999</v>
      </c>
      <c r="U27" s="2"/>
      <c r="V27" s="7">
        <f t="shared" si="9"/>
        <v>6.9908377601247626E-4</v>
      </c>
      <c r="W27" s="2"/>
      <c r="X27" s="6">
        <f t="shared" si="10"/>
        <v>4277.7125000000005</v>
      </c>
      <c r="Y27" s="2"/>
      <c r="Z27" s="7">
        <f t="shared" si="11"/>
        <v>19.880848641174904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288.57</v>
      </c>
      <c r="E28" s="2"/>
      <c r="F28" s="7">
        <f t="shared" si="4"/>
        <v>1.3516159250585479E-2</v>
      </c>
      <c r="G28" s="2"/>
      <c r="H28" s="6">
        <v>88.302692307692297</v>
      </c>
      <c r="I28" s="2"/>
      <c r="J28" s="7">
        <f t="shared" si="5"/>
        <v>2.9816880738710891E-3</v>
      </c>
      <c r="K28" s="2"/>
      <c r="L28" s="6">
        <f t="shared" si="6"/>
        <v>200.2673076923077</v>
      </c>
      <c r="M28" s="2"/>
      <c r="N28" s="7">
        <f t="shared" si="7"/>
        <v>2.2679637784369326</v>
      </c>
      <c r="O28" s="11"/>
      <c r="P28" s="6">
        <v>2265.6999999999998</v>
      </c>
      <c r="Q28" s="2"/>
      <c r="R28" s="7">
        <f t="shared" si="8"/>
        <v>1.3583251898969429E-2</v>
      </c>
      <c r="S28" s="2"/>
      <c r="T28" s="6">
        <v>981.96749999999872</v>
      </c>
      <c r="U28" s="2"/>
      <c r="V28" s="7">
        <f t="shared" si="9"/>
        <v>3.1904332569813302E-3</v>
      </c>
      <c r="W28" s="2"/>
      <c r="X28" s="6">
        <f t="shared" si="10"/>
        <v>1283.732500000001</v>
      </c>
      <c r="Y28" s="2"/>
      <c r="Z28" s="7">
        <f t="shared" si="11"/>
        <v>1.3073065045431775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135.56</v>
      </c>
      <c r="E29" s="2"/>
      <c r="F29" s="7">
        <f t="shared" si="4"/>
        <v>6.3494145199063231E-3</v>
      </c>
      <c r="G29" s="2"/>
      <c r="H29" s="6">
        <v>150</v>
      </c>
      <c r="I29" s="2"/>
      <c r="J29" s="7">
        <f t="shared" si="5"/>
        <v>5.0650008441668077E-3</v>
      </c>
      <c r="K29" s="2"/>
      <c r="L29" s="6">
        <f t="shared" si="6"/>
        <v>-14.439999999999998</v>
      </c>
      <c r="M29" s="2"/>
      <c r="N29" s="7">
        <f t="shared" si="7"/>
        <v>-9.6266666666666653E-2</v>
      </c>
      <c r="O29" s="11"/>
      <c r="P29" s="6">
        <v>901.81</v>
      </c>
      <c r="Q29" s="2"/>
      <c r="R29" s="7">
        <f t="shared" si="8"/>
        <v>5.4065023590985665E-3</v>
      </c>
      <c r="S29" s="2"/>
      <c r="T29" s="6">
        <v>900</v>
      </c>
      <c r="U29" s="2"/>
      <c r="V29" s="7">
        <f t="shared" si="9"/>
        <v>2.9241191091183782E-3</v>
      </c>
      <c r="W29" s="2"/>
      <c r="X29" s="6">
        <f t="shared" si="10"/>
        <v>1.8099999999999454</v>
      </c>
      <c r="Y29" s="2"/>
      <c r="Z29" s="7">
        <f t="shared" si="11"/>
        <v>2.0111111111110504E-3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12932.08</v>
      </c>
      <c r="E30" s="1"/>
      <c r="F30" s="5">
        <f t="shared" ref="F30:F40" si="12">IF(D$12=0,0,D30/D$12)</f>
        <v>0.6057180327868853</v>
      </c>
      <c r="G30" s="1"/>
      <c r="H30" s="1">
        <f>SUM(OSRRefH22_1x_0)</f>
        <v>10950.648461538462</v>
      </c>
      <c r="I30" s="1"/>
      <c r="J30" s="5">
        <f t="shared" ref="J30:J40" si="13">IF(H$12=0,0,H30/H$12)</f>
        <v>0.36976695801244169</v>
      </c>
      <c r="K30" s="1"/>
      <c r="L30" s="1">
        <f t="shared" ref="L30:L40" si="14">+D30-H30</f>
        <v>1981.4315384615384</v>
      </c>
      <c r="M30" s="1"/>
      <c r="N30" s="5">
        <f t="shared" ref="N30:N40" si="15">IF(H30=0,0,L30/H30)</f>
        <v>0.18094193649087026</v>
      </c>
      <c r="O30" s="13"/>
      <c r="P30" s="1">
        <f>SUM(OSRRefP22_1x_0)</f>
        <v>100031.45</v>
      </c>
      <c r="Q30" s="1"/>
      <c r="R30" s="5">
        <f t="shared" ref="R30:R40" si="16">IF(P$12=0,0,P30/P$12)</f>
        <v>0.59970533749797661</v>
      </c>
      <c r="S30" s="1"/>
      <c r="T30" s="1">
        <f>SUM(OSRRefT22_1x_0)</f>
        <v>70771.214999999997</v>
      </c>
      <c r="U30" s="1"/>
      <c r="V30" s="5">
        <f t="shared" ref="V30:V40" si="17">IF(T$12=0,0,T30/T$12)</f>
        <v>0.22993718017447243</v>
      </c>
      <c r="W30" s="1"/>
      <c r="X30" s="1">
        <f t="shared" ref="X30:X40" si="18">+P30-T30</f>
        <v>29260.235000000001</v>
      </c>
      <c r="Y30" s="1"/>
      <c r="Z30" s="5">
        <f t="shared" ref="Z30:Z40" si="19">IF(T30=0,0,X30/T30)</f>
        <v>0.41344825011129177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5318</v>
      </c>
      <c r="E32" s="2"/>
      <c r="F32" s="7">
        <f t="shared" si="12"/>
        <v>0.24908665105386416</v>
      </c>
      <c r="G32" s="2"/>
      <c r="H32" s="6">
        <v>595.84846153846195</v>
      </c>
      <c r="I32" s="2"/>
      <c r="J32" s="7">
        <f t="shared" si="13"/>
        <v>2.0119819737918689E-2</v>
      </c>
      <c r="K32" s="2"/>
      <c r="L32" s="6">
        <f t="shared" si="14"/>
        <v>4722.1515384615377</v>
      </c>
      <c r="M32" s="2"/>
      <c r="N32" s="7">
        <f t="shared" si="15"/>
        <v>7.9250880773764045</v>
      </c>
      <c r="O32" s="11"/>
      <c r="P32" s="6">
        <v>34499.879999999997</v>
      </c>
      <c r="Q32" s="2"/>
      <c r="R32" s="7">
        <f t="shared" si="16"/>
        <v>0.20683257294620536</v>
      </c>
      <c r="S32" s="2"/>
      <c r="T32" s="6">
        <v>3873.0150000000017</v>
      </c>
      <c r="U32" s="2"/>
      <c r="V32" s="7">
        <f t="shared" si="17"/>
        <v>1.2583507968224578E-2</v>
      </c>
      <c r="W32" s="2"/>
      <c r="X32" s="6">
        <f t="shared" si="18"/>
        <v>30626.864999999994</v>
      </c>
      <c r="Y32" s="2"/>
      <c r="Z32" s="7">
        <f t="shared" si="19"/>
        <v>7.9077579095355892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9.133209522201588E-2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17581.2</v>
      </c>
      <c r="U34" s="2"/>
      <c r="V34" s="7">
        <f t="shared" si="17"/>
        <v>5.712169209025781E-2</v>
      </c>
      <c r="W34" s="2"/>
      <c r="X34" s="6">
        <f t="shared" si="18"/>
        <v>-17581.2</v>
      </c>
      <c r="Y34" s="2"/>
      <c r="Z34" s="7">
        <f t="shared" si="1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5841.27</v>
      </c>
      <c r="E35" s="2"/>
      <c r="F35" s="7">
        <f t="shared" si="12"/>
        <v>0.27359578454332556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5841.27</v>
      </c>
      <c r="M35" s="2"/>
      <c r="N35" s="7">
        <f t="shared" si="15"/>
        <v>0</v>
      </c>
      <c r="O35" s="11"/>
      <c r="P35" s="6">
        <v>44937.310000000005</v>
      </c>
      <c r="Q35" s="2"/>
      <c r="R35" s="7">
        <f t="shared" si="16"/>
        <v>0.26940671818514278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44937.310000000005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1597.5</v>
      </c>
      <c r="E37" s="2"/>
      <c r="F37" s="7">
        <f t="shared" si="12"/>
        <v>7.4824355971896961E-2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1597.5</v>
      </c>
      <c r="M37" s="2"/>
      <c r="N37" s="7">
        <f t="shared" si="15"/>
        <v>0</v>
      </c>
      <c r="O37" s="11"/>
      <c r="P37" s="6">
        <v>16644.929999999997</v>
      </c>
      <c r="Q37" s="2"/>
      <c r="R37" s="7">
        <f t="shared" si="16"/>
        <v>9.9789149945144193E-2</v>
      </c>
      <c r="S37" s="2"/>
      <c r="T37" s="6">
        <v>19992</v>
      </c>
      <c r="U37" s="2"/>
      <c r="V37" s="7">
        <f t="shared" si="17"/>
        <v>6.4954432477216245E-2</v>
      </c>
      <c r="W37" s="2"/>
      <c r="X37" s="6">
        <f t="shared" si="18"/>
        <v>-3347.0700000000033</v>
      </c>
      <c r="Y37" s="2"/>
      <c r="Z37" s="7">
        <f t="shared" si="19"/>
        <v>-0.16742046818727507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175.31</v>
      </c>
      <c r="E38" s="2"/>
      <c r="F38" s="7">
        <f t="shared" si="12"/>
        <v>8.2112412177985945E-3</v>
      </c>
      <c r="G38" s="2"/>
      <c r="H38" s="6">
        <v>7650</v>
      </c>
      <c r="I38" s="2"/>
      <c r="J38" s="7">
        <f t="shared" si="13"/>
        <v>0.25831504305250719</v>
      </c>
      <c r="K38" s="2"/>
      <c r="L38" s="6">
        <f t="shared" si="14"/>
        <v>-7474.69</v>
      </c>
      <c r="M38" s="2"/>
      <c r="N38" s="7">
        <f t="shared" si="15"/>
        <v>-0.9770836601307189</v>
      </c>
      <c r="O38" s="11"/>
      <c r="P38" s="6">
        <v>3949.33</v>
      </c>
      <c r="Q38" s="2"/>
      <c r="R38" s="7">
        <f t="shared" si="16"/>
        <v>2.3676896421484284E-2</v>
      </c>
      <c r="S38" s="2"/>
      <c r="T38" s="6">
        <v>29325</v>
      </c>
      <c r="U38" s="2"/>
      <c r="V38" s="7">
        <f t="shared" si="17"/>
        <v>9.5277547638773816E-2</v>
      </c>
      <c r="W38" s="2"/>
      <c r="X38" s="6">
        <f t="shared" si="18"/>
        <v>-25375.67</v>
      </c>
      <c r="Y38" s="2"/>
      <c r="Z38" s="7">
        <f t="shared" si="19"/>
        <v>-0.86532549019607841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400</v>
      </c>
      <c r="I41" s="1"/>
      <c r="J41" s="5">
        <f t="shared" ref="J41:J60" si="21">IF(H$12=0,0,H41/H$12)</f>
        <v>1.3506668917778153E-2</v>
      </c>
      <c r="K41" s="1"/>
      <c r="L41" s="1">
        <f t="shared" ref="L41:L60" si="22">+D41-H41</f>
        <v>-400</v>
      </c>
      <c r="M41" s="1"/>
      <c r="N41" s="5">
        <f t="shared" ref="N41:N60" si="23">IF(H41=0,0,L41/H41)</f>
        <v>-1</v>
      </c>
      <c r="O41" s="13"/>
      <c r="P41" s="1">
        <f>SUM(OSRRefP22_2x_0)</f>
        <v>106.77</v>
      </c>
      <c r="Q41" s="1"/>
      <c r="R41" s="5">
        <f t="shared" ref="R41:R60" si="24">IF(P$12=0,0,P41/P$12)</f>
        <v>6.4010407611465154E-4</v>
      </c>
      <c r="S41" s="1"/>
      <c r="T41" s="1">
        <f>SUM(OSRRefT22_2x_0)</f>
        <v>2400</v>
      </c>
      <c r="U41" s="1"/>
      <c r="V41" s="5">
        <f t="shared" ref="V41:V60" si="25">IF(T$12=0,0,T41/T$12)</f>
        <v>7.7976509576490084E-3</v>
      </c>
      <c r="W41" s="1"/>
      <c r="X41" s="1">
        <f t="shared" ref="X41:X60" si="26">+P41-T41</f>
        <v>-2293.23</v>
      </c>
      <c r="Y41" s="1"/>
      <c r="Z41" s="5">
        <f t="shared" ref="Z41:Z60" si="27">IF(T41=0,0,X41/T41)</f>
        <v>-0.95551249999999999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1.3506668917778153E-2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106.77</v>
      </c>
      <c r="Q42" s="2"/>
      <c r="R42" s="7">
        <f t="shared" si="24"/>
        <v>6.4010407611465154E-4</v>
      </c>
      <c r="S42" s="2"/>
      <c r="T42" s="6">
        <v>2400</v>
      </c>
      <c r="U42" s="2"/>
      <c r="V42" s="7">
        <f t="shared" si="25"/>
        <v>7.7976509576490084E-3</v>
      </c>
      <c r="W42" s="2"/>
      <c r="X42" s="6">
        <f t="shared" si="26"/>
        <v>-2293.23</v>
      </c>
      <c r="Y42" s="2"/>
      <c r="Z42" s="7">
        <f t="shared" si="27"/>
        <v>-0.95551249999999999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1698.21</v>
      </c>
      <c r="E43" s="1"/>
      <c r="F43" s="5">
        <f t="shared" si="20"/>
        <v>7.9541451990632325E-2</v>
      </c>
      <c r="G43" s="1"/>
      <c r="H43" s="1">
        <f>SUM(OSRRefH22_3x_0)</f>
        <v>2000</v>
      </c>
      <c r="I43" s="1"/>
      <c r="J43" s="5">
        <f t="shared" si="21"/>
        <v>6.7533344588890765E-2</v>
      </c>
      <c r="K43" s="1"/>
      <c r="L43" s="1">
        <f t="shared" si="22"/>
        <v>-301.78999999999996</v>
      </c>
      <c r="M43" s="1"/>
      <c r="N43" s="5">
        <f t="shared" si="23"/>
        <v>-0.15089499999999997</v>
      </c>
      <c r="O43" s="13"/>
      <c r="P43" s="1">
        <f>SUM(OSRRefP22_3x_0)</f>
        <v>12556</v>
      </c>
      <c r="Q43" s="1"/>
      <c r="R43" s="5">
        <f t="shared" si="24"/>
        <v>7.5275328085563031E-2</v>
      </c>
      <c r="S43" s="1"/>
      <c r="T43" s="1">
        <f>SUM(OSRRefT22_3x_0)</f>
        <v>9700</v>
      </c>
      <c r="U43" s="1"/>
      <c r="V43" s="5">
        <f t="shared" si="25"/>
        <v>3.1515505953831409E-2</v>
      </c>
      <c r="W43" s="1"/>
      <c r="X43" s="1">
        <f t="shared" si="26"/>
        <v>2856</v>
      </c>
      <c r="Y43" s="1"/>
      <c r="Z43" s="5">
        <f t="shared" si="27"/>
        <v>0.29443298969072162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1698.21</v>
      </c>
      <c r="E44" s="2"/>
      <c r="F44" s="7">
        <f t="shared" si="20"/>
        <v>7.9541451990632325E-2</v>
      </c>
      <c r="G44" s="2"/>
      <c r="H44" s="6">
        <v>2000</v>
      </c>
      <c r="I44" s="2"/>
      <c r="J44" s="7">
        <f t="shared" si="21"/>
        <v>6.7533344588890765E-2</v>
      </c>
      <c r="K44" s="2"/>
      <c r="L44" s="6">
        <f t="shared" si="22"/>
        <v>-301.78999999999996</v>
      </c>
      <c r="M44" s="2"/>
      <c r="N44" s="7">
        <f t="shared" si="23"/>
        <v>-0.15089499999999997</v>
      </c>
      <c r="O44" s="11"/>
      <c r="P44" s="6">
        <v>12556</v>
      </c>
      <c r="Q44" s="2"/>
      <c r="R44" s="7">
        <f t="shared" si="24"/>
        <v>7.5275328085563031E-2</v>
      </c>
      <c r="S44" s="2"/>
      <c r="T44" s="6">
        <v>9700</v>
      </c>
      <c r="U44" s="2"/>
      <c r="V44" s="7">
        <f t="shared" si="25"/>
        <v>3.1515505953831409E-2</v>
      </c>
      <c r="W44" s="2"/>
      <c r="X44" s="6">
        <f t="shared" si="26"/>
        <v>2856</v>
      </c>
      <c r="Y44" s="2"/>
      <c r="Z44" s="7">
        <f t="shared" si="27"/>
        <v>0.29443298969072162</v>
      </c>
    </row>
    <row r="45" spans="1:26" s="25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2.5325004220834038E-3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3.8512958555404341E-4</v>
      </c>
      <c r="S45" s="1"/>
      <c r="T45" s="1">
        <f>SUM(OSRRefT22_4x_0)</f>
        <v>450</v>
      </c>
      <c r="U45" s="1"/>
      <c r="V45" s="5">
        <f t="shared" si="25"/>
        <v>1.4620595545591891E-3</v>
      </c>
      <c r="W45" s="1"/>
      <c r="X45" s="1">
        <f t="shared" si="26"/>
        <v>-385.76</v>
      </c>
      <c r="Y45" s="1"/>
      <c r="Z45" s="5">
        <f t="shared" si="27"/>
        <v>-0.85724444444444448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2.5325004220834038E-3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3.8512958555404341E-4</v>
      </c>
      <c r="S46" s="2"/>
      <c r="T46" s="6">
        <v>450</v>
      </c>
      <c r="U46" s="2"/>
      <c r="V46" s="7">
        <f t="shared" si="25"/>
        <v>1.4620595545591891E-3</v>
      </c>
      <c r="W46" s="2"/>
      <c r="X46" s="6">
        <f t="shared" si="26"/>
        <v>-385.76</v>
      </c>
      <c r="Y46" s="2"/>
      <c r="Z46" s="7">
        <f t="shared" si="27"/>
        <v>-0.85724444444444448</v>
      </c>
    </row>
    <row r="47" spans="1:26" s="25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3.3766672294445384E-4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60</v>
      </c>
      <c r="U47" s="1"/>
      <c r="V47" s="5">
        <f t="shared" si="25"/>
        <v>1.9494127394122522E-4</v>
      </c>
      <c r="W47" s="1"/>
      <c r="X47" s="1">
        <f t="shared" si="26"/>
        <v>-60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3.3766672294445384E-4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60</v>
      </c>
      <c r="U48" s="2"/>
      <c r="V48" s="7">
        <f t="shared" si="25"/>
        <v>1.9494127394122522E-4</v>
      </c>
      <c r="W48" s="2"/>
      <c r="X48" s="6">
        <f t="shared" si="26"/>
        <v>-60</v>
      </c>
      <c r="Y48" s="2"/>
      <c r="Z48" s="7">
        <f t="shared" si="27"/>
        <v>-1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1.6883336147222692E-3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300</v>
      </c>
      <c r="U49" s="1"/>
      <c r="V49" s="5">
        <f t="shared" si="25"/>
        <v>9.7470636970612605E-4</v>
      </c>
      <c r="W49" s="1"/>
      <c r="X49" s="1">
        <f t="shared" si="26"/>
        <v>-300</v>
      </c>
      <c r="Y49" s="1"/>
      <c r="Z49" s="5">
        <f t="shared" si="27"/>
        <v>-1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1.6883336147222692E-3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300</v>
      </c>
      <c r="U50" s="2"/>
      <c r="V50" s="7">
        <f t="shared" si="25"/>
        <v>9.7470636970612605E-4</v>
      </c>
      <c r="W50" s="2"/>
      <c r="X50" s="6">
        <f t="shared" si="26"/>
        <v>-300</v>
      </c>
      <c r="Y50" s="2"/>
      <c r="Z50" s="7">
        <f t="shared" si="27"/>
        <v>-1</v>
      </c>
    </row>
    <row r="51" spans="1:26" s="25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1.3587822014051523E-3</v>
      </c>
      <c r="G51" s="1"/>
      <c r="H51" s="1">
        <f>SUM(OSRRefH22_7x_0)</f>
        <v>27</v>
      </c>
      <c r="I51" s="1"/>
      <c r="J51" s="5">
        <f t="shared" si="21"/>
        <v>9.1170015195002536E-4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174.06</v>
      </c>
      <c r="Q51" s="1"/>
      <c r="R51" s="5">
        <f t="shared" si="24"/>
        <v>1.0435189237474596E-3</v>
      </c>
      <c r="S51" s="1"/>
      <c r="T51" s="1">
        <f>SUM(OSRRefT22_7x_0)</f>
        <v>162</v>
      </c>
      <c r="U51" s="1"/>
      <c r="V51" s="5">
        <f t="shared" si="25"/>
        <v>5.2634143964130811E-4</v>
      </c>
      <c r="W51" s="1"/>
      <c r="X51" s="1">
        <f t="shared" si="26"/>
        <v>12.060000000000002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6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1.3587822014051523E-3</v>
      </c>
      <c r="G52" s="2"/>
      <c r="H52" s="6">
        <v>27</v>
      </c>
      <c r="I52" s="2"/>
      <c r="J52" s="7">
        <f t="shared" si="21"/>
        <v>9.1170015195002536E-4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174.06</v>
      </c>
      <c r="Q52" s="2"/>
      <c r="R52" s="7">
        <f t="shared" si="24"/>
        <v>1.0435189237474596E-3</v>
      </c>
      <c r="S52" s="2"/>
      <c r="T52" s="6">
        <v>162</v>
      </c>
      <c r="U52" s="2"/>
      <c r="V52" s="7">
        <f t="shared" si="25"/>
        <v>5.2634143964130811E-4</v>
      </c>
      <c r="W52" s="2"/>
      <c r="X52" s="6">
        <f t="shared" si="26"/>
        <v>12.060000000000002</v>
      </c>
      <c r="Y52" s="2"/>
      <c r="Z52" s="7">
        <f t="shared" si="27"/>
        <v>7.4444444444444452E-2</v>
      </c>
    </row>
    <row r="53" spans="1:26" s="25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1.3506668917778153E-2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2400</v>
      </c>
      <c r="U53" s="1"/>
      <c r="V53" s="5">
        <f t="shared" si="25"/>
        <v>7.7976509576490084E-3</v>
      </c>
      <c r="W53" s="1"/>
      <c r="X53" s="1">
        <f t="shared" si="26"/>
        <v>-2400</v>
      </c>
      <c r="Y53" s="1"/>
      <c r="Z53" s="5">
        <f t="shared" si="27"/>
        <v>-1</v>
      </c>
    </row>
    <row r="54" spans="1:26" s="24" customFormat="1" hidden="1" outlineLevel="2" x14ac:dyDescent="0.25">
      <c r="A54" s="26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1.3506668917778153E-2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2400</v>
      </c>
      <c r="U54" s="2"/>
      <c r="V54" s="7">
        <f t="shared" si="25"/>
        <v>7.7976509576490084E-3</v>
      </c>
      <c r="W54" s="2"/>
      <c r="X54" s="6">
        <f t="shared" si="26"/>
        <v>-2400</v>
      </c>
      <c r="Y54" s="2"/>
      <c r="Z54" s="7">
        <f t="shared" si="27"/>
        <v>-1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3.7470725995316159E-2</v>
      </c>
      <c r="G55" s="1"/>
      <c r="H55" s="1">
        <f>SUM(OSRRefH22_9x_0)</f>
        <v>800</v>
      </c>
      <c r="I55" s="1"/>
      <c r="J55" s="5">
        <f t="shared" si="21"/>
        <v>2.7013337835556307E-2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4800</v>
      </c>
      <c r="Q55" s="1"/>
      <c r="R55" s="5">
        <f t="shared" si="24"/>
        <v>2.8776805894449073E-2</v>
      </c>
      <c r="S55" s="1"/>
      <c r="T55" s="1">
        <f>SUM(OSRRefT22_9x_0)</f>
        <v>4800</v>
      </c>
      <c r="U55" s="1"/>
      <c r="V55" s="5">
        <f t="shared" si="25"/>
        <v>1.5595301915298017E-2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3.7470725995316159E-2</v>
      </c>
      <c r="G56" s="2"/>
      <c r="H56" s="6">
        <v>800</v>
      </c>
      <c r="I56" s="2"/>
      <c r="J56" s="7">
        <f t="shared" si="21"/>
        <v>2.7013337835556307E-2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4800</v>
      </c>
      <c r="Q56" s="2"/>
      <c r="R56" s="7">
        <f t="shared" si="24"/>
        <v>2.8776805894449073E-2</v>
      </c>
      <c r="S56" s="2"/>
      <c r="T56" s="6">
        <v>4800</v>
      </c>
      <c r="U56" s="2"/>
      <c r="V56" s="7">
        <f t="shared" si="25"/>
        <v>1.5595301915298017E-2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312.64999999999998</v>
      </c>
      <c r="E57" s="1"/>
      <c r="F57" s="5">
        <f t="shared" si="20"/>
        <v>1.4644028103044495E-2</v>
      </c>
      <c r="G57" s="1"/>
      <c r="H57" s="1">
        <f>SUM(OSRRefH22_10x_0)</f>
        <v>2000</v>
      </c>
      <c r="I57" s="1"/>
      <c r="J57" s="5">
        <f t="shared" si="21"/>
        <v>6.7533344588890765E-2</v>
      </c>
      <c r="K57" s="1"/>
      <c r="L57" s="1">
        <f t="shared" si="22"/>
        <v>-1687.35</v>
      </c>
      <c r="M57" s="1"/>
      <c r="N57" s="5">
        <f t="shared" si="23"/>
        <v>-0.84367499999999995</v>
      </c>
      <c r="O57" s="13"/>
      <c r="P57" s="1">
        <f>SUM(OSRRefP22_10x_0)</f>
        <v>749.96</v>
      </c>
      <c r="Q57" s="1"/>
      <c r="R57" s="5">
        <f t="shared" si="24"/>
        <v>4.4961361142918811E-3</v>
      </c>
      <c r="S57" s="1"/>
      <c r="T57" s="1">
        <f>SUM(OSRRefT22_10x_0)</f>
        <v>137000</v>
      </c>
      <c r="U57" s="1"/>
      <c r="V57" s="5">
        <f t="shared" si="25"/>
        <v>0.44511590883246421</v>
      </c>
      <c r="W57" s="1"/>
      <c r="X57" s="1">
        <f t="shared" si="26"/>
        <v>-136250.04</v>
      </c>
      <c r="Y57" s="1"/>
      <c r="Z57" s="5">
        <f t="shared" si="27"/>
        <v>-0.99452583941605843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2.6217468720211509E-3</v>
      </c>
      <c r="S58" s="2"/>
      <c r="T58" s="6">
        <v>125000</v>
      </c>
      <c r="U58" s="2"/>
      <c r="V58" s="7">
        <f t="shared" si="25"/>
        <v>0.40612765404421919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6.7533344588890765E-2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12000</v>
      </c>
      <c r="U59" s="2"/>
      <c r="V59" s="7">
        <f t="shared" si="25"/>
        <v>3.8988254788245039E-2</v>
      </c>
      <c r="W59" s="2"/>
      <c r="X59" s="6">
        <f t="shared" si="26"/>
        <v>-12000</v>
      </c>
      <c r="Y59" s="2"/>
      <c r="Z59" s="7">
        <f t="shared" si="27"/>
        <v>-1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312.64999999999998</v>
      </c>
      <c r="E60" s="2"/>
      <c r="F60" s="7">
        <f t="shared" si="20"/>
        <v>1.4644028103044495E-2</v>
      </c>
      <c r="G60" s="2"/>
      <c r="H60" s="6"/>
      <c r="I60" s="2"/>
      <c r="J60" s="7">
        <f t="shared" si="21"/>
        <v>0</v>
      </c>
      <c r="K60" s="2"/>
      <c r="L60" s="6">
        <f t="shared" si="22"/>
        <v>312.64999999999998</v>
      </c>
      <c r="M60" s="2"/>
      <c r="N60" s="7">
        <f t="shared" si="23"/>
        <v>0</v>
      </c>
      <c r="O60" s="11"/>
      <c r="P60" s="6">
        <v>312.64999999999998</v>
      </c>
      <c r="Q60" s="2"/>
      <c r="R60" s="7">
        <f t="shared" si="24"/>
        <v>1.8743892422707297E-3</v>
      </c>
      <c r="S60" s="2"/>
      <c r="T60" s="6"/>
      <c r="U60" s="2"/>
      <c r="V60" s="7">
        <f t="shared" si="25"/>
        <v>0</v>
      </c>
      <c r="W60" s="2"/>
      <c r="X60" s="6">
        <f t="shared" si="26"/>
        <v>312.64999999999998</v>
      </c>
      <c r="Y60" s="2"/>
      <c r="Z60" s="7">
        <f t="shared" si="27"/>
        <v>0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SUM(OSRRefD22_11x_0)</f>
        <v>162.83000000000001</v>
      </c>
      <c r="E61" s="1"/>
      <c r="F61" s="5">
        <f t="shared" ref="F61:F64" si="28">IF(D$12=0,0,D61/D$12)</f>
        <v>7.6266978922716637E-3</v>
      </c>
      <c r="G61" s="1"/>
      <c r="H61" s="1">
        <f>SUM(OSRRefH22_11x_0)</f>
        <v>7000</v>
      </c>
      <c r="I61" s="1"/>
      <c r="J61" s="5">
        <f t="shared" ref="J61:J64" si="29">IF(H$12=0,0,H61/H$12)</f>
        <v>0.23636670606111768</v>
      </c>
      <c r="K61" s="1"/>
      <c r="L61" s="1">
        <f t="shared" ref="L61:L64" si="30">+D61-H61</f>
        <v>-6837.17</v>
      </c>
      <c r="M61" s="1"/>
      <c r="N61" s="5">
        <f t="shared" ref="N61:N64" si="31">IF(H61=0,0,L61/H61)</f>
        <v>-0.97673857142857146</v>
      </c>
      <c r="O61" s="13"/>
      <c r="P61" s="1">
        <f>SUM(OSRRefP22_11x_0)</f>
        <v>18560.660000000003</v>
      </c>
      <c r="Q61" s="1"/>
      <c r="R61" s="5">
        <f t="shared" ref="R61:R64" si="32">IF(P$12=0,0,P61/P$12)</f>
        <v>0.11127427293601359</v>
      </c>
      <c r="S61" s="1"/>
      <c r="T61" s="1">
        <f>SUM(OSRRefT22_11x_0)</f>
        <v>42100</v>
      </c>
      <c r="U61" s="1"/>
      <c r="V61" s="5">
        <f t="shared" ref="V61:V64" si="33">IF(T$12=0,0,T61/T$12)</f>
        <v>0.13678379388209302</v>
      </c>
      <c r="W61" s="1"/>
      <c r="X61" s="1">
        <f t="shared" ref="X61:X64" si="34">+P61-T61</f>
        <v>-23539.339999999997</v>
      </c>
      <c r="Y61" s="1"/>
      <c r="Z61" s="5">
        <f t="shared" ref="Z61:Z64" si="35">IF(T61=0,0,X61/T61)</f>
        <v>-0.55912921615201894</v>
      </c>
    </row>
    <row r="62" spans="1:26" s="24" customFormat="1" hidden="1" outlineLevel="2" x14ac:dyDescent="0.25">
      <c r="A62" s="26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28"/>
        <v>0</v>
      </c>
      <c r="G62" s="2"/>
      <c r="H62" s="6">
        <v>7000</v>
      </c>
      <c r="I62" s="2"/>
      <c r="J62" s="7">
        <f t="shared" si="29"/>
        <v>0.23636670606111768</v>
      </c>
      <c r="K62" s="2"/>
      <c r="L62" s="6">
        <f t="shared" si="30"/>
        <v>-7000</v>
      </c>
      <c r="M62" s="2"/>
      <c r="N62" s="7">
        <f t="shared" si="31"/>
        <v>-1</v>
      </c>
      <c r="O62" s="11"/>
      <c r="P62" s="6">
        <v>413.27</v>
      </c>
      <c r="Q62" s="2"/>
      <c r="R62" s="7">
        <f t="shared" si="32"/>
        <v>2.4776230358331186E-3</v>
      </c>
      <c r="S62" s="2"/>
      <c r="T62" s="6">
        <v>42100</v>
      </c>
      <c r="U62" s="2"/>
      <c r="V62" s="7">
        <f t="shared" si="33"/>
        <v>0.13678379388209302</v>
      </c>
      <c r="W62" s="2"/>
      <c r="X62" s="6">
        <f t="shared" si="34"/>
        <v>-41686.730000000003</v>
      </c>
      <c r="Y62" s="2"/>
      <c r="Z62" s="7">
        <f t="shared" si="35"/>
        <v>-0.99018361045130654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>
        <v>162.83000000000001</v>
      </c>
      <c r="E63" s="2"/>
      <c r="F63" s="7">
        <f t="shared" si="28"/>
        <v>7.6266978922716637E-3</v>
      </c>
      <c r="G63" s="2"/>
      <c r="H63" s="6"/>
      <c r="I63" s="2"/>
      <c r="J63" s="7">
        <f t="shared" si="29"/>
        <v>0</v>
      </c>
      <c r="K63" s="2"/>
      <c r="L63" s="6">
        <f t="shared" si="30"/>
        <v>162.83000000000001</v>
      </c>
      <c r="M63" s="2"/>
      <c r="N63" s="7">
        <f t="shared" si="31"/>
        <v>0</v>
      </c>
      <c r="O63" s="11"/>
      <c r="P63" s="6">
        <v>18026.560000000001</v>
      </c>
      <c r="Q63" s="2"/>
      <c r="R63" s="7">
        <f t="shared" si="32"/>
        <v>0.10807225376346666</v>
      </c>
      <c r="S63" s="2"/>
      <c r="T63" s="6"/>
      <c r="U63" s="2"/>
      <c r="V63" s="7">
        <f t="shared" si="33"/>
        <v>0</v>
      </c>
      <c r="W63" s="2"/>
      <c r="X63" s="6">
        <f t="shared" si="34"/>
        <v>18026.560000000001</v>
      </c>
      <c r="Y63" s="2"/>
      <c r="Z63" s="7">
        <f t="shared" si="35"/>
        <v>0</v>
      </c>
    </row>
    <row r="64" spans="1:26" s="24" customFormat="1" hidden="1" outlineLevel="2" x14ac:dyDescent="0.25">
      <c r="A64" s="26"/>
      <c r="B64" s="11" t="str">
        <f>CONCATENATE("          ", "6245", " - ", "PRINTING")</f>
        <v xml:space="preserve">          6245 - PRINTING</v>
      </c>
      <c r="C64" s="11"/>
      <c r="D64" s="6"/>
      <c r="E64" s="2"/>
      <c r="F64" s="7">
        <f t="shared" si="28"/>
        <v>0</v>
      </c>
      <c r="G64" s="2"/>
      <c r="H64" s="6"/>
      <c r="I64" s="2"/>
      <c r="J64" s="7">
        <f t="shared" si="29"/>
        <v>0</v>
      </c>
      <c r="K64" s="2"/>
      <c r="L64" s="6">
        <f t="shared" si="30"/>
        <v>0</v>
      </c>
      <c r="M64" s="2"/>
      <c r="N64" s="7">
        <f t="shared" si="31"/>
        <v>0</v>
      </c>
      <c r="O64" s="11"/>
      <c r="P64" s="6">
        <v>120.83</v>
      </c>
      <c r="Q64" s="2"/>
      <c r="R64" s="7">
        <f t="shared" si="32"/>
        <v>7.2439613671380866E-4</v>
      </c>
      <c r="S64" s="2"/>
      <c r="T64" s="6"/>
      <c r="U64" s="2"/>
      <c r="V64" s="7">
        <f t="shared" si="33"/>
        <v>0</v>
      </c>
      <c r="W64" s="2"/>
      <c r="X64" s="6">
        <f t="shared" si="34"/>
        <v>120.83</v>
      </c>
      <c r="Y64" s="2"/>
      <c r="Z64" s="7">
        <f t="shared" si="35"/>
        <v>0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182.85</v>
      </c>
      <c r="E65" s="1"/>
      <c r="F65" s="5">
        <f t="shared" ref="F65:F68" si="36">IF(D$12=0,0,D65/D$12)</f>
        <v>8.564402810304449E-3</v>
      </c>
      <c r="G65" s="1"/>
      <c r="H65" s="1">
        <f>SUM(OSRRefH22_12x_0)</f>
        <v>350</v>
      </c>
      <c r="I65" s="1"/>
      <c r="J65" s="5">
        <f t="shared" ref="J65:J68" si="37">IF(H$12=0,0,H65/H$12)</f>
        <v>1.1818335303055883E-2</v>
      </c>
      <c r="K65" s="1"/>
      <c r="L65" s="1">
        <f t="shared" ref="L65:L68" si="38">+D65-H65</f>
        <v>-167.15</v>
      </c>
      <c r="M65" s="1"/>
      <c r="N65" s="5">
        <f t="shared" ref="N65:N68" si="39">IF(H65=0,0,L65/H65)</f>
        <v>-0.47757142857142859</v>
      </c>
      <c r="O65" s="13"/>
      <c r="P65" s="1">
        <f>SUM(OSRRefP22_12x_0)</f>
        <v>1131.3499999999999</v>
      </c>
      <c r="Q65" s="1"/>
      <c r="R65" s="5">
        <f t="shared" ref="R65:R68" si="40">IF(P$12=0,0,P65/P$12)</f>
        <v>6.7826331976426997E-3</v>
      </c>
      <c r="S65" s="1"/>
      <c r="T65" s="1">
        <f>SUM(OSRRefT22_12x_0)</f>
        <v>2100</v>
      </c>
      <c r="U65" s="1"/>
      <c r="V65" s="5">
        <f t="shared" ref="V65:V68" si="41">IF(T$12=0,0,T65/T$12)</f>
        <v>6.8229445879428819E-3</v>
      </c>
      <c r="W65" s="1"/>
      <c r="X65" s="1">
        <f t="shared" ref="X65:X68" si="42">+P65-T65</f>
        <v>-968.65000000000009</v>
      </c>
      <c r="Y65" s="1"/>
      <c r="Z65" s="5">
        <f t="shared" ref="Z65:Z68" si="43">IF(T65=0,0,X65/T65)</f>
        <v>-0.46126190476190482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182.85</v>
      </c>
      <c r="E66" s="2"/>
      <c r="F66" s="7">
        <f t="shared" si="36"/>
        <v>8.564402810304449E-3</v>
      </c>
      <c r="G66" s="2"/>
      <c r="H66" s="6">
        <v>350</v>
      </c>
      <c r="I66" s="2"/>
      <c r="J66" s="7">
        <f t="shared" si="37"/>
        <v>1.1818335303055883E-2</v>
      </c>
      <c r="K66" s="2"/>
      <c r="L66" s="6">
        <f t="shared" si="38"/>
        <v>-167.15</v>
      </c>
      <c r="M66" s="2"/>
      <c r="N66" s="7">
        <f t="shared" si="39"/>
        <v>-0.47757142857142859</v>
      </c>
      <c r="O66" s="11"/>
      <c r="P66" s="6">
        <v>1131.3499999999999</v>
      </c>
      <c r="Q66" s="2"/>
      <c r="R66" s="7">
        <f t="shared" si="40"/>
        <v>6.7826331976426997E-3</v>
      </c>
      <c r="S66" s="2"/>
      <c r="T66" s="6">
        <v>2100</v>
      </c>
      <c r="U66" s="2"/>
      <c r="V66" s="7">
        <f t="shared" si="41"/>
        <v>6.8229445879428819E-3</v>
      </c>
      <c r="W66" s="2"/>
      <c r="X66" s="6">
        <f t="shared" si="42"/>
        <v>-968.65000000000009</v>
      </c>
      <c r="Y66" s="2"/>
      <c r="Z66" s="7">
        <f t="shared" si="43"/>
        <v>-0.46126190476190482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36"/>
        <v>0</v>
      </c>
      <c r="G67" s="1"/>
      <c r="H67" s="1">
        <f>SUM(OSRRefH22_13x_0)</f>
        <v>2500</v>
      </c>
      <c r="I67" s="1"/>
      <c r="J67" s="5">
        <f t="shared" si="37"/>
        <v>8.4416680736113456E-2</v>
      </c>
      <c r="K67" s="1"/>
      <c r="L67" s="1">
        <f t="shared" si="38"/>
        <v>-2500</v>
      </c>
      <c r="M67" s="1"/>
      <c r="N67" s="5">
        <f t="shared" si="39"/>
        <v>-1</v>
      </c>
      <c r="O67" s="13"/>
      <c r="P67" s="1">
        <f>SUM(OSRRefP22_13x_0)</f>
        <v>0</v>
      </c>
      <c r="Q67" s="1"/>
      <c r="R67" s="5">
        <f t="shared" si="40"/>
        <v>0</v>
      </c>
      <c r="S67" s="1"/>
      <c r="T67" s="1">
        <f>SUM(OSRRefT22_13x_0)</f>
        <v>2500</v>
      </c>
      <c r="U67" s="1"/>
      <c r="V67" s="5">
        <f t="shared" si="41"/>
        <v>8.1225530808843836E-3</v>
      </c>
      <c r="W67" s="1"/>
      <c r="X67" s="1">
        <f t="shared" si="42"/>
        <v>-2500</v>
      </c>
      <c r="Y67" s="1"/>
      <c r="Z67" s="5">
        <f t="shared" si="43"/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36"/>
        <v>0</v>
      </c>
      <c r="G68" s="2"/>
      <c r="H68" s="6">
        <v>2500</v>
      </c>
      <c r="I68" s="2"/>
      <c r="J68" s="7">
        <f t="shared" si="37"/>
        <v>8.4416680736113456E-2</v>
      </c>
      <c r="K68" s="2"/>
      <c r="L68" s="6">
        <f t="shared" si="38"/>
        <v>-2500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2500</v>
      </c>
      <c r="U68" s="2"/>
      <c r="V68" s="7">
        <f t="shared" si="41"/>
        <v>8.1225530808843836E-3</v>
      </c>
      <c r="W68" s="2"/>
      <c r="X68" s="6">
        <f t="shared" si="42"/>
        <v>-2500</v>
      </c>
      <c r="Y68" s="2"/>
      <c r="Z68" s="7">
        <f t="shared" si="43"/>
        <v>-1</v>
      </c>
    </row>
    <row r="69" spans="1:26" s="53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0</v>
      </c>
      <c r="C70" s="10"/>
      <c r="D70" s="4">
        <f>SUM(OSRRefD25x_0)</f>
        <v>1564.6</v>
      </c>
      <c r="E70" s="4"/>
      <c r="F70" s="12">
        <f t="shared" ref="F70:F71" si="44">IF(D$12=0,0,D70/D$12)</f>
        <v>7.3283372365339577E-2</v>
      </c>
      <c r="G70" s="4"/>
      <c r="H70" s="4">
        <f>SUM(OSRRefH25x_0)</f>
        <v>1800</v>
      </c>
      <c r="I70" s="4"/>
      <c r="J70" s="12">
        <f t="shared" ref="J70:J71" si="45">IF(H$12=0,0,H70/H$12)</f>
        <v>6.0780010130001685E-2</v>
      </c>
      <c r="K70" s="4"/>
      <c r="L70" s="4">
        <f t="shared" ref="L70:L71" si="46">+D70-H70</f>
        <v>-235.40000000000009</v>
      </c>
      <c r="M70" s="4"/>
      <c r="N70" s="12">
        <f t="shared" ref="N70:N71" si="47">IF(H70=0,0,L70/H70)</f>
        <v>-0.13077777777777783</v>
      </c>
      <c r="O70" s="10"/>
      <c r="P70" s="4">
        <f>SUM(OSRRefP25x_0)</f>
        <v>13751.34</v>
      </c>
      <c r="Q70" s="4"/>
      <c r="R70" s="12">
        <f t="shared" ref="R70:R71" si="48">IF(P$12=0,0,P70/P$12)</f>
        <v>8.2441592076786113E-2</v>
      </c>
      <c r="S70" s="4"/>
      <c r="T70" s="4">
        <f>SUM(OSRRefT25x_0)</f>
        <v>15450</v>
      </c>
      <c r="U70" s="4"/>
      <c r="V70" s="12">
        <f t="shared" ref="V70:V71" si="49">IF(T$12=0,0,T70/T$12)</f>
        <v>5.0197378039865494E-2</v>
      </c>
      <c r="W70" s="4"/>
      <c r="X70" s="4">
        <f t="shared" ref="X70:X71" si="50">+P70-T70</f>
        <v>-1698.6599999999999</v>
      </c>
      <c r="Y70" s="4"/>
      <c r="Z70" s="12">
        <f t="shared" ref="Z70:Z71" si="51">IF(T70=0,0,X70/T70)</f>
        <v>-0.10994563106796115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--1564.6</f>
        <v>1564.6</v>
      </c>
      <c r="E71" s="2"/>
      <c r="F71" s="19">
        <f t="shared" si="44"/>
        <v>7.3283372365339577E-2</v>
      </c>
      <c r="G71" s="2"/>
      <c r="H71" s="2">
        <v>1800</v>
      </c>
      <c r="I71" s="2"/>
      <c r="J71" s="19">
        <f t="shared" si="45"/>
        <v>6.0780010130001685E-2</v>
      </c>
      <c r="K71" s="2"/>
      <c r="L71" s="2">
        <f t="shared" si="46"/>
        <v>-235.40000000000009</v>
      </c>
      <c r="M71" s="2"/>
      <c r="N71" s="19">
        <f t="shared" si="47"/>
        <v>-0.13077777777777783</v>
      </c>
      <c r="O71" s="11"/>
      <c r="P71" s="2">
        <f>--13751.34</f>
        <v>13751.34</v>
      </c>
      <c r="Q71" s="2"/>
      <c r="R71" s="19">
        <f t="shared" si="48"/>
        <v>8.2441592076786113E-2</v>
      </c>
      <c r="S71" s="2"/>
      <c r="T71" s="2">
        <v>15450</v>
      </c>
      <c r="U71" s="2"/>
      <c r="V71" s="19">
        <f t="shared" si="49"/>
        <v>5.0197378039865494E-2</v>
      </c>
      <c r="W71" s="2"/>
      <c r="X71" s="2">
        <f t="shared" si="50"/>
        <v>-1698.6599999999999</v>
      </c>
      <c r="Y71" s="2"/>
      <c r="Z71" s="19">
        <f t="shared" si="51"/>
        <v>-0.10994563106796115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+D17-D19+D70</f>
        <v>2880.2899999999986</v>
      </c>
      <c r="E73" s="14"/>
      <c r="F73" s="20">
        <f>IF(D$12=0,0,D73/D$12)</f>
        <v>0.13490819672131141</v>
      </c>
      <c r="G73" s="14"/>
      <c r="H73" s="22">
        <f>+H17-H19+H70</f>
        <v>3884.863379153845</v>
      </c>
      <c r="I73" s="14"/>
      <c r="J73" s="20">
        <f>IF(H$12=0,0,H73/H$12)</f>
        <v>0.13117890863257961</v>
      </c>
      <c r="K73" s="16"/>
      <c r="L73" s="22">
        <f>+D73-H73</f>
        <v>-1004.5733791538464</v>
      </c>
      <c r="M73" s="16"/>
      <c r="N73" s="20">
        <f>IF(H73=0,0,L73/H73)</f>
        <v>-0.25858653988821884</v>
      </c>
      <c r="O73" s="28"/>
      <c r="P73" s="22">
        <f>+P17-P19+P70</f>
        <v>15277.390000000047</v>
      </c>
      <c r="Q73" s="14"/>
      <c r="R73" s="20">
        <f>IF(P$12=0,0,P73/P$12)</f>
        <v>9.1590518042458061E-2</v>
      </c>
      <c r="S73" s="14"/>
      <c r="T73" s="22">
        <f>+T17-T19+T70</f>
        <v>40377.949964500032</v>
      </c>
      <c r="U73" s="14"/>
      <c r="V73" s="20">
        <f>IF(T$12=0,0,T73/T$12)</f>
        <v>0.1311888167535781</v>
      </c>
      <c r="W73" s="16"/>
      <c r="X73" s="22">
        <f>+P73-T73</f>
        <v>-25100.559964499986</v>
      </c>
      <c r="Y73" s="16"/>
      <c r="Z73" s="20">
        <f>IF(T73=0,0,X73/T73)</f>
        <v>-0.62164027610535444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>
        <v>2613.5100000000002</v>
      </c>
      <c r="E75" s="4"/>
      <c r="F75" s="12">
        <f>IF(D$12=0,0,D75/D$12)</f>
        <v>0.12241264637002343</v>
      </c>
      <c r="G75" s="4"/>
      <c r="H75" s="4">
        <v>4394</v>
      </c>
      <c r="I75" s="4"/>
      <c r="J75" s="12">
        <f>IF(H$12=0,0,H75/H$12)</f>
        <v>0.14837075806179301</v>
      </c>
      <c r="K75" s="4"/>
      <c r="L75" s="4">
        <f>+D75-H75</f>
        <v>-1780.4899999999998</v>
      </c>
      <c r="M75" s="4"/>
      <c r="N75" s="12">
        <f>IF(H75=0,0,L75/H75)</f>
        <v>-0.40520937642239413</v>
      </c>
      <c r="O75" s="10"/>
      <c r="P75" s="4">
        <v>18015.79</v>
      </c>
      <c r="Q75" s="4"/>
      <c r="R75" s="12">
        <f>IF(P$12=0,0,P75/P$12)</f>
        <v>0.10800768580524098</v>
      </c>
      <c r="S75" s="4"/>
      <c r="T75" s="4">
        <v>39647</v>
      </c>
      <c r="U75" s="4"/>
      <c r="V75" s="12">
        <f>IF(T$12=0,0,T75/T$12)</f>
        <v>0.12881394479912925</v>
      </c>
      <c r="W75" s="4"/>
      <c r="X75" s="4">
        <f>+P75-T75</f>
        <v>-21631.21</v>
      </c>
      <c r="Y75" s="4"/>
      <c r="Z75" s="12">
        <f>IF(T75=0,0,X75/T75)</f>
        <v>-0.54559512699573731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266.77999999999838</v>
      </c>
      <c r="E77" s="14"/>
      <c r="F77" s="32">
        <f>IF(D$12=0,0,D77/D$12)</f>
        <v>1.2495550351287981E-2</v>
      </c>
      <c r="G77" s="14"/>
      <c r="H77" s="31">
        <f>+H73-H75</f>
        <v>-509.13662084615498</v>
      </c>
      <c r="I77" s="14"/>
      <c r="J77" s="32">
        <f>IF(H$12=0,0,H77/H$12)</f>
        <v>-1.7191849429213407E-2</v>
      </c>
      <c r="K77" s="16"/>
      <c r="L77" s="31">
        <f>D77-H77</f>
        <v>775.91662084615336</v>
      </c>
      <c r="M77" s="16"/>
      <c r="N77" s="32">
        <f>IF(H77=0,0,L77/H77)</f>
        <v>-1.5239850937389374</v>
      </c>
      <c r="O77" s="28"/>
      <c r="P77" s="31">
        <f>+P73-P75</f>
        <v>-2738.3999999999542</v>
      </c>
      <c r="Q77" s="14"/>
      <c r="R77" s="32">
        <f>IF(P$12=0,0,P77/P$12)</f>
        <v>-1.6417167762782924E-2</v>
      </c>
      <c r="S77" s="14"/>
      <c r="T77" s="31">
        <f>+T73-T75</f>
        <v>730.94996450003237</v>
      </c>
      <c r="U77" s="14"/>
      <c r="V77" s="32">
        <f>IF(T$12=0,0,T77/T$12)</f>
        <v>2.3748719544488275E-3</v>
      </c>
      <c r="W77" s="16"/>
      <c r="X77" s="31">
        <f>P77-T77</f>
        <v>-3469.3499644999865</v>
      </c>
      <c r="Y77" s="16"/>
      <c r="Z77" s="32">
        <f>IF(T77=0,0,X77/T77)</f>
        <v>-4.7463576619406664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5">
        <f>SUM(D77:D79)</f>
        <v>266.77999999999838</v>
      </c>
      <c r="E80" s="14"/>
      <c r="F80" s="34">
        <f>IF(D$12=0,0,D80/D$12)</f>
        <v>1.2495550351287981E-2</v>
      </c>
      <c r="G80" s="14"/>
      <c r="H80" s="35">
        <f>SUM(H77:H79)</f>
        <v>-509.13662084615498</v>
      </c>
      <c r="I80" s="14"/>
      <c r="J80" s="34">
        <f>IF(H$12=0,0,H80/H$12)</f>
        <v>-1.7191849429213407E-2</v>
      </c>
      <c r="K80" s="16"/>
      <c r="L80" s="35">
        <f>+D80-H80</f>
        <v>775.91662084615336</v>
      </c>
      <c r="M80" s="16"/>
      <c r="N80" s="34">
        <f>IF(H80=0,0,L80/H80)</f>
        <v>-1.5239850937389374</v>
      </c>
      <c r="O80" s="28"/>
      <c r="P80" s="35">
        <f>SUM(P77:P79)</f>
        <v>-2738.3999999999542</v>
      </c>
      <c r="Q80" s="14"/>
      <c r="R80" s="34">
        <f>IF(P$12=0,0,P80/P$12)</f>
        <v>-1.6417167762782924E-2</v>
      </c>
      <c r="S80" s="14"/>
      <c r="T80" s="35">
        <f>SUM(T77:T79)</f>
        <v>730.94996450003237</v>
      </c>
      <c r="U80" s="14"/>
      <c r="V80" s="34">
        <f>IF(T$12=0,0,T80/T$12)</f>
        <v>2.3748719544488275E-3</v>
      </c>
      <c r="W80" s="16"/>
      <c r="X80" s="35">
        <f>+P80-T80</f>
        <v>-3469.3499644999865</v>
      </c>
      <c r="Y80" s="16"/>
      <c r="Z80" s="34">
        <f>IF(T80=0,0,X80/T80)</f>
        <v>-4.7463576619406664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3">
        <v>43847.445623229163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",RIGHT(202006,2),", ",2020)</f>
        <v>Period 06, 2020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43827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21350</v>
      </c>
      <c r="E12" s="4"/>
      <c r="F12" s="12"/>
      <c r="G12" s="4"/>
      <c r="H12" s="4">
        <f>SUM(OSRRefH13x_0)</f>
        <v>29615</v>
      </c>
      <c r="I12" s="4"/>
      <c r="J12" s="12"/>
      <c r="K12" s="4"/>
      <c r="L12" s="4">
        <f t="shared" ref="L12:L13" si="0">+D12-H12</f>
        <v>-8265</v>
      </c>
      <c r="M12" s="4"/>
      <c r="N12" s="12">
        <f t="shared" ref="N12:N13" si="1">IF(H12=0,0,L12/H12)</f>
        <v>-0.27908154651359107</v>
      </c>
      <c r="O12" s="10"/>
      <c r="P12" s="4">
        <f>SUM(OSRRefP13x_0)</f>
        <v>166801</v>
      </c>
      <c r="Q12" s="4"/>
      <c r="R12" s="12"/>
      <c r="S12" s="4"/>
      <c r="T12" s="4">
        <f>SUM(OSRRefT13x_0)</f>
        <v>307785</v>
      </c>
      <c r="U12" s="4"/>
      <c r="V12" s="12"/>
      <c r="W12" s="4"/>
      <c r="X12" s="4">
        <f t="shared" ref="X12:X13" si="2">+P12-T12</f>
        <v>-140984</v>
      </c>
      <c r="Y12" s="4"/>
      <c r="Z12" s="12">
        <f t="shared" ref="Z12:Z13" si="3">IF(T12=0,0,X12/T12)</f>
        <v>-0.45806000942216157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--21350</f>
        <v>21350</v>
      </c>
      <c r="E13" s="2"/>
      <c r="F13" s="19"/>
      <c r="G13" s="2"/>
      <c r="H13" s="2">
        <v>29615</v>
      </c>
      <c r="I13" s="2"/>
      <c r="J13" s="19"/>
      <c r="K13" s="2"/>
      <c r="L13" s="2">
        <f t="shared" si="0"/>
        <v>-8265</v>
      </c>
      <c r="M13" s="2"/>
      <c r="N13" s="19">
        <f t="shared" si="1"/>
        <v>-0.27908154651359107</v>
      </c>
      <c r="O13" s="11"/>
      <c r="P13" s="2">
        <f>--166801</f>
        <v>166801</v>
      </c>
      <c r="Q13" s="2"/>
      <c r="R13" s="19"/>
      <c r="S13" s="2"/>
      <c r="T13" s="2">
        <v>307785</v>
      </c>
      <c r="U13" s="2"/>
      <c r="V13" s="19"/>
      <c r="W13" s="2"/>
      <c r="X13" s="2">
        <f t="shared" si="2"/>
        <v>-140984</v>
      </c>
      <c r="Y13" s="2"/>
      <c r="Z13" s="19">
        <f t="shared" si="3"/>
        <v>-0.45806000942216157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21350</v>
      </c>
      <c r="E17" s="14"/>
      <c r="F17" s="20">
        <f>IF(D$12=0,0,D17/D$12)</f>
        <v>1</v>
      </c>
      <c r="G17" s="14"/>
      <c r="H17" s="22">
        <f>H12-H15</f>
        <v>29615</v>
      </c>
      <c r="I17" s="14"/>
      <c r="J17" s="20">
        <f>IF(H$12=0,0,H17/H$12)</f>
        <v>1</v>
      </c>
      <c r="K17" s="16"/>
      <c r="L17" s="22">
        <f>+D17-H17</f>
        <v>-8265</v>
      </c>
      <c r="M17" s="16"/>
      <c r="N17" s="20">
        <f>IF(H17=0,0,L17/H17)</f>
        <v>-0.27908154651359107</v>
      </c>
      <c r="O17" s="28"/>
      <c r="P17" s="22">
        <f>P12-P15</f>
        <v>166801</v>
      </c>
      <c r="Q17" s="14"/>
      <c r="R17" s="20">
        <f>IF(P$12=0,0,P17/P$12)</f>
        <v>1</v>
      </c>
      <c r="S17" s="14"/>
      <c r="T17" s="22">
        <f>T12-T15</f>
        <v>307785</v>
      </c>
      <c r="U17" s="14"/>
      <c r="V17" s="20">
        <f>IF(T$12=0,0,T17/T$12)</f>
        <v>1</v>
      </c>
      <c r="W17" s="16"/>
      <c r="X17" s="22">
        <f>+P17-T17</f>
        <v>-140984</v>
      </c>
      <c r="Y17" s="16"/>
      <c r="Z17" s="20">
        <f>IF(T17=0,0,X17/T17)</f>
        <v>-0.45806000942216157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20034.310000000001</v>
      </c>
      <c r="E19" s="21"/>
      <c r="F19" s="30">
        <f t="shared" ref="F19:F29" si="4">IF(D$12=0,0,D19/D$12)</f>
        <v>0.93837517564402817</v>
      </c>
      <c r="G19" s="21"/>
      <c r="H19" s="21">
        <f>SUM(OSRRefH22x_0)</f>
        <v>27530.136620846155</v>
      </c>
      <c r="I19" s="21"/>
      <c r="J19" s="30">
        <f t="shared" ref="J19:J29" si="5">IF(H$12=0,0,H19/H$12)</f>
        <v>0.92960110149742203</v>
      </c>
      <c r="K19" s="4"/>
      <c r="L19" s="21">
        <f t="shared" ref="L19:L29" si="6">+D19-H19</f>
        <v>-7495.8266208461537</v>
      </c>
      <c r="M19" s="4"/>
      <c r="N19" s="30">
        <f t="shared" ref="N19:N29" si="7">IF(H19=0,0,L19/H19)</f>
        <v>-0.27227713120646929</v>
      </c>
      <c r="O19" s="10"/>
      <c r="P19" s="21">
        <f>SUM(OSRRefP22x_0)</f>
        <v>165274.94999999995</v>
      </c>
      <c r="Q19" s="21"/>
      <c r="R19" s="30">
        <f t="shared" ref="R19:R29" si="8">IF(P$12=0,0,P19/P$12)</f>
        <v>0.99085107403432804</v>
      </c>
      <c r="S19" s="21"/>
      <c r="T19" s="21">
        <f>SUM(OSRRefT22x_0)</f>
        <v>282857.05003549997</v>
      </c>
      <c r="U19" s="21"/>
      <c r="V19" s="30">
        <f t="shared" ref="V19:V29" si="9">IF(T$12=0,0,T19/T$12)</f>
        <v>0.91900856128628738</v>
      </c>
      <c r="W19" s="4"/>
      <c r="X19" s="21">
        <f t="shared" ref="X19:X29" si="10">+P19-T19</f>
        <v>-117582.10003550001</v>
      </c>
      <c r="Y19" s="4"/>
      <c r="Z19" s="30">
        <f t="shared" ref="Z19:Z29" si="11">IF(T19=0,0,X19/T19)</f>
        <v>-0.41569442946796936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3916.68</v>
      </c>
      <c r="E20" s="1"/>
      <c r="F20" s="5">
        <f t="shared" si="4"/>
        <v>0.1834510538641686</v>
      </c>
      <c r="G20" s="1"/>
      <c r="H20" s="1">
        <f>SUM(OSRRefH22_0x_0)</f>
        <v>967.4881593076924</v>
      </c>
      <c r="I20" s="1"/>
      <c r="J20" s="5">
        <f t="shared" si="5"/>
        <v>3.2668855624099019E-2</v>
      </c>
      <c r="K20" s="1"/>
      <c r="L20" s="1">
        <f t="shared" si="6"/>
        <v>2949.1918406923073</v>
      </c>
      <c r="M20" s="1"/>
      <c r="N20" s="5">
        <f t="shared" si="7"/>
        <v>3.0482976068695939</v>
      </c>
      <c r="O20" s="13"/>
      <c r="P20" s="1">
        <f>SUM(OSRRefP22_0x_0)</f>
        <v>27100.460000000003</v>
      </c>
      <c r="Q20" s="1"/>
      <c r="R20" s="5">
        <f t="shared" si="8"/>
        <v>0.16247180772297529</v>
      </c>
      <c r="S20" s="1"/>
      <c r="T20" s="1">
        <f>SUM(OSRRefT22_0x_0)</f>
        <v>8113.8350354999975</v>
      </c>
      <c r="U20" s="1"/>
      <c r="V20" s="5">
        <f t="shared" si="9"/>
        <v>2.6362022306155263E-2</v>
      </c>
      <c r="W20" s="1"/>
      <c r="X20" s="1">
        <f t="shared" si="10"/>
        <v>18986.624964500006</v>
      </c>
      <c r="Y20" s="1"/>
      <c r="Z20" s="5">
        <f t="shared" si="11"/>
        <v>2.3400309325280726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907.16</v>
      </c>
      <c r="E21" s="2"/>
      <c r="F21" s="7">
        <f t="shared" si="4"/>
        <v>4.2489929742388757E-2</v>
      </c>
      <c r="G21" s="2"/>
      <c r="H21" s="6">
        <v>261.889780846154</v>
      </c>
      <c r="I21" s="2"/>
      <c r="J21" s="7">
        <f t="shared" si="5"/>
        <v>8.8431464070962019E-3</v>
      </c>
      <c r="K21" s="2"/>
      <c r="L21" s="6">
        <f t="shared" si="6"/>
        <v>645.27021915384603</v>
      </c>
      <c r="M21" s="2"/>
      <c r="N21" s="7">
        <f t="shared" si="7"/>
        <v>2.4638999546641616</v>
      </c>
      <c r="O21" s="11"/>
      <c r="P21" s="6">
        <v>6796.74</v>
      </c>
      <c r="Q21" s="2"/>
      <c r="R21" s="7">
        <f t="shared" si="8"/>
        <v>4.0747597436466207E-2</v>
      </c>
      <c r="S21" s="2"/>
      <c r="T21" s="6">
        <v>3263.4955754999978</v>
      </c>
      <c r="U21" s="2"/>
      <c r="V21" s="7">
        <f t="shared" si="9"/>
        <v>1.0603166416492024E-2</v>
      </c>
      <c r="W21" s="2"/>
      <c r="X21" s="6">
        <f t="shared" si="10"/>
        <v>3533.244424500002</v>
      </c>
      <c r="Y21" s="2"/>
      <c r="Z21" s="7">
        <f t="shared" si="11"/>
        <v>1.0826564163362398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70.650000000000006</v>
      </c>
      <c r="E22" s="2"/>
      <c r="F22" s="7">
        <f t="shared" si="4"/>
        <v>3.3091334894613587E-3</v>
      </c>
      <c r="G22" s="2"/>
      <c r="H22" s="6">
        <v>210.36902307692301</v>
      </c>
      <c r="I22" s="2"/>
      <c r="J22" s="7">
        <f t="shared" si="5"/>
        <v>7.1034618631410779E-3</v>
      </c>
      <c r="K22" s="2"/>
      <c r="L22" s="6">
        <f t="shared" si="6"/>
        <v>-139.71902307692301</v>
      </c>
      <c r="M22" s="2"/>
      <c r="N22" s="7">
        <f t="shared" si="7"/>
        <v>-0.66416158155487415</v>
      </c>
      <c r="O22" s="11"/>
      <c r="P22" s="6">
        <v>287.29000000000002</v>
      </c>
      <c r="Q22" s="2"/>
      <c r="R22" s="7">
        <f t="shared" si="8"/>
        <v>1.7223517844617239E-3</v>
      </c>
      <c r="S22" s="2"/>
      <c r="T22" s="6">
        <v>1367.3986500000001</v>
      </c>
      <c r="U22" s="2"/>
      <c r="V22" s="7">
        <f t="shared" si="9"/>
        <v>4.4427072469418591E-3</v>
      </c>
      <c r="W22" s="2"/>
      <c r="X22" s="6">
        <f t="shared" si="10"/>
        <v>-1080.1086500000001</v>
      </c>
      <c r="Y22" s="2"/>
      <c r="Z22" s="7">
        <f t="shared" si="11"/>
        <v>-0.78990033374685575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5.8234660421545667E-2</v>
      </c>
      <c r="G23" s="2"/>
      <c r="H23" s="6">
        <v>138.1</v>
      </c>
      <c r="I23" s="2"/>
      <c r="J23" s="7">
        <f t="shared" si="5"/>
        <v>4.6631774438629075E-3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7459.86</v>
      </c>
      <c r="Q23" s="2"/>
      <c r="R23" s="7">
        <f t="shared" si="8"/>
        <v>4.4723113170784347E-2</v>
      </c>
      <c r="S23" s="2"/>
      <c r="T23" s="6">
        <v>828.6</v>
      </c>
      <c r="U23" s="2"/>
      <c r="V23" s="7">
        <f t="shared" si="9"/>
        <v>2.6921389931283202E-3</v>
      </c>
      <c r="W23" s="2"/>
      <c r="X23" s="6">
        <f t="shared" si="10"/>
        <v>6631.2599999999993</v>
      </c>
      <c r="Y23" s="2"/>
      <c r="Z23" s="7">
        <f t="shared" si="11"/>
        <v>8.0029688631426499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54.02</v>
      </c>
      <c r="E24" s="2"/>
      <c r="F24" s="7">
        <f t="shared" si="4"/>
        <v>2.5302107728337239E-3</v>
      </c>
      <c r="G24" s="2"/>
      <c r="H24" s="6">
        <v>28.78734</v>
      </c>
      <c r="I24" s="2"/>
      <c r="J24" s="7">
        <f t="shared" si="5"/>
        <v>9.7205267600877939E-4</v>
      </c>
      <c r="K24" s="2"/>
      <c r="L24" s="6">
        <f t="shared" si="6"/>
        <v>25.232660000000003</v>
      </c>
      <c r="M24" s="2"/>
      <c r="N24" s="7">
        <f t="shared" si="7"/>
        <v>0.87651933106705937</v>
      </c>
      <c r="O24" s="11"/>
      <c r="P24" s="6">
        <v>288.94</v>
      </c>
      <c r="Q24" s="2"/>
      <c r="R24" s="7">
        <f t="shared" si="8"/>
        <v>1.7322438114879407E-3</v>
      </c>
      <c r="S24" s="2"/>
      <c r="T24" s="6">
        <v>187.11770999999999</v>
      </c>
      <c r="U24" s="2"/>
      <c r="V24" s="7">
        <f t="shared" si="9"/>
        <v>6.0794941273941219E-4</v>
      </c>
      <c r="W24" s="2"/>
      <c r="X24" s="6">
        <f t="shared" si="10"/>
        <v>101.82229000000001</v>
      </c>
      <c r="Y24" s="2"/>
      <c r="Z24" s="7">
        <f t="shared" si="11"/>
        <v>0.54416169372744039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2.9951756440281033E-2</v>
      </c>
      <c r="G25" s="2"/>
      <c r="H25" s="6">
        <v>56.936630769230796</v>
      </c>
      <c r="I25" s="2"/>
      <c r="J25" s="7">
        <f t="shared" si="5"/>
        <v>1.922560552734452E-3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4607.24</v>
      </c>
      <c r="Q25" s="2"/>
      <c r="R25" s="7">
        <f t="shared" si="8"/>
        <v>2.7621177331071157E-2</v>
      </c>
      <c r="S25" s="2"/>
      <c r="T25" s="6">
        <v>370.08810000000022</v>
      </c>
      <c r="U25" s="2"/>
      <c r="V25" s="7">
        <f t="shared" si="9"/>
        <v>1.2024240947414598E-3</v>
      </c>
      <c r="W25" s="2"/>
      <c r="X25" s="6">
        <f t="shared" si="10"/>
        <v>4237.1518999999998</v>
      </c>
      <c r="Y25" s="2"/>
      <c r="Z25" s="7">
        <f t="shared" si="11"/>
        <v>11.449035783641779</v>
      </c>
    </row>
    <row r="26" spans="1:26" s="24" customFormat="1" hidden="1" outlineLevel="2" x14ac:dyDescent="0.25">
      <c r="A26" s="26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577.94000000000005</v>
      </c>
      <c r="E27" s="2"/>
      <c r="F27" s="7">
        <f t="shared" si="4"/>
        <v>2.7069789227166279E-2</v>
      </c>
      <c r="G27" s="2"/>
      <c r="H27" s="6">
        <v>33.102692307692301</v>
      </c>
      <c r="I27" s="2"/>
      <c r="J27" s="7">
        <f t="shared" si="5"/>
        <v>1.1177677632177039E-3</v>
      </c>
      <c r="K27" s="2"/>
      <c r="L27" s="6">
        <f t="shared" si="6"/>
        <v>544.83730769230772</v>
      </c>
      <c r="M27" s="2"/>
      <c r="N27" s="7">
        <f t="shared" si="7"/>
        <v>16.459002869857208</v>
      </c>
      <c r="O27" s="11"/>
      <c r="P27" s="6">
        <v>4492.88</v>
      </c>
      <c r="Q27" s="2"/>
      <c r="R27" s="7">
        <f t="shared" si="8"/>
        <v>2.6935569930635908E-2</v>
      </c>
      <c r="S27" s="2"/>
      <c r="T27" s="6">
        <v>215.16749999999999</v>
      </c>
      <c r="U27" s="2"/>
      <c r="V27" s="7">
        <f t="shared" si="9"/>
        <v>6.9908377601247626E-4</v>
      </c>
      <c r="W27" s="2"/>
      <c r="X27" s="6">
        <f t="shared" si="10"/>
        <v>4277.7125000000005</v>
      </c>
      <c r="Y27" s="2"/>
      <c r="Z27" s="7">
        <f t="shared" si="11"/>
        <v>19.880848641174904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288.57</v>
      </c>
      <c r="E28" s="2"/>
      <c r="F28" s="7">
        <f t="shared" si="4"/>
        <v>1.3516159250585479E-2</v>
      </c>
      <c r="G28" s="2"/>
      <c r="H28" s="6">
        <v>88.302692307692297</v>
      </c>
      <c r="I28" s="2"/>
      <c r="J28" s="7">
        <f t="shared" si="5"/>
        <v>2.9816880738710891E-3</v>
      </c>
      <c r="K28" s="2"/>
      <c r="L28" s="6">
        <f t="shared" si="6"/>
        <v>200.2673076923077</v>
      </c>
      <c r="M28" s="2"/>
      <c r="N28" s="7">
        <f t="shared" si="7"/>
        <v>2.2679637784369326</v>
      </c>
      <c r="O28" s="11"/>
      <c r="P28" s="6">
        <v>2265.6999999999998</v>
      </c>
      <c r="Q28" s="2"/>
      <c r="R28" s="7">
        <f t="shared" si="8"/>
        <v>1.3583251898969429E-2</v>
      </c>
      <c r="S28" s="2"/>
      <c r="T28" s="6">
        <v>981.96749999999872</v>
      </c>
      <c r="U28" s="2"/>
      <c r="V28" s="7">
        <f t="shared" si="9"/>
        <v>3.1904332569813302E-3</v>
      </c>
      <c r="W28" s="2"/>
      <c r="X28" s="6">
        <f t="shared" si="10"/>
        <v>1283.732500000001</v>
      </c>
      <c r="Y28" s="2"/>
      <c r="Z28" s="7">
        <f t="shared" si="11"/>
        <v>1.3073065045431775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135.56</v>
      </c>
      <c r="E29" s="2"/>
      <c r="F29" s="7">
        <f t="shared" si="4"/>
        <v>6.3494145199063231E-3</v>
      </c>
      <c r="G29" s="2"/>
      <c r="H29" s="6">
        <v>150</v>
      </c>
      <c r="I29" s="2"/>
      <c r="J29" s="7">
        <f t="shared" si="5"/>
        <v>5.0650008441668077E-3</v>
      </c>
      <c r="K29" s="2"/>
      <c r="L29" s="6">
        <f t="shared" si="6"/>
        <v>-14.439999999999998</v>
      </c>
      <c r="M29" s="2"/>
      <c r="N29" s="7">
        <f t="shared" si="7"/>
        <v>-9.6266666666666653E-2</v>
      </c>
      <c r="O29" s="11"/>
      <c r="P29" s="6">
        <v>901.81</v>
      </c>
      <c r="Q29" s="2"/>
      <c r="R29" s="7">
        <f t="shared" si="8"/>
        <v>5.4065023590985665E-3</v>
      </c>
      <c r="S29" s="2"/>
      <c r="T29" s="6">
        <v>900</v>
      </c>
      <c r="U29" s="2"/>
      <c r="V29" s="7">
        <f t="shared" si="9"/>
        <v>2.9241191091183782E-3</v>
      </c>
      <c r="W29" s="2"/>
      <c r="X29" s="6">
        <f t="shared" si="10"/>
        <v>1.8099999999999454</v>
      </c>
      <c r="Y29" s="2"/>
      <c r="Z29" s="7">
        <f t="shared" si="11"/>
        <v>2.0111111111110504E-3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12932.08</v>
      </c>
      <c r="E30" s="1"/>
      <c r="F30" s="5">
        <f t="shared" ref="F30:F40" si="12">IF(D$12=0,0,D30/D$12)</f>
        <v>0.6057180327868853</v>
      </c>
      <c r="G30" s="1"/>
      <c r="H30" s="1">
        <f>SUM(OSRRefH22_1x_0)</f>
        <v>10950.648461538462</v>
      </c>
      <c r="I30" s="1"/>
      <c r="J30" s="5">
        <f t="shared" ref="J30:J40" si="13">IF(H$12=0,0,H30/H$12)</f>
        <v>0.36976695801244169</v>
      </c>
      <c r="K30" s="1"/>
      <c r="L30" s="1">
        <f t="shared" ref="L30:L40" si="14">+D30-H30</f>
        <v>1981.4315384615384</v>
      </c>
      <c r="M30" s="1"/>
      <c r="N30" s="5">
        <f t="shared" ref="N30:N40" si="15">IF(H30=0,0,L30/H30)</f>
        <v>0.18094193649087026</v>
      </c>
      <c r="O30" s="13"/>
      <c r="P30" s="1">
        <f>SUM(OSRRefP22_1x_0)</f>
        <v>100031.45</v>
      </c>
      <c r="Q30" s="1"/>
      <c r="R30" s="5">
        <f t="shared" ref="R30:R40" si="16">IF(P$12=0,0,P30/P$12)</f>
        <v>0.59970533749797661</v>
      </c>
      <c r="S30" s="1"/>
      <c r="T30" s="1">
        <f>SUM(OSRRefT22_1x_0)</f>
        <v>70771.214999999997</v>
      </c>
      <c r="U30" s="1"/>
      <c r="V30" s="5">
        <f t="shared" ref="V30:V40" si="17">IF(T$12=0,0,T30/T$12)</f>
        <v>0.22993718017447243</v>
      </c>
      <c r="W30" s="1"/>
      <c r="X30" s="1">
        <f t="shared" ref="X30:X40" si="18">+P30-T30</f>
        <v>29260.235000000001</v>
      </c>
      <c r="Y30" s="1"/>
      <c r="Z30" s="5">
        <f t="shared" ref="Z30:Z40" si="19">IF(T30=0,0,X30/T30)</f>
        <v>0.41344825011129177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5318</v>
      </c>
      <c r="E32" s="2"/>
      <c r="F32" s="7">
        <f t="shared" si="12"/>
        <v>0.24908665105386416</v>
      </c>
      <c r="G32" s="2"/>
      <c r="H32" s="6">
        <v>595.84846153846195</v>
      </c>
      <c r="I32" s="2"/>
      <c r="J32" s="7">
        <f t="shared" si="13"/>
        <v>2.0119819737918689E-2</v>
      </c>
      <c r="K32" s="2"/>
      <c r="L32" s="6">
        <f t="shared" si="14"/>
        <v>4722.1515384615377</v>
      </c>
      <c r="M32" s="2"/>
      <c r="N32" s="7">
        <f t="shared" si="15"/>
        <v>7.9250880773764045</v>
      </c>
      <c r="O32" s="11"/>
      <c r="P32" s="6">
        <v>34499.879999999997</v>
      </c>
      <c r="Q32" s="2"/>
      <c r="R32" s="7">
        <f t="shared" si="16"/>
        <v>0.20683257294620536</v>
      </c>
      <c r="S32" s="2"/>
      <c r="T32" s="6">
        <v>3873.0150000000017</v>
      </c>
      <c r="U32" s="2"/>
      <c r="V32" s="7">
        <f t="shared" si="17"/>
        <v>1.2583507968224578E-2</v>
      </c>
      <c r="W32" s="2"/>
      <c r="X32" s="6">
        <f t="shared" si="18"/>
        <v>30626.864999999994</v>
      </c>
      <c r="Y32" s="2"/>
      <c r="Z32" s="7">
        <f t="shared" si="19"/>
        <v>7.9077579095355892</v>
      </c>
    </row>
    <row r="33" spans="1:26" s="24" customFormat="1" hidden="1" outlineLevel="2" x14ac:dyDescent="0.25">
      <c r="A33" s="26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9.133209522201588E-2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17581.2</v>
      </c>
      <c r="U34" s="2"/>
      <c r="V34" s="7">
        <f t="shared" si="17"/>
        <v>5.712169209025781E-2</v>
      </c>
      <c r="W34" s="2"/>
      <c r="X34" s="6">
        <f t="shared" si="18"/>
        <v>-17581.2</v>
      </c>
      <c r="Y34" s="2"/>
      <c r="Z34" s="7">
        <f t="shared" si="1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5841.27</v>
      </c>
      <c r="E35" s="2"/>
      <c r="F35" s="7">
        <f t="shared" si="12"/>
        <v>0.27359578454332556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5841.27</v>
      </c>
      <c r="M35" s="2"/>
      <c r="N35" s="7">
        <f t="shared" si="15"/>
        <v>0</v>
      </c>
      <c r="O35" s="11"/>
      <c r="P35" s="6">
        <v>44937.310000000005</v>
      </c>
      <c r="Q35" s="2"/>
      <c r="R35" s="7">
        <f t="shared" si="16"/>
        <v>0.26940671818514278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44937.310000000005</v>
      </c>
      <c r="Y35" s="2"/>
      <c r="Z35" s="7">
        <f t="shared" si="19"/>
        <v>0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1597.5</v>
      </c>
      <c r="E37" s="2"/>
      <c r="F37" s="7">
        <f t="shared" si="12"/>
        <v>7.4824355971896961E-2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1597.5</v>
      </c>
      <c r="M37" s="2"/>
      <c r="N37" s="7">
        <f t="shared" si="15"/>
        <v>0</v>
      </c>
      <c r="O37" s="11"/>
      <c r="P37" s="6">
        <v>16644.929999999997</v>
      </c>
      <c r="Q37" s="2"/>
      <c r="R37" s="7">
        <f t="shared" si="16"/>
        <v>9.9789149945144193E-2</v>
      </c>
      <c r="S37" s="2"/>
      <c r="T37" s="6">
        <v>19992</v>
      </c>
      <c r="U37" s="2"/>
      <c r="V37" s="7">
        <f t="shared" si="17"/>
        <v>6.4954432477216245E-2</v>
      </c>
      <c r="W37" s="2"/>
      <c r="X37" s="6">
        <f t="shared" si="18"/>
        <v>-3347.0700000000033</v>
      </c>
      <c r="Y37" s="2"/>
      <c r="Z37" s="7">
        <f t="shared" si="19"/>
        <v>-0.16742046818727507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175.31</v>
      </c>
      <c r="E38" s="2"/>
      <c r="F38" s="7">
        <f t="shared" si="12"/>
        <v>8.2112412177985945E-3</v>
      </c>
      <c r="G38" s="2"/>
      <c r="H38" s="6">
        <v>7650</v>
      </c>
      <c r="I38" s="2"/>
      <c r="J38" s="7">
        <f t="shared" si="13"/>
        <v>0.25831504305250719</v>
      </c>
      <c r="K38" s="2"/>
      <c r="L38" s="6">
        <f t="shared" si="14"/>
        <v>-7474.69</v>
      </c>
      <c r="M38" s="2"/>
      <c r="N38" s="7">
        <f t="shared" si="15"/>
        <v>-0.9770836601307189</v>
      </c>
      <c r="O38" s="11"/>
      <c r="P38" s="6">
        <v>3949.33</v>
      </c>
      <c r="Q38" s="2"/>
      <c r="R38" s="7">
        <f t="shared" si="16"/>
        <v>2.3676896421484284E-2</v>
      </c>
      <c r="S38" s="2"/>
      <c r="T38" s="6">
        <v>29325</v>
      </c>
      <c r="U38" s="2"/>
      <c r="V38" s="7">
        <f t="shared" si="17"/>
        <v>9.5277547638773816E-2</v>
      </c>
      <c r="W38" s="2"/>
      <c r="X38" s="6">
        <f t="shared" si="18"/>
        <v>-25375.67</v>
      </c>
      <c r="Y38" s="2"/>
      <c r="Z38" s="7">
        <f t="shared" si="19"/>
        <v>-0.86532549019607841</v>
      </c>
    </row>
    <row r="39" spans="1:26" s="24" customFormat="1" hidden="1" outlineLevel="2" x14ac:dyDescent="0.25">
      <c r="A39" s="26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6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400</v>
      </c>
      <c r="I41" s="1"/>
      <c r="J41" s="5">
        <f t="shared" ref="J41:J60" si="21">IF(H$12=0,0,H41/H$12)</f>
        <v>1.3506668917778153E-2</v>
      </c>
      <c r="K41" s="1"/>
      <c r="L41" s="1">
        <f t="shared" ref="L41:L60" si="22">+D41-H41</f>
        <v>-400</v>
      </c>
      <c r="M41" s="1"/>
      <c r="N41" s="5">
        <f t="shared" ref="N41:N60" si="23">IF(H41=0,0,L41/H41)</f>
        <v>-1</v>
      </c>
      <c r="O41" s="13"/>
      <c r="P41" s="1">
        <f>SUM(OSRRefP22_2x_0)</f>
        <v>106.77</v>
      </c>
      <c r="Q41" s="1"/>
      <c r="R41" s="5">
        <f t="shared" ref="R41:R60" si="24">IF(P$12=0,0,P41/P$12)</f>
        <v>6.4010407611465154E-4</v>
      </c>
      <c r="S41" s="1"/>
      <c r="T41" s="1">
        <f>SUM(OSRRefT22_2x_0)</f>
        <v>2400</v>
      </c>
      <c r="U41" s="1"/>
      <c r="V41" s="5">
        <f t="shared" ref="V41:V60" si="25">IF(T$12=0,0,T41/T$12)</f>
        <v>7.7976509576490084E-3</v>
      </c>
      <c r="W41" s="1"/>
      <c r="X41" s="1">
        <f t="shared" ref="X41:X60" si="26">+P41-T41</f>
        <v>-2293.23</v>
      </c>
      <c r="Y41" s="1"/>
      <c r="Z41" s="5">
        <f t="shared" ref="Z41:Z60" si="27">IF(T41=0,0,X41/T41)</f>
        <v>-0.95551249999999999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1.3506668917778153E-2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106.77</v>
      </c>
      <c r="Q42" s="2"/>
      <c r="R42" s="7">
        <f t="shared" si="24"/>
        <v>6.4010407611465154E-4</v>
      </c>
      <c r="S42" s="2"/>
      <c r="T42" s="6">
        <v>2400</v>
      </c>
      <c r="U42" s="2"/>
      <c r="V42" s="7">
        <f t="shared" si="25"/>
        <v>7.7976509576490084E-3</v>
      </c>
      <c r="W42" s="2"/>
      <c r="X42" s="6">
        <f t="shared" si="26"/>
        <v>-2293.23</v>
      </c>
      <c r="Y42" s="2"/>
      <c r="Z42" s="7">
        <f t="shared" si="27"/>
        <v>-0.95551249999999999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1698.21</v>
      </c>
      <c r="E43" s="1"/>
      <c r="F43" s="5">
        <f t="shared" si="20"/>
        <v>7.9541451990632325E-2</v>
      </c>
      <c r="G43" s="1"/>
      <c r="H43" s="1">
        <f>SUM(OSRRefH22_3x_0)</f>
        <v>2000</v>
      </c>
      <c r="I43" s="1"/>
      <c r="J43" s="5">
        <f t="shared" si="21"/>
        <v>6.7533344588890765E-2</v>
      </c>
      <c r="K43" s="1"/>
      <c r="L43" s="1">
        <f t="shared" si="22"/>
        <v>-301.78999999999996</v>
      </c>
      <c r="M43" s="1"/>
      <c r="N43" s="5">
        <f t="shared" si="23"/>
        <v>-0.15089499999999997</v>
      </c>
      <c r="O43" s="13"/>
      <c r="P43" s="1">
        <f>SUM(OSRRefP22_3x_0)</f>
        <v>12556</v>
      </c>
      <c r="Q43" s="1"/>
      <c r="R43" s="5">
        <f t="shared" si="24"/>
        <v>7.5275328085563031E-2</v>
      </c>
      <c r="S43" s="1"/>
      <c r="T43" s="1">
        <f>SUM(OSRRefT22_3x_0)</f>
        <v>9700</v>
      </c>
      <c r="U43" s="1"/>
      <c r="V43" s="5">
        <f t="shared" si="25"/>
        <v>3.1515505953831409E-2</v>
      </c>
      <c r="W43" s="1"/>
      <c r="X43" s="1">
        <f t="shared" si="26"/>
        <v>2856</v>
      </c>
      <c r="Y43" s="1"/>
      <c r="Z43" s="5">
        <f t="shared" si="27"/>
        <v>0.29443298969072162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1698.21</v>
      </c>
      <c r="E44" s="2"/>
      <c r="F44" s="7">
        <f t="shared" si="20"/>
        <v>7.9541451990632325E-2</v>
      </c>
      <c r="G44" s="2"/>
      <c r="H44" s="6">
        <v>2000</v>
      </c>
      <c r="I44" s="2"/>
      <c r="J44" s="7">
        <f t="shared" si="21"/>
        <v>6.7533344588890765E-2</v>
      </c>
      <c r="K44" s="2"/>
      <c r="L44" s="6">
        <f t="shared" si="22"/>
        <v>-301.78999999999996</v>
      </c>
      <c r="M44" s="2"/>
      <c r="N44" s="7">
        <f t="shared" si="23"/>
        <v>-0.15089499999999997</v>
      </c>
      <c r="O44" s="11"/>
      <c r="P44" s="6">
        <v>12556</v>
      </c>
      <c r="Q44" s="2"/>
      <c r="R44" s="7">
        <f t="shared" si="24"/>
        <v>7.5275328085563031E-2</v>
      </c>
      <c r="S44" s="2"/>
      <c r="T44" s="6">
        <v>9700</v>
      </c>
      <c r="U44" s="2"/>
      <c r="V44" s="7">
        <f t="shared" si="25"/>
        <v>3.1515505953831409E-2</v>
      </c>
      <c r="W44" s="2"/>
      <c r="X44" s="6">
        <f t="shared" si="26"/>
        <v>2856</v>
      </c>
      <c r="Y44" s="2"/>
      <c r="Z44" s="7">
        <f t="shared" si="27"/>
        <v>0.29443298969072162</v>
      </c>
    </row>
    <row r="45" spans="1:26" s="25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2.5325004220834038E-3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3.8512958555404341E-4</v>
      </c>
      <c r="S45" s="1"/>
      <c r="T45" s="1">
        <f>SUM(OSRRefT22_4x_0)</f>
        <v>450</v>
      </c>
      <c r="U45" s="1"/>
      <c r="V45" s="5">
        <f t="shared" si="25"/>
        <v>1.4620595545591891E-3</v>
      </c>
      <c r="W45" s="1"/>
      <c r="X45" s="1">
        <f t="shared" si="26"/>
        <v>-385.76</v>
      </c>
      <c r="Y45" s="1"/>
      <c r="Z45" s="5">
        <f t="shared" si="27"/>
        <v>-0.85724444444444448</v>
      </c>
    </row>
    <row r="46" spans="1:26" s="24" customFormat="1" hidden="1" outlineLevel="2" x14ac:dyDescent="0.25">
      <c r="A46" s="26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2.5325004220834038E-3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3.8512958555404341E-4</v>
      </c>
      <c r="S46" s="2"/>
      <c r="T46" s="6">
        <v>450</v>
      </c>
      <c r="U46" s="2"/>
      <c r="V46" s="7">
        <f t="shared" si="25"/>
        <v>1.4620595545591891E-3</v>
      </c>
      <c r="W46" s="2"/>
      <c r="X46" s="6">
        <f t="shared" si="26"/>
        <v>-385.76</v>
      </c>
      <c r="Y46" s="2"/>
      <c r="Z46" s="7">
        <f t="shared" si="27"/>
        <v>-0.85724444444444448</v>
      </c>
    </row>
    <row r="47" spans="1:26" s="25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3.3766672294445384E-4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60</v>
      </c>
      <c r="U47" s="1"/>
      <c r="V47" s="5">
        <f t="shared" si="25"/>
        <v>1.9494127394122522E-4</v>
      </c>
      <c r="W47" s="1"/>
      <c r="X47" s="1">
        <f t="shared" si="26"/>
        <v>-60</v>
      </c>
      <c r="Y47" s="1"/>
      <c r="Z47" s="5">
        <f t="shared" si="27"/>
        <v>-1</v>
      </c>
    </row>
    <row r="48" spans="1:26" s="24" customFormat="1" hidden="1" outlineLevel="2" x14ac:dyDescent="0.25">
      <c r="A48" s="26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3.3766672294445384E-4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60</v>
      </c>
      <c r="U48" s="2"/>
      <c r="V48" s="7">
        <f t="shared" si="25"/>
        <v>1.9494127394122522E-4</v>
      </c>
      <c r="W48" s="2"/>
      <c r="X48" s="6">
        <f t="shared" si="26"/>
        <v>-60</v>
      </c>
      <c r="Y48" s="2"/>
      <c r="Z48" s="7">
        <f t="shared" si="27"/>
        <v>-1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1.6883336147222692E-3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300</v>
      </c>
      <c r="U49" s="1"/>
      <c r="V49" s="5">
        <f t="shared" si="25"/>
        <v>9.7470636970612605E-4</v>
      </c>
      <c r="W49" s="1"/>
      <c r="X49" s="1">
        <f t="shared" si="26"/>
        <v>-300</v>
      </c>
      <c r="Y49" s="1"/>
      <c r="Z49" s="5">
        <f t="shared" si="27"/>
        <v>-1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1.6883336147222692E-3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300</v>
      </c>
      <c r="U50" s="2"/>
      <c r="V50" s="7">
        <f t="shared" si="25"/>
        <v>9.7470636970612605E-4</v>
      </c>
      <c r="W50" s="2"/>
      <c r="X50" s="6">
        <f t="shared" si="26"/>
        <v>-300</v>
      </c>
      <c r="Y50" s="2"/>
      <c r="Z50" s="7">
        <f t="shared" si="27"/>
        <v>-1</v>
      </c>
    </row>
    <row r="51" spans="1:26" s="25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1.3587822014051523E-3</v>
      </c>
      <c r="G51" s="1"/>
      <c r="H51" s="1">
        <f>SUM(OSRRefH22_7x_0)</f>
        <v>27</v>
      </c>
      <c r="I51" s="1"/>
      <c r="J51" s="5">
        <f t="shared" si="21"/>
        <v>9.1170015195002536E-4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174.06</v>
      </c>
      <c r="Q51" s="1"/>
      <c r="R51" s="5">
        <f t="shared" si="24"/>
        <v>1.0435189237474596E-3</v>
      </c>
      <c r="S51" s="1"/>
      <c r="T51" s="1">
        <f>SUM(OSRRefT22_7x_0)</f>
        <v>162</v>
      </c>
      <c r="U51" s="1"/>
      <c r="V51" s="5">
        <f t="shared" si="25"/>
        <v>5.2634143964130811E-4</v>
      </c>
      <c r="W51" s="1"/>
      <c r="X51" s="1">
        <f t="shared" si="26"/>
        <v>12.060000000000002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6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1.3587822014051523E-3</v>
      </c>
      <c r="G52" s="2"/>
      <c r="H52" s="6">
        <v>27</v>
      </c>
      <c r="I52" s="2"/>
      <c r="J52" s="7">
        <f t="shared" si="21"/>
        <v>9.1170015195002536E-4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174.06</v>
      </c>
      <c r="Q52" s="2"/>
      <c r="R52" s="7">
        <f t="shared" si="24"/>
        <v>1.0435189237474596E-3</v>
      </c>
      <c r="S52" s="2"/>
      <c r="T52" s="6">
        <v>162</v>
      </c>
      <c r="U52" s="2"/>
      <c r="V52" s="7">
        <f t="shared" si="25"/>
        <v>5.2634143964130811E-4</v>
      </c>
      <c r="W52" s="2"/>
      <c r="X52" s="6">
        <f t="shared" si="26"/>
        <v>12.060000000000002</v>
      </c>
      <c r="Y52" s="2"/>
      <c r="Z52" s="7">
        <f t="shared" si="27"/>
        <v>7.4444444444444452E-2</v>
      </c>
    </row>
    <row r="53" spans="1:26" s="25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1.3506668917778153E-2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2400</v>
      </c>
      <c r="U53" s="1"/>
      <c r="V53" s="5">
        <f t="shared" si="25"/>
        <v>7.7976509576490084E-3</v>
      </c>
      <c r="W53" s="1"/>
      <c r="X53" s="1">
        <f t="shared" si="26"/>
        <v>-2400</v>
      </c>
      <c r="Y53" s="1"/>
      <c r="Z53" s="5">
        <f t="shared" si="27"/>
        <v>-1</v>
      </c>
    </row>
    <row r="54" spans="1:26" s="24" customFormat="1" hidden="1" outlineLevel="2" x14ac:dyDescent="0.25">
      <c r="A54" s="26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1.3506668917778153E-2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2400</v>
      </c>
      <c r="U54" s="2"/>
      <c r="V54" s="7">
        <f t="shared" si="25"/>
        <v>7.7976509576490084E-3</v>
      </c>
      <c r="W54" s="2"/>
      <c r="X54" s="6">
        <f t="shared" si="26"/>
        <v>-2400</v>
      </c>
      <c r="Y54" s="2"/>
      <c r="Z54" s="7">
        <f t="shared" si="27"/>
        <v>-1</v>
      </c>
    </row>
    <row r="55" spans="1:26" s="25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3.7470725995316159E-2</v>
      </c>
      <c r="G55" s="1"/>
      <c r="H55" s="1">
        <f>SUM(OSRRefH22_9x_0)</f>
        <v>800</v>
      </c>
      <c r="I55" s="1"/>
      <c r="J55" s="5">
        <f t="shared" si="21"/>
        <v>2.7013337835556307E-2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4800</v>
      </c>
      <c r="Q55" s="1"/>
      <c r="R55" s="5">
        <f t="shared" si="24"/>
        <v>2.8776805894449073E-2</v>
      </c>
      <c r="S55" s="1"/>
      <c r="T55" s="1">
        <f>SUM(OSRRefT22_9x_0)</f>
        <v>4800</v>
      </c>
      <c r="U55" s="1"/>
      <c r="V55" s="5">
        <f t="shared" si="25"/>
        <v>1.5595301915298017E-2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6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3.7470725995316159E-2</v>
      </c>
      <c r="G56" s="2"/>
      <c r="H56" s="6">
        <v>800</v>
      </c>
      <c r="I56" s="2"/>
      <c r="J56" s="7">
        <f t="shared" si="21"/>
        <v>2.7013337835556307E-2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4800</v>
      </c>
      <c r="Q56" s="2"/>
      <c r="R56" s="7">
        <f t="shared" si="24"/>
        <v>2.8776805894449073E-2</v>
      </c>
      <c r="S56" s="2"/>
      <c r="T56" s="6">
        <v>4800</v>
      </c>
      <c r="U56" s="2"/>
      <c r="V56" s="7">
        <f t="shared" si="25"/>
        <v>1.5595301915298017E-2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312.64999999999998</v>
      </c>
      <c r="E57" s="1"/>
      <c r="F57" s="5">
        <f t="shared" si="20"/>
        <v>1.4644028103044495E-2</v>
      </c>
      <c r="G57" s="1"/>
      <c r="H57" s="1">
        <f>SUM(OSRRefH22_10x_0)</f>
        <v>2000</v>
      </c>
      <c r="I57" s="1"/>
      <c r="J57" s="5">
        <f t="shared" si="21"/>
        <v>6.7533344588890765E-2</v>
      </c>
      <c r="K57" s="1"/>
      <c r="L57" s="1">
        <f t="shared" si="22"/>
        <v>-1687.35</v>
      </c>
      <c r="M57" s="1"/>
      <c r="N57" s="5">
        <f t="shared" si="23"/>
        <v>-0.84367499999999995</v>
      </c>
      <c r="O57" s="13"/>
      <c r="P57" s="1">
        <f>SUM(OSRRefP22_10x_0)</f>
        <v>749.96</v>
      </c>
      <c r="Q57" s="1"/>
      <c r="R57" s="5">
        <f t="shared" si="24"/>
        <v>4.4961361142918811E-3</v>
      </c>
      <c r="S57" s="1"/>
      <c r="T57" s="1">
        <f>SUM(OSRRefT22_10x_0)</f>
        <v>137000</v>
      </c>
      <c r="U57" s="1"/>
      <c r="V57" s="5">
        <f t="shared" si="25"/>
        <v>0.44511590883246421</v>
      </c>
      <c r="W57" s="1"/>
      <c r="X57" s="1">
        <f t="shared" si="26"/>
        <v>-136250.04</v>
      </c>
      <c r="Y57" s="1"/>
      <c r="Z57" s="5">
        <f t="shared" si="27"/>
        <v>-0.99452583941605843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2.6217468720211509E-3</v>
      </c>
      <c r="S58" s="2"/>
      <c r="T58" s="6">
        <v>125000</v>
      </c>
      <c r="U58" s="2"/>
      <c r="V58" s="7">
        <f t="shared" si="25"/>
        <v>0.40612765404421919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6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6.7533344588890765E-2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12000</v>
      </c>
      <c r="U59" s="2"/>
      <c r="V59" s="7">
        <f t="shared" si="25"/>
        <v>3.8988254788245039E-2</v>
      </c>
      <c r="W59" s="2"/>
      <c r="X59" s="6">
        <f t="shared" si="26"/>
        <v>-12000</v>
      </c>
      <c r="Y59" s="2"/>
      <c r="Z59" s="7">
        <f t="shared" si="27"/>
        <v>-1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312.64999999999998</v>
      </c>
      <c r="E60" s="2"/>
      <c r="F60" s="7">
        <f t="shared" si="20"/>
        <v>1.4644028103044495E-2</v>
      </c>
      <c r="G60" s="2"/>
      <c r="H60" s="6"/>
      <c r="I60" s="2"/>
      <c r="J60" s="7">
        <f t="shared" si="21"/>
        <v>0</v>
      </c>
      <c r="K60" s="2"/>
      <c r="L60" s="6">
        <f t="shared" si="22"/>
        <v>312.64999999999998</v>
      </c>
      <c r="M60" s="2"/>
      <c r="N60" s="7">
        <f t="shared" si="23"/>
        <v>0</v>
      </c>
      <c r="O60" s="11"/>
      <c r="P60" s="6">
        <v>312.64999999999998</v>
      </c>
      <c r="Q60" s="2"/>
      <c r="R60" s="7">
        <f t="shared" si="24"/>
        <v>1.8743892422707297E-3</v>
      </c>
      <c r="S60" s="2"/>
      <c r="T60" s="6"/>
      <c r="U60" s="2"/>
      <c r="V60" s="7">
        <f t="shared" si="25"/>
        <v>0</v>
      </c>
      <c r="W60" s="2"/>
      <c r="X60" s="6">
        <f t="shared" si="26"/>
        <v>312.64999999999998</v>
      </c>
      <c r="Y60" s="2"/>
      <c r="Z60" s="7">
        <f t="shared" si="27"/>
        <v>0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SUM(OSRRefD22_11x_0)</f>
        <v>162.83000000000001</v>
      </c>
      <c r="E61" s="1"/>
      <c r="F61" s="5">
        <f t="shared" ref="F61:F64" si="28">IF(D$12=0,0,D61/D$12)</f>
        <v>7.6266978922716637E-3</v>
      </c>
      <c r="G61" s="1"/>
      <c r="H61" s="1">
        <f>SUM(OSRRefH22_11x_0)</f>
        <v>7000</v>
      </c>
      <c r="I61" s="1"/>
      <c r="J61" s="5">
        <f t="shared" ref="J61:J64" si="29">IF(H$12=0,0,H61/H$12)</f>
        <v>0.23636670606111768</v>
      </c>
      <c r="K61" s="1"/>
      <c r="L61" s="1">
        <f t="shared" ref="L61:L64" si="30">+D61-H61</f>
        <v>-6837.17</v>
      </c>
      <c r="M61" s="1"/>
      <c r="N61" s="5">
        <f t="shared" ref="N61:N64" si="31">IF(H61=0,0,L61/H61)</f>
        <v>-0.97673857142857146</v>
      </c>
      <c r="O61" s="13"/>
      <c r="P61" s="1">
        <f>SUM(OSRRefP22_11x_0)</f>
        <v>18560.660000000003</v>
      </c>
      <c r="Q61" s="1"/>
      <c r="R61" s="5">
        <f t="shared" ref="R61:R64" si="32">IF(P$12=0,0,P61/P$12)</f>
        <v>0.11127427293601359</v>
      </c>
      <c r="S61" s="1"/>
      <c r="T61" s="1">
        <f>SUM(OSRRefT22_11x_0)</f>
        <v>42100</v>
      </c>
      <c r="U61" s="1"/>
      <c r="V61" s="5">
        <f t="shared" ref="V61:V64" si="33">IF(T$12=0,0,T61/T$12)</f>
        <v>0.13678379388209302</v>
      </c>
      <c r="W61" s="1"/>
      <c r="X61" s="1">
        <f t="shared" ref="X61:X64" si="34">+P61-T61</f>
        <v>-23539.339999999997</v>
      </c>
      <c r="Y61" s="1"/>
      <c r="Z61" s="5">
        <f t="shared" ref="Z61:Z64" si="35">IF(T61=0,0,X61/T61)</f>
        <v>-0.55912921615201894</v>
      </c>
    </row>
    <row r="62" spans="1:26" s="24" customFormat="1" hidden="1" outlineLevel="2" x14ac:dyDescent="0.25">
      <c r="A62" s="26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28"/>
        <v>0</v>
      </c>
      <c r="G62" s="2"/>
      <c r="H62" s="6">
        <v>7000</v>
      </c>
      <c r="I62" s="2"/>
      <c r="J62" s="7">
        <f t="shared" si="29"/>
        <v>0.23636670606111768</v>
      </c>
      <c r="K62" s="2"/>
      <c r="L62" s="6">
        <f t="shared" si="30"/>
        <v>-7000</v>
      </c>
      <c r="M62" s="2"/>
      <c r="N62" s="7">
        <f t="shared" si="31"/>
        <v>-1</v>
      </c>
      <c r="O62" s="11"/>
      <c r="P62" s="6">
        <v>413.27</v>
      </c>
      <c r="Q62" s="2"/>
      <c r="R62" s="7">
        <f t="shared" si="32"/>
        <v>2.4776230358331186E-3</v>
      </c>
      <c r="S62" s="2"/>
      <c r="T62" s="6">
        <v>42100</v>
      </c>
      <c r="U62" s="2"/>
      <c r="V62" s="7">
        <f t="shared" si="33"/>
        <v>0.13678379388209302</v>
      </c>
      <c r="W62" s="2"/>
      <c r="X62" s="6">
        <f t="shared" si="34"/>
        <v>-41686.730000000003</v>
      </c>
      <c r="Y62" s="2"/>
      <c r="Z62" s="7">
        <f t="shared" si="35"/>
        <v>-0.99018361045130654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>
        <v>162.83000000000001</v>
      </c>
      <c r="E63" s="2"/>
      <c r="F63" s="7">
        <f t="shared" si="28"/>
        <v>7.6266978922716637E-3</v>
      </c>
      <c r="G63" s="2"/>
      <c r="H63" s="6"/>
      <c r="I63" s="2"/>
      <c r="J63" s="7">
        <f t="shared" si="29"/>
        <v>0</v>
      </c>
      <c r="K63" s="2"/>
      <c r="L63" s="6">
        <f t="shared" si="30"/>
        <v>162.83000000000001</v>
      </c>
      <c r="M63" s="2"/>
      <c r="N63" s="7">
        <f t="shared" si="31"/>
        <v>0</v>
      </c>
      <c r="O63" s="11"/>
      <c r="P63" s="6">
        <v>18026.560000000001</v>
      </c>
      <c r="Q63" s="2"/>
      <c r="R63" s="7">
        <f t="shared" si="32"/>
        <v>0.10807225376346666</v>
      </c>
      <c r="S63" s="2"/>
      <c r="T63" s="6"/>
      <c r="U63" s="2"/>
      <c r="V63" s="7">
        <f t="shared" si="33"/>
        <v>0</v>
      </c>
      <c r="W63" s="2"/>
      <c r="X63" s="6">
        <f t="shared" si="34"/>
        <v>18026.560000000001</v>
      </c>
      <c r="Y63" s="2"/>
      <c r="Z63" s="7">
        <f t="shared" si="35"/>
        <v>0</v>
      </c>
    </row>
    <row r="64" spans="1:26" s="24" customFormat="1" hidden="1" outlineLevel="2" x14ac:dyDescent="0.25">
      <c r="A64" s="26"/>
      <c r="B64" s="11" t="str">
        <f>CONCATENATE("          ", "6245", " - ", "PRINTING")</f>
        <v xml:space="preserve">          6245 - PRINTING</v>
      </c>
      <c r="C64" s="11"/>
      <c r="D64" s="6"/>
      <c r="E64" s="2"/>
      <c r="F64" s="7">
        <f t="shared" si="28"/>
        <v>0</v>
      </c>
      <c r="G64" s="2"/>
      <c r="H64" s="6"/>
      <c r="I64" s="2"/>
      <c r="J64" s="7">
        <f t="shared" si="29"/>
        <v>0</v>
      </c>
      <c r="K64" s="2"/>
      <c r="L64" s="6">
        <f t="shared" si="30"/>
        <v>0</v>
      </c>
      <c r="M64" s="2"/>
      <c r="N64" s="7">
        <f t="shared" si="31"/>
        <v>0</v>
      </c>
      <c r="O64" s="11"/>
      <c r="P64" s="6">
        <v>120.83</v>
      </c>
      <c r="Q64" s="2"/>
      <c r="R64" s="7">
        <f t="shared" si="32"/>
        <v>7.2439613671380866E-4</v>
      </c>
      <c r="S64" s="2"/>
      <c r="T64" s="6"/>
      <c r="U64" s="2"/>
      <c r="V64" s="7">
        <f t="shared" si="33"/>
        <v>0</v>
      </c>
      <c r="W64" s="2"/>
      <c r="X64" s="6">
        <f t="shared" si="34"/>
        <v>120.83</v>
      </c>
      <c r="Y64" s="2"/>
      <c r="Z64" s="7">
        <f t="shared" si="35"/>
        <v>0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182.85</v>
      </c>
      <c r="E65" s="1"/>
      <c r="F65" s="5">
        <f t="shared" ref="F65:F68" si="36">IF(D$12=0,0,D65/D$12)</f>
        <v>8.564402810304449E-3</v>
      </c>
      <c r="G65" s="1"/>
      <c r="H65" s="1">
        <f>SUM(OSRRefH22_12x_0)</f>
        <v>350</v>
      </c>
      <c r="I65" s="1"/>
      <c r="J65" s="5">
        <f t="shared" ref="J65:J68" si="37">IF(H$12=0,0,H65/H$12)</f>
        <v>1.1818335303055883E-2</v>
      </c>
      <c r="K65" s="1"/>
      <c r="L65" s="1">
        <f t="shared" ref="L65:L68" si="38">+D65-H65</f>
        <v>-167.15</v>
      </c>
      <c r="M65" s="1"/>
      <c r="N65" s="5">
        <f t="shared" ref="N65:N68" si="39">IF(H65=0,0,L65/H65)</f>
        <v>-0.47757142857142859</v>
      </c>
      <c r="O65" s="13"/>
      <c r="P65" s="1">
        <f>SUM(OSRRefP22_12x_0)</f>
        <v>1131.3499999999999</v>
      </c>
      <c r="Q65" s="1"/>
      <c r="R65" s="5">
        <f t="shared" ref="R65:R68" si="40">IF(P$12=0,0,P65/P$12)</f>
        <v>6.7826331976426997E-3</v>
      </c>
      <c r="S65" s="1"/>
      <c r="T65" s="1">
        <f>SUM(OSRRefT22_12x_0)</f>
        <v>2100</v>
      </c>
      <c r="U65" s="1"/>
      <c r="V65" s="5">
        <f t="shared" ref="V65:V68" si="41">IF(T$12=0,0,T65/T$12)</f>
        <v>6.8229445879428819E-3</v>
      </c>
      <c r="W65" s="1"/>
      <c r="X65" s="1">
        <f t="shared" ref="X65:X68" si="42">+P65-T65</f>
        <v>-968.65000000000009</v>
      </c>
      <c r="Y65" s="1"/>
      <c r="Z65" s="5">
        <f t="shared" ref="Z65:Z68" si="43">IF(T65=0,0,X65/T65)</f>
        <v>-0.46126190476190482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182.85</v>
      </c>
      <c r="E66" s="2"/>
      <c r="F66" s="7">
        <f t="shared" si="36"/>
        <v>8.564402810304449E-3</v>
      </c>
      <c r="G66" s="2"/>
      <c r="H66" s="6">
        <v>350</v>
      </c>
      <c r="I66" s="2"/>
      <c r="J66" s="7">
        <f t="shared" si="37"/>
        <v>1.1818335303055883E-2</v>
      </c>
      <c r="K66" s="2"/>
      <c r="L66" s="6">
        <f t="shared" si="38"/>
        <v>-167.15</v>
      </c>
      <c r="M66" s="2"/>
      <c r="N66" s="7">
        <f t="shared" si="39"/>
        <v>-0.47757142857142859</v>
      </c>
      <c r="O66" s="11"/>
      <c r="P66" s="6">
        <v>1131.3499999999999</v>
      </c>
      <c r="Q66" s="2"/>
      <c r="R66" s="7">
        <f t="shared" si="40"/>
        <v>6.7826331976426997E-3</v>
      </c>
      <c r="S66" s="2"/>
      <c r="T66" s="6">
        <v>2100</v>
      </c>
      <c r="U66" s="2"/>
      <c r="V66" s="7">
        <f t="shared" si="41"/>
        <v>6.8229445879428819E-3</v>
      </c>
      <c r="W66" s="2"/>
      <c r="X66" s="6">
        <f t="shared" si="42"/>
        <v>-968.65000000000009</v>
      </c>
      <c r="Y66" s="2"/>
      <c r="Z66" s="7">
        <f t="shared" si="43"/>
        <v>-0.46126190476190482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36"/>
        <v>0</v>
      </c>
      <c r="G67" s="1"/>
      <c r="H67" s="1">
        <f>SUM(OSRRefH22_13x_0)</f>
        <v>2500</v>
      </c>
      <c r="I67" s="1"/>
      <c r="J67" s="5">
        <f t="shared" si="37"/>
        <v>8.4416680736113456E-2</v>
      </c>
      <c r="K67" s="1"/>
      <c r="L67" s="1">
        <f t="shared" si="38"/>
        <v>-2500</v>
      </c>
      <c r="M67" s="1"/>
      <c r="N67" s="5">
        <f t="shared" si="39"/>
        <v>-1</v>
      </c>
      <c r="O67" s="13"/>
      <c r="P67" s="1">
        <f>SUM(OSRRefP22_13x_0)</f>
        <v>0</v>
      </c>
      <c r="Q67" s="1"/>
      <c r="R67" s="5">
        <f t="shared" si="40"/>
        <v>0</v>
      </c>
      <c r="S67" s="1"/>
      <c r="T67" s="1">
        <f>SUM(OSRRefT22_13x_0)</f>
        <v>2500</v>
      </c>
      <c r="U67" s="1"/>
      <c r="V67" s="5">
        <f t="shared" si="41"/>
        <v>8.1225530808843836E-3</v>
      </c>
      <c r="W67" s="1"/>
      <c r="X67" s="1">
        <f t="shared" si="42"/>
        <v>-2500</v>
      </c>
      <c r="Y67" s="1"/>
      <c r="Z67" s="5">
        <f t="shared" si="43"/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36"/>
        <v>0</v>
      </c>
      <c r="G68" s="2"/>
      <c r="H68" s="6">
        <v>2500</v>
      </c>
      <c r="I68" s="2"/>
      <c r="J68" s="7">
        <f t="shared" si="37"/>
        <v>8.4416680736113456E-2</v>
      </c>
      <c r="K68" s="2"/>
      <c r="L68" s="6">
        <f t="shared" si="38"/>
        <v>-2500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2500</v>
      </c>
      <c r="U68" s="2"/>
      <c r="V68" s="7">
        <f t="shared" si="41"/>
        <v>8.1225530808843836E-3</v>
      </c>
      <c r="W68" s="2"/>
      <c r="X68" s="6">
        <f t="shared" si="42"/>
        <v>-2500</v>
      </c>
      <c r="Y68" s="2"/>
      <c r="Z68" s="7">
        <f t="shared" si="43"/>
        <v>-1</v>
      </c>
    </row>
    <row r="69" spans="1:26" s="53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0</v>
      </c>
      <c r="C70" s="10"/>
      <c r="D70" s="4">
        <f>SUM(OSRRefD25x_0)</f>
        <v>1564.6</v>
      </c>
      <c r="E70" s="4"/>
      <c r="F70" s="12">
        <f t="shared" ref="F70:F71" si="44">IF(D$12=0,0,D70/D$12)</f>
        <v>7.3283372365339577E-2</v>
      </c>
      <c r="G70" s="4"/>
      <c r="H70" s="4">
        <f>SUM(OSRRefH25x_0)</f>
        <v>1800</v>
      </c>
      <c r="I70" s="4"/>
      <c r="J70" s="12">
        <f t="shared" ref="J70:J71" si="45">IF(H$12=0,0,H70/H$12)</f>
        <v>6.0780010130001685E-2</v>
      </c>
      <c r="K70" s="4"/>
      <c r="L70" s="4">
        <f t="shared" ref="L70:L71" si="46">+D70-H70</f>
        <v>-235.40000000000009</v>
      </c>
      <c r="M70" s="4"/>
      <c r="N70" s="12">
        <f t="shared" ref="N70:N71" si="47">IF(H70=0,0,L70/H70)</f>
        <v>-0.13077777777777783</v>
      </c>
      <c r="O70" s="10"/>
      <c r="P70" s="4">
        <f>SUM(OSRRefP25x_0)</f>
        <v>13751.34</v>
      </c>
      <c r="Q70" s="4"/>
      <c r="R70" s="12">
        <f t="shared" ref="R70:R71" si="48">IF(P$12=0,0,P70/P$12)</f>
        <v>8.2441592076786113E-2</v>
      </c>
      <c r="S70" s="4"/>
      <c r="T70" s="4">
        <f>SUM(OSRRefT25x_0)</f>
        <v>15450</v>
      </c>
      <c r="U70" s="4"/>
      <c r="V70" s="12">
        <f t="shared" ref="V70:V71" si="49">IF(T$12=0,0,T70/T$12)</f>
        <v>5.0197378039865494E-2</v>
      </c>
      <c r="W70" s="4"/>
      <c r="X70" s="4">
        <f t="shared" ref="X70:X71" si="50">+P70-T70</f>
        <v>-1698.6599999999999</v>
      </c>
      <c r="Y70" s="4"/>
      <c r="Z70" s="12">
        <f t="shared" ref="Z70:Z71" si="51">IF(T70=0,0,X70/T70)</f>
        <v>-0.10994563106796115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--1564.6</f>
        <v>1564.6</v>
      </c>
      <c r="E71" s="2"/>
      <c r="F71" s="19">
        <f t="shared" si="44"/>
        <v>7.3283372365339577E-2</v>
      </c>
      <c r="G71" s="2"/>
      <c r="H71" s="2">
        <v>1800</v>
      </c>
      <c r="I71" s="2"/>
      <c r="J71" s="19">
        <f t="shared" si="45"/>
        <v>6.0780010130001685E-2</v>
      </c>
      <c r="K71" s="2"/>
      <c r="L71" s="2">
        <f t="shared" si="46"/>
        <v>-235.40000000000009</v>
      </c>
      <c r="M71" s="2"/>
      <c r="N71" s="19">
        <f t="shared" si="47"/>
        <v>-0.13077777777777783</v>
      </c>
      <c r="O71" s="11"/>
      <c r="P71" s="2">
        <f>--13751.34</f>
        <v>13751.34</v>
      </c>
      <c r="Q71" s="2"/>
      <c r="R71" s="19">
        <f t="shared" si="48"/>
        <v>8.2441592076786113E-2</v>
      </c>
      <c r="S71" s="2"/>
      <c r="T71" s="2">
        <v>15450</v>
      </c>
      <c r="U71" s="2"/>
      <c r="V71" s="19">
        <f t="shared" si="49"/>
        <v>5.0197378039865494E-2</v>
      </c>
      <c r="W71" s="2"/>
      <c r="X71" s="2">
        <f t="shared" si="50"/>
        <v>-1698.6599999999999</v>
      </c>
      <c r="Y71" s="2"/>
      <c r="Z71" s="19">
        <f t="shared" si="51"/>
        <v>-0.10994563106796115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+D17-D19+D70</f>
        <v>2880.2899999999986</v>
      </c>
      <c r="E73" s="14"/>
      <c r="F73" s="20">
        <f>IF(D$12=0,0,D73/D$12)</f>
        <v>0.13490819672131141</v>
      </c>
      <c r="G73" s="14"/>
      <c r="H73" s="22">
        <f>+H17-H19+H70</f>
        <v>3884.863379153845</v>
      </c>
      <c r="I73" s="14"/>
      <c r="J73" s="20">
        <f>IF(H$12=0,0,H73/H$12)</f>
        <v>0.13117890863257961</v>
      </c>
      <c r="K73" s="16"/>
      <c r="L73" s="22">
        <f>+D73-H73</f>
        <v>-1004.5733791538464</v>
      </c>
      <c r="M73" s="16"/>
      <c r="N73" s="20">
        <f>IF(H73=0,0,L73/H73)</f>
        <v>-0.25858653988821884</v>
      </c>
      <c r="O73" s="28"/>
      <c r="P73" s="22">
        <f>+P17-P19+P70</f>
        <v>15277.390000000047</v>
      </c>
      <c r="Q73" s="14"/>
      <c r="R73" s="20">
        <f>IF(P$12=0,0,P73/P$12)</f>
        <v>9.1590518042458061E-2</v>
      </c>
      <c r="S73" s="14"/>
      <c r="T73" s="22">
        <f>+T17-T19+T70</f>
        <v>40377.949964500032</v>
      </c>
      <c r="U73" s="14"/>
      <c r="V73" s="20">
        <f>IF(T$12=0,0,T73/T$12)</f>
        <v>0.1311888167535781</v>
      </c>
      <c r="W73" s="16"/>
      <c r="X73" s="22">
        <f>+P73-T73</f>
        <v>-25100.559964499986</v>
      </c>
      <c r="Y73" s="16"/>
      <c r="Z73" s="20">
        <f>IF(T73=0,0,X73/T73)</f>
        <v>-0.62164027610535444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>
        <v>2613.5100000000002</v>
      </c>
      <c r="E75" s="4"/>
      <c r="F75" s="12">
        <f>IF(D$12=0,0,D75/D$12)</f>
        <v>0.12241264637002343</v>
      </c>
      <c r="G75" s="4"/>
      <c r="H75" s="4">
        <v>4394</v>
      </c>
      <c r="I75" s="4"/>
      <c r="J75" s="12">
        <f>IF(H$12=0,0,H75/H$12)</f>
        <v>0.14837075806179301</v>
      </c>
      <c r="K75" s="4"/>
      <c r="L75" s="4">
        <f>+D75-H75</f>
        <v>-1780.4899999999998</v>
      </c>
      <c r="M75" s="4"/>
      <c r="N75" s="12">
        <f>IF(H75=0,0,L75/H75)</f>
        <v>-0.40520937642239413</v>
      </c>
      <c r="O75" s="10"/>
      <c r="P75" s="4">
        <v>18015.79</v>
      </c>
      <c r="Q75" s="4"/>
      <c r="R75" s="12">
        <f>IF(P$12=0,0,P75/P$12)</f>
        <v>0.10800768580524098</v>
      </c>
      <c r="S75" s="4"/>
      <c r="T75" s="4">
        <v>39647</v>
      </c>
      <c r="U75" s="4"/>
      <c r="V75" s="12">
        <f>IF(T$12=0,0,T75/T$12)</f>
        <v>0.12881394479912925</v>
      </c>
      <c r="W75" s="4"/>
      <c r="X75" s="4">
        <f>+P75-T75</f>
        <v>-21631.21</v>
      </c>
      <c r="Y75" s="4"/>
      <c r="Z75" s="12">
        <f>IF(T75=0,0,X75/T75)</f>
        <v>-0.54559512699573731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266.77999999999838</v>
      </c>
      <c r="E77" s="14"/>
      <c r="F77" s="32">
        <f>IF(D$12=0,0,D77/D$12)</f>
        <v>1.2495550351287981E-2</v>
      </c>
      <c r="G77" s="14"/>
      <c r="H77" s="31">
        <f>+H73-H75</f>
        <v>-509.13662084615498</v>
      </c>
      <c r="I77" s="14"/>
      <c r="J77" s="32">
        <f>IF(H$12=0,0,H77/H$12)</f>
        <v>-1.7191849429213407E-2</v>
      </c>
      <c r="K77" s="16"/>
      <c r="L77" s="31">
        <f>D77-H77</f>
        <v>775.91662084615336</v>
      </c>
      <c r="M77" s="16"/>
      <c r="N77" s="32">
        <f>IF(H77=0,0,L77/H77)</f>
        <v>-1.5239850937389374</v>
      </c>
      <c r="O77" s="28"/>
      <c r="P77" s="31">
        <f>+P73-P75</f>
        <v>-2738.3999999999542</v>
      </c>
      <c r="Q77" s="14"/>
      <c r="R77" s="32">
        <f>IF(P$12=0,0,P77/P$12)</f>
        <v>-1.6417167762782924E-2</v>
      </c>
      <c r="S77" s="14"/>
      <c r="T77" s="31">
        <f>+T73-T75</f>
        <v>730.94996450003237</v>
      </c>
      <c r="U77" s="14"/>
      <c r="V77" s="32">
        <f>IF(T$12=0,0,T77/T$12)</f>
        <v>2.3748719544488275E-3</v>
      </c>
      <c r="W77" s="16"/>
      <c r="X77" s="31">
        <f>P77-T77</f>
        <v>-3469.3499644999865</v>
      </c>
      <c r="Y77" s="16"/>
      <c r="Z77" s="32">
        <f>IF(T77=0,0,X77/T77)</f>
        <v>-4.7463576619406664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5">
        <f>SUM(D77:D79)</f>
        <v>266.77999999999838</v>
      </c>
      <c r="E80" s="14"/>
      <c r="F80" s="34">
        <f>IF(D$12=0,0,D80/D$12)</f>
        <v>1.2495550351287981E-2</v>
      </c>
      <c r="G80" s="14"/>
      <c r="H80" s="35">
        <f>SUM(H77:H79)</f>
        <v>-509.13662084615498</v>
      </c>
      <c r="I80" s="14"/>
      <c r="J80" s="34">
        <f>IF(H$12=0,0,H80/H$12)</f>
        <v>-1.7191849429213407E-2</v>
      </c>
      <c r="K80" s="16"/>
      <c r="L80" s="35">
        <f>+D80-H80</f>
        <v>775.91662084615336</v>
      </c>
      <c r="M80" s="16"/>
      <c r="N80" s="34">
        <f>IF(H80=0,0,L80/H80)</f>
        <v>-1.5239850937389374</v>
      </c>
      <c r="O80" s="28"/>
      <c r="P80" s="35">
        <f>SUM(P77:P79)</f>
        <v>-2738.3999999999542</v>
      </c>
      <c r="Q80" s="14"/>
      <c r="R80" s="34">
        <f>IF(P$12=0,0,P80/P$12)</f>
        <v>-1.6417167762782924E-2</v>
      </c>
      <c r="S80" s="14"/>
      <c r="T80" s="35">
        <f>SUM(T77:T79)</f>
        <v>730.94996450003237</v>
      </c>
      <c r="U80" s="14"/>
      <c r="V80" s="34">
        <f>IF(T$12=0,0,T80/T$12)</f>
        <v>2.3748719544488275E-3</v>
      </c>
      <c r="W80" s="16"/>
      <c r="X80" s="35">
        <f>+P80-T80</f>
        <v>-3469.3499644999865</v>
      </c>
      <c r="Y80" s="16"/>
      <c r="Z80" s="34">
        <f>IF(T80=0,0,X80/T80)</f>
        <v>-4.7463576619406664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3">
        <v>43847.446475462966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6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5"/>
      <c r="G3" s="18"/>
      <c r="H3" s="18"/>
      <c r="I3" s="18"/>
      <c r="J3" s="40"/>
      <c r="K3" s="18"/>
      <c r="L3" s="18"/>
      <c r="M3" s="18"/>
      <c r="N3" s="45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40"/>
      <c r="K4" s="18"/>
      <c r="L4" s="18"/>
      <c r="M4" s="18"/>
      <c r="N4" s="45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5"/>
      <c r="G5" s="18"/>
      <c r="H5" s="18"/>
      <c r="I5" s="18"/>
      <c r="J5" s="40"/>
      <c r="K5" s="18"/>
      <c r="L5" s="18"/>
      <c r="M5" s="18"/>
      <c r="N5" s="45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40"/>
      <c r="K6" s="18"/>
      <c r="L6" s="18"/>
      <c r="M6" s="18"/>
      <c r="N6" s="45"/>
      <c r="O6" s="58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9"/>
      <c r="G9" s="15"/>
      <c r="H9" s="15"/>
      <c r="I9" s="15"/>
      <c r="J9" s="51"/>
      <c r="K9" s="15"/>
      <c r="L9" s="15"/>
      <c r="M9" s="15"/>
      <c r="N9" s="39"/>
      <c r="P9" s="15" t="s">
        <v>295</v>
      </c>
      <c r="Q9" s="15"/>
      <c r="R9" s="39"/>
      <c r="S9" s="15"/>
      <c r="T9" s="15"/>
      <c r="U9" s="15"/>
      <c r="V9" s="51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3"/>
      <c r="F10" s="38" t="s">
        <v>15</v>
      </c>
      <c r="G10" s="33"/>
      <c r="H10" s="50" t="s">
        <v>11</v>
      </c>
      <c r="I10" s="33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9" t="s">
        <v>10</v>
      </c>
      <c r="Q10" s="33"/>
      <c r="R10" s="38" t="s">
        <v>15</v>
      </c>
      <c r="S10" s="33"/>
      <c r="T10" s="50" t="s">
        <v>11</v>
      </c>
      <c r="U10" s="33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0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0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0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0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6"/>
      <c r="L31" s="31" t="e">
        <f ca="1">D31-H31</f>
        <v>#NAME?</v>
      </c>
      <c r="M31" s="16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6"/>
      <c r="X31" s="31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4" t="e">
        <f ca="1">IF(D$12=0,0,D36/D$12)</f>
        <v>#NAME?</v>
      </c>
      <c r="G36" s="14"/>
      <c r="H36" s="35" t="e">
        <f ca="1">SUM(H31:H35)</f>
        <v>#NAME?</v>
      </c>
      <c r="I36" s="14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8"/>
      <c r="P36" s="35" t="e">
        <f ca="1">SUM(P31:P35)</f>
        <v>#NAME?</v>
      </c>
      <c r="Q36" s="14"/>
      <c r="R36" s="34" t="e">
        <f ca="1">IF(P$12=0,0,P36/P$12)</f>
        <v>#NAME?</v>
      </c>
      <c r="S36" s="14"/>
      <c r="T36" s="35" t="e">
        <f ca="1">SUM(T31:T35)</f>
        <v>#NAME?</v>
      </c>
      <c r="U36" s="14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6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4534</vt:i4>
      </vt:variant>
    </vt:vector>
  </HeadingPairs>
  <TitlesOfParts>
    <vt:vector size="4635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318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'318'!Print_Area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'318'!Print_Titles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2020-01-17T19:58:42Z</cp:lastPrinted>
  <dcterms:modified xsi:type="dcterms:W3CDTF">2020-01-17T19:59:04Z</dcterms:modified>
</cp:coreProperties>
</file>